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"/>
    </mc:Choice>
  </mc:AlternateContent>
  <bookViews>
    <workbookView xWindow="0" yWindow="0" windowWidth="20490" windowHeight="61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30" sheetId="24" r:id="rId52"/>
    <sheet name="307" sheetId="68" r:id="rId53"/>
    <sheet name="308" sheetId="27" r:id="rId54"/>
    <sheet name="311" sheetId="70" r:id="rId55"/>
    <sheet name="324" sheetId="82" r:id="rId56"/>
    <sheet name="331" sheetId="30" r:id="rId57"/>
    <sheet name="315" sheetId="74" r:id="rId58"/>
    <sheet name="326" sheetId="84" r:id="rId59"/>
    <sheet name="332" sheetId="33" r:id="rId60"/>
    <sheet name="316" sheetId="75" r:id="rId61"/>
    <sheet name="Div 6" sheetId="51" r:id="rId62"/>
    <sheet name="317" sheetId="76" r:id="rId63"/>
    <sheet name="310" sheetId="21" r:id="rId64"/>
    <sheet name="309" sheetId="69" r:id="rId65"/>
    <sheet name="313" sheetId="72" r:id="rId66"/>
    <sheet name="321" sheetId="79" r:id="rId67"/>
    <sheet name="322" sheetId="80" r:id="rId68"/>
    <sheet name="325" sheetId="83" r:id="rId69"/>
    <sheet name="327" sheetId="85" r:id="rId70"/>
    <sheet name="Div 4" sheetId="36" r:id="rId71"/>
    <sheet name="310 &amp; 491" sheetId="39" r:id="rId72"/>
    <sheet name="491" sheetId="42" r:id="rId73"/>
    <sheet name="405" sheetId="87" r:id="rId74"/>
    <sheet name="406" sheetId="88" r:id="rId75"/>
    <sheet name="411" sheetId="91" r:id="rId76"/>
    <sheet name="412" sheetId="92" r:id="rId77"/>
    <sheet name="413" sheetId="93" r:id="rId78"/>
    <sheet name="414" sheetId="94" r:id="rId79"/>
    <sheet name="415" sheetId="95" r:id="rId80"/>
    <sheet name="418" sheetId="97" r:id="rId81"/>
    <sheet name="420" sheetId="98" r:id="rId82"/>
    <sheet name="423" sheetId="99" r:id="rId83"/>
    <sheet name="424" sheetId="100" r:id="rId84"/>
    <sheet name="425" sheetId="101" r:id="rId85"/>
    <sheet name="455" sheetId="108" r:id="rId86"/>
    <sheet name="492" sheetId="45" r:id="rId87"/>
    <sheet name="430" sheetId="102" r:id="rId88"/>
    <sheet name="433" sheetId="103" r:id="rId89"/>
    <sheet name="435" sheetId="104" r:id="rId90"/>
    <sheet name="444" sheetId="105" r:id="rId91"/>
    <sheet name="450" sheetId="107" r:id="rId92"/>
    <sheet name="Div 5" sheetId="48" r:id="rId93"/>
    <sheet name="501" sheetId="109" r:id="rId94"/>
    <sheet name="Dept" sheetId="110" state="hidden" r:id="rId95"/>
    <sheet name="OSR_Dept_Y0WUKY" sheetId="111" state="hidden" r:id="rId96"/>
    <sheet name="OSR_Summary (...56e5d78f_5JEYZH" sheetId="112" state="hidden" r:id="rId97"/>
  </sheets>
  <definedNames>
    <definedName name="OSRRefD13x_0" localSheetId="41">'201'!$D$13</definedName>
    <definedName name="OSRRefD13x_0" localSheetId="42">'202'!$D$13</definedName>
    <definedName name="OSRRefD13x_0" localSheetId="48">'300'!$D$13:$D$73</definedName>
    <definedName name="OSRRefD13x_0" localSheetId="49">'300 &amp; 317'!$D$13:$D$87</definedName>
    <definedName name="OSRRefD13x_0" localSheetId="52">'307'!$D$13:$D$23</definedName>
    <definedName name="OSRRefD13x_0" localSheetId="53">'308'!$D$13:$D$33</definedName>
    <definedName name="OSRRefD13x_0" localSheetId="64">'309'!$D$13</definedName>
    <definedName name="OSRRefD13x_0" localSheetId="63">'310'!$D$13:$D$17</definedName>
    <definedName name="OSRRefD13x_0" localSheetId="71">'310 &amp; 491'!$D$13:$D$21</definedName>
    <definedName name="OSRRefD13x_0" localSheetId="54">'311'!$D$13:$D$32</definedName>
    <definedName name="OSRRefD13x_0" localSheetId="65">'313'!$D$13</definedName>
    <definedName name="OSRRefD13x_0" localSheetId="57">'315'!$D$13:$D$48</definedName>
    <definedName name="OSRRefD13x_0" localSheetId="60">'316'!$D$13:$D$22</definedName>
    <definedName name="OSRRefD13x_0" localSheetId="62">'317'!$D$13:$D$30</definedName>
    <definedName name="OSRRefD13x_0" localSheetId="66">'321'!$D$13:$D$15</definedName>
    <definedName name="OSRRefD13x_0" localSheetId="67">'322'!$D$13</definedName>
    <definedName name="OSRRefD13x_0" localSheetId="55">'324'!$D$13:$D$16</definedName>
    <definedName name="OSRRefD13x_0" localSheetId="68">'325'!$D$13:$D$14</definedName>
    <definedName name="OSRRefD13x_0" localSheetId="58">'326'!$D$13:$D$31</definedName>
    <definedName name="OSRRefD13x_0" localSheetId="69">'327'!$D$13:$D$14</definedName>
    <definedName name="OSRRefD13x_0" localSheetId="51">'330'!$D$13:$D$23</definedName>
    <definedName name="OSRRefD13x_0" localSheetId="56">'331'!$D$13:$D$48</definedName>
    <definedName name="OSRRefD13x_0" localSheetId="59">'332'!$D$13:$D$22</definedName>
    <definedName name="OSRRefD13x_0" localSheetId="73">'405'!$D$13:$D$14</definedName>
    <definedName name="OSRRefD13x_0" localSheetId="76">'412'!$D$13</definedName>
    <definedName name="OSRRefD13x_0" localSheetId="77">'413'!$D$13:$D$14</definedName>
    <definedName name="OSRRefD13x_0" localSheetId="78">'414'!$D$13:$D$15</definedName>
    <definedName name="OSRRefD13x_0" localSheetId="79">'415'!$D$13:$D$16</definedName>
    <definedName name="OSRRefD13x_0" localSheetId="80">'418'!$D$13:$D$14</definedName>
    <definedName name="OSRRefD13x_0" localSheetId="81">'420'!$D$13</definedName>
    <definedName name="OSRRefD13x_0" localSheetId="88">'433'!$D$13:$D$16</definedName>
    <definedName name="OSRRefD13x_0" localSheetId="90">'444'!$D$13:$D$16</definedName>
    <definedName name="OSRRefD13x_0" localSheetId="91">'450'!$D$13:$D$14</definedName>
    <definedName name="OSRRefD13x_0" localSheetId="72">'491'!$D$13:$D$18</definedName>
    <definedName name="OSRRefD13x_0" localSheetId="86">'492'!$D$13:$D$16</definedName>
    <definedName name="OSRRefD13x_0" localSheetId="93">'501'!$D$13</definedName>
    <definedName name="OSRRefD13x_0" localSheetId="39">'Div 2'!$D$13</definedName>
    <definedName name="OSRRefD13x_0" localSheetId="47">'Div 3'!$D$13:$D$75</definedName>
    <definedName name="OSRRefD13x_0" localSheetId="70">'Div 4'!$D$13:$D$20</definedName>
    <definedName name="OSRRefD13x_0" localSheetId="92">'Div 5'!$D$13</definedName>
    <definedName name="OSRRefD13x_0" localSheetId="61">'Div 6'!$D$13:$D$30</definedName>
    <definedName name="OSRRefD13x_0" localSheetId="2">Summary!$D$13:$D$94</definedName>
    <definedName name="OSRRefD16x_0" localSheetId="48">'300'!$D$76:$D$106</definedName>
    <definedName name="OSRRefD16x_0" localSheetId="49">'300 &amp; 317'!$D$90:$D$128</definedName>
    <definedName name="OSRRefD16x_0" localSheetId="52">'307'!$D$26:$D$33</definedName>
    <definedName name="OSRRefD16x_0" localSheetId="53">'308'!$D$36:$D$48</definedName>
    <definedName name="OSRRefD16x_0" localSheetId="64">'309'!$D$16</definedName>
    <definedName name="OSRRefD16x_0" localSheetId="63">'310'!$D$20:$D$22</definedName>
    <definedName name="OSRRefD16x_0" localSheetId="71">'310 &amp; 491'!$D$24:$D$26</definedName>
    <definedName name="OSRRefD16x_0" localSheetId="54">'311'!$D$35:$D$47</definedName>
    <definedName name="OSRRefD16x_0" localSheetId="65">'313'!$D$16:$D$17</definedName>
    <definedName name="OSRRefD16x_0" localSheetId="57">'315'!$D$51:$D$71</definedName>
    <definedName name="OSRRefD16x_0" localSheetId="62">'317'!$D$33:$D$43</definedName>
    <definedName name="OSRRefD16x_0" localSheetId="66">'321'!$D$18:$D$19</definedName>
    <definedName name="OSRRefD16x_0" localSheetId="67">'322'!$D$16:$D$17</definedName>
    <definedName name="OSRRefD16x_0" localSheetId="55">'324'!$D$19:$D$21</definedName>
    <definedName name="OSRRefD16x_0" localSheetId="68">'325'!$D$17:$D$19</definedName>
    <definedName name="OSRRefD16x_0" localSheetId="58">'326'!$D$34:$D$38</definedName>
    <definedName name="OSRRefD16x_0" localSheetId="69">'327'!$D$17:$D$18</definedName>
    <definedName name="OSRRefD16x_0" localSheetId="51">'330'!$D$26:$D$33</definedName>
    <definedName name="OSRRefD16x_0" localSheetId="56">'331'!$D$51:$D$71</definedName>
    <definedName name="OSRRefD16x_0" localSheetId="73">'405'!$D$17</definedName>
    <definedName name="OSRRefD16x_0" localSheetId="76">'412'!$D$16</definedName>
    <definedName name="OSRRefD16x_0" localSheetId="77">'413'!$D$17</definedName>
    <definedName name="OSRRefD16x_0" localSheetId="78">'414'!$D$18</definedName>
    <definedName name="OSRRefD16x_0" localSheetId="79">'415'!$D$19:$D$21</definedName>
    <definedName name="OSRRefD16x_0" localSheetId="80">'418'!$D$17</definedName>
    <definedName name="OSRRefD16x_0" localSheetId="88">'433'!$D$19:$D$21</definedName>
    <definedName name="OSRRefD16x_0" localSheetId="90">'444'!$D$19:$D$21</definedName>
    <definedName name="OSRRefD16x_0" localSheetId="91">'450'!$D$17</definedName>
    <definedName name="OSRRefD16x_0" localSheetId="72">'491'!$D$21:$D$23</definedName>
    <definedName name="OSRRefD16x_0" localSheetId="86">'492'!$D$19:$D$21</definedName>
    <definedName name="OSRRefD16x_0" localSheetId="47">'Div 3'!$D$78:$D$110</definedName>
    <definedName name="OSRRefD16x_0" localSheetId="70">'Div 4'!$D$23:$D$25</definedName>
    <definedName name="OSRRefD16x_0" localSheetId="61">'Div 6'!$D$33:$D$43</definedName>
    <definedName name="OSRRefD16x_0" localSheetId="2">Summary!$D$97:$D$137</definedName>
    <definedName name="OSRRefD22_0x_0" localSheetId="40">'200'!$D$20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'300'!$D$112:$D$121</definedName>
    <definedName name="OSRRefD22_0x_0" localSheetId="49">'300 &amp; 317'!$D$134:$D$143</definedName>
    <definedName name="OSRRefD22_0x_0" localSheetId="50">'301'!$D$20:$D$28</definedName>
    <definedName name="OSRRefD22_0x_0" localSheetId="52">'307'!$D$39:$D$46</definedName>
    <definedName name="OSRRefD22_0x_0" localSheetId="53">'308'!$D$54:$D$63</definedName>
    <definedName name="OSRRefD22_0x_0" localSheetId="64">'309'!$D$22:$D$29</definedName>
    <definedName name="OSRRefD22_0x_0" localSheetId="63">'310'!$D$28:$D$36</definedName>
    <definedName name="OSRRefD22_0x_0" localSheetId="71">'310 &amp; 491'!$D$32:$D$40</definedName>
    <definedName name="OSRRefD22_0x_0" localSheetId="54">'311'!$D$53:$D$62</definedName>
    <definedName name="OSRRefD22_0x_0" localSheetId="65">'313'!$D$23:$D$31</definedName>
    <definedName name="OSRRefD22_0x_0" localSheetId="57">'315'!$D$77:$D$85</definedName>
    <definedName name="OSRRefD22_0x_0" localSheetId="60">'316'!$D$30:$D$38</definedName>
    <definedName name="OSRRefD22_0x_0" localSheetId="62">'317'!$D$49:$D$58</definedName>
    <definedName name="OSRRefD22_0x_0" localSheetId="66">'321'!$D$25:$D$33</definedName>
    <definedName name="OSRRefD22_0x_0" localSheetId="67">'322'!$D$23:$D$30</definedName>
    <definedName name="OSRRefD22_0x_0" localSheetId="55">'324'!$D$27:$D$34</definedName>
    <definedName name="OSRRefD22_0x_0" localSheetId="68">'325'!$D$25:$D$32</definedName>
    <definedName name="OSRRefD22_0x_0" localSheetId="58">'326'!$D$44:$D$52</definedName>
    <definedName name="OSRRefD22_0x_0" localSheetId="69">'327'!$D$24</definedName>
    <definedName name="OSRRefD22_0x_0" localSheetId="51">'330'!$D$39:$D$46</definedName>
    <definedName name="OSRRefD22_0x_0" localSheetId="56">'331'!$D$77:$D$85</definedName>
    <definedName name="OSRRefD22_0x_0" localSheetId="59">'332'!$D$30:$D$38</definedName>
    <definedName name="OSRRefD22_0x_0" localSheetId="73">'405'!$D$23:$D$30</definedName>
    <definedName name="OSRRefD22_0x_0" localSheetId="74">'406'!$D$20</definedName>
    <definedName name="OSRRefD22_0x_0" localSheetId="75">'411'!$D$20:$D$28</definedName>
    <definedName name="OSRRefD22_0x_0" localSheetId="76">'412'!$D$22:$D$29</definedName>
    <definedName name="OSRRefD22_0x_0" localSheetId="77">'413'!$D$23:$D$31</definedName>
    <definedName name="OSRRefD22_0x_0" localSheetId="78">'414'!$D$24:$D$32</definedName>
    <definedName name="OSRRefD22_0x_0" localSheetId="79">'415'!$D$27:$D$35</definedName>
    <definedName name="OSRRefD22_0x_0" localSheetId="80">'418'!$D$23:$D$30</definedName>
    <definedName name="OSRRefD22_0x_0" localSheetId="82">'423'!$D$20:$D$27</definedName>
    <definedName name="OSRRefD22_0x_0" localSheetId="83">'424'!$D$20</definedName>
    <definedName name="OSRRefD22_0x_0" localSheetId="84">'425'!$D$20:$D$24</definedName>
    <definedName name="OSRRefD22_0x_0" localSheetId="87">'430'!$D$20:$D$28</definedName>
    <definedName name="OSRRefD22_0x_0" localSheetId="88">'433'!$D$27:$D$36</definedName>
    <definedName name="OSRRefD22_0x_0" localSheetId="89">'435'!$D$20</definedName>
    <definedName name="OSRRefD22_0x_0" localSheetId="90">'444'!$D$27:$D$36</definedName>
    <definedName name="OSRRefD22_0x_0" localSheetId="91">'450'!$D$23:$D$32</definedName>
    <definedName name="OSRRefD22_0x_0" localSheetId="72">'491'!$D$29:$D$37</definedName>
    <definedName name="OSRRefD22_0x_0" localSheetId="86">'492'!$D$27:$D$36</definedName>
    <definedName name="OSRRefD22_0x_0" localSheetId="93">'501'!$D$21:$D$30</definedName>
    <definedName name="OSRRefD22_0x_0" localSheetId="39">'Div 2'!$D$21:$D$31</definedName>
    <definedName name="OSRRefD22_0x_0" localSheetId="47">'Div 3'!$D$116:$D$125</definedName>
    <definedName name="OSRRefD22_0x_0" localSheetId="70">'Div 4'!$D$31:$D$40</definedName>
    <definedName name="OSRRefD22_0x_0" localSheetId="92">'Div 5'!$D$21:$D$30</definedName>
    <definedName name="OSRRefD22_0x_0" localSheetId="61">'Div 6'!$D$49:$D$58</definedName>
    <definedName name="OSRRefD22_0x_0" localSheetId="2">Summary!$D$143:$D$152</definedName>
    <definedName name="OSRRefD22_10x_0" localSheetId="41">'201'!$D$58:$D$59</definedName>
    <definedName name="OSRRefD22_10x_0" localSheetId="42">'202'!$D$62</definedName>
    <definedName name="OSRRefD22_10x_0" localSheetId="43">'203'!$D$61</definedName>
    <definedName name="OSRRefD22_10x_0" localSheetId="44">'204'!$D$63</definedName>
    <definedName name="OSRRefD22_10x_0" localSheetId="48">'300'!$D$154:$D$155</definedName>
    <definedName name="OSRRefD22_10x_0" localSheetId="49">'300 &amp; 317'!$D$176:$D$177</definedName>
    <definedName name="OSRRefD22_10x_0" localSheetId="50">'301'!$D$59</definedName>
    <definedName name="OSRRefD22_10x_0" localSheetId="52">'307'!$D$77:$D$78</definedName>
    <definedName name="OSRRefD22_10x_0" localSheetId="53">'308'!$D$94</definedName>
    <definedName name="OSRRefD22_10x_0" localSheetId="63">'310'!$D$66</definedName>
    <definedName name="OSRRefD22_10x_0" localSheetId="71">'310 &amp; 491'!$D$72</definedName>
    <definedName name="OSRRefD22_10x_0" localSheetId="54">'311'!$D$93</definedName>
    <definedName name="OSRRefD22_10x_0" localSheetId="65">'313'!$D$64</definedName>
    <definedName name="OSRRefD22_10x_0" localSheetId="57">'315'!$D$115</definedName>
    <definedName name="OSRRefD22_10x_0" localSheetId="60">'316'!$D$73</definedName>
    <definedName name="OSRRefD22_10x_0" localSheetId="62">'317'!$D$88:$D$90</definedName>
    <definedName name="OSRRefD22_10x_0" localSheetId="66">'321'!$D$65:$D$67</definedName>
    <definedName name="OSRRefD22_10x_0" localSheetId="67">'322'!$D$64</definedName>
    <definedName name="OSRRefD22_10x_0" localSheetId="68">'325'!$D$62:$D$65</definedName>
    <definedName name="OSRRefD22_10x_0" localSheetId="58">'326'!$D$82</definedName>
    <definedName name="OSRRefD22_10x_0" localSheetId="51">'330'!$D$77:$D$78</definedName>
    <definedName name="OSRRefD22_10x_0" localSheetId="56">'331'!$D$116</definedName>
    <definedName name="OSRRefD22_10x_0" localSheetId="59">'332'!$D$73</definedName>
    <definedName name="OSRRefD22_10x_0" localSheetId="73">'405'!$D$61:$D$64</definedName>
    <definedName name="OSRRefD22_10x_0" localSheetId="75">'411'!$D$59:$D$62</definedName>
    <definedName name="OSRRefD22_10x_0" localSheetId="76">'412'!$D$60:$D$63</definedName>
    <definedName name="OSRRefD22_10x_0" localSheetId="77">'413'!$D$63:$D$70</definedName>
    <definedName name="OSRRefD22_10x_0" localSheetId="78">'414'!$D$62</definedName>
    <definedName name="OSRRefD22_10x_0" localSheetId="79">'415'!$D$65:$D$66</definedName>
    <definedName name="OSRRefD22_10x_0" localSheetId="80">'418'!$D$63</definedName>
    <definedName name="OSRRefD22_10x_0" localSheetId="88">'433'!$D$65</definedName>
    <definedName name="OSRRefD22_10x_0" localSheetId="90">'444'!$D$65</definedName>
    <definedName name="OSRRefD22_10x_0" localSheetId="91">'450'!$D$61</definedName>
    <definedName name="OSRRefD22_10x_0" localSheetId="72">'491'!$D$68</definedName>
    <definedName name="OSRRefD22_10x_0" localSheetId="86">'492'!$D$65</definedName>
    <definedName name="OSRRefD22_10x_0" localSheetId="93">'501'!$D$63:$D$64</definedName>
    <definedName name="OSRRefD22_10x_0" localSheetId="39">'Div 2'!$D$62</definedName>
    <definedName name="OSRRefD22_10x_0" localSheetId="47">'Div 3'!$D$158:$D$159</definedName>
    <definedName name="OSRRefD22_10x_0" localSheetId="70">'Div 4'!$D$71</definedName>
    <definedName name="OSRRefD22_10x_0" localSheetId="92">'Div 5'!$D$63:$D$64</definedName>
    <definedName name="OSRRefD22_10x_0" localSheetId="61">'Div 6'!$D$88:$D$90</definedName>
    <definedName name="OSRRefD22_10x_0" localSheetId="2">Summary!$D$186:$D$187</definedName>
    <definedName name="OSRRefD22_11x_0" localSheetId="41">'201'!$D$61</definedName>
    <definedName name="OSRRefD22_11x_0" localSheetId="42">'202'!$D$64</definedName>
    <definedName name="OSRRefD22_11x_0" localSheetId="43">'203'!$D$63:$D$65</definedName>
    <definedName name="OSRRefD22_11x_0" localSheetId="48">'300'!$D$157:$D$159</definedName>
    <definedName name="OSRRefD22_11x_0" localSheetId="49">'300 &amp; 317'!$D$179:$D$181</definedName>
    <definedName name="OSRRefD22_11x_0" localSheetId="50">'301'!$D$61</definedName>
    <definedName name="OSRRefD22_11x_0" localSheetId="52">'307'!$D$80:$D$83</definedName>
    <definedName name="OSRRefD22_11x_0" localSheetId="53">'308'!$D$96:$D$98</definedName>
    <definedName name="OSRRefD22_11x_0" localSheetId="63">'310'!$D$68</definedName>
    <definedName name="OSRRefD22_11x_0" localSheetId="71">'310 &amp; 491'!$D$74</definedName>
    <definedName name="OSRRefD22_11x_0" localSheetId="54">'311'!$D$95:$D$97</definedName>
    <definedName name="OSRRefD22_11x_0" localSheetId="65">'313'!$D$66</definedName>
    <definedName name="OSRRefD22_11x_0" localSheetId="57">'315'!$D$117</definedName>
    <definedName name="OSRRefD22_11x_0" localSheetId="60">'316'!$D$75</definedName>
    <definedName name="OSRRefD22_11x_0" localSheetId="62">'317'!$D$92</definedName>
    <definedName name="OSRRefD22_11x_0" localSheetId="66">'321'!$D$69:$D$70</definedName>
    <definedName name="OSRRefD22_11x_0" localSheetId="67">'322'!$D$66</definedName>
    <definedName name="OSRRefD22_11x_0" localSheetId="68">'325'!$D$67:$D$69</definedName>
    <definedName name="OSRRefD22_11x_0" localSheetId="58">'326'!$D$84</definedName>
    <definedName name="OSRRefD22_11x_0" localSheetId="51">'330'!$D$80:$D$83</definedName>
    <definedName name="OSRRefD22_11x_0" localSheetId="56">'331'!$D$118</definedName>
    <definedName name="OSRRefD22_11x_0" localSheetId="59">'332'!$D$75</definedName>
    <definedName name="OSRRefD22_11x_0" localSheetId="73">'405'!$D$66</definedName>
    <definedName name="OSRRefD22_11x_0" localSheetId="75">'411'!$D$64:$D$70</definedName>
    <definedName name="OSRRefD22_11x_0" localSheetId="76">'412'!$D$65:$D$69</definedName>
    <definedName name="OSRRefD22_11x_0" localSheetId="77">'413'!$D$72:$D$73</definedName>
    <definedName name="OSRRefD22_11x_0" localSheetId="78">'414'!$D$64</definedName>
    <definedName name="OSRRefD22_11x_0" localSheetId="79">'415'!$D$68:$D$72</definedName>
    <definedName name="OSRRefD22_11x_0" localSheetId="80">'418'!$D$65:$D$74</definedName>
    <definedName name="OSRRefD22_11x_0" localSheetId="88">'433'!$D$67:$D$68</definedName>
    <definedName name="OSRRefD22_11x_0" localSheetId="90">'444'!$D$67:$D$69</definedName>
    <definedName name="OSRRefD22_11x_0" localSheetId="91">'450'!$D$63</definedName>
    <definedName name="OSRRefD22_11x_0" localSheetId="72">'491'!$D$70</definedName>
    <definedName name="OSRRefD22_11x_0" localSheetId="86">'492'!$D$67</definedName>
    <definedName name="OSRRefD22_11x_0" localSheetId="93">'501'!$D$66</definedName>
    <definedName name="OSRRefD22_11x_0" localSheetId="39">'Div 2'!$D$64:$D$65</definedName>
    <definedName name="OSRRefD22_11x_0" localSheetId="47">'Div 3'!$D$161:$D$163</definedName>
    <definedName name="OSRRefD22_11x_0" localSheetId="70">'Div 4'!$D$73</definedName>
    <definedName name="OSRRefD22_11x_0" localSheetId="92">'Div 5'!$D$66</definedName>
    <definedName name="OSRRefD22_11x_0" localSheetId="61">'Div 6'!$D$92</definedName>
    <definedName name="OSRRefD22_11x_0" localSheetId="2">Summary!$D$189:$D$191</definedName>
    <definedName name="OSRRefD22_12x_0" localSheetId="41">'201'!$D$63</definedName>
    <definedName name="OSRRefD22_12x_0" localSheetId="42">'202'!$D$66</definedName>
    <definedName name="OSRRefD22_12x_0" localSheetId="43">'203'!$D$67</definedName>
    <definedName name="OSRRefD22_12x_0" localSheetId="48">'300'!$D$161</definedName>
    <definedName name="OSRRefD22_12x_0" localSheetId="49">'300 &amp; 317'!$D$183</definedName>
    <definedName name="OSRRefD22_12x_0" localSheetId="50">'301'!$D$63</definedName>
    <definedName name="OSRRefD22_12x_0" localSheetId="52">'307'!$D$85:$D$86</definedName>
    <definedName name="OSRRefD22_12x_0" localSheetId="53">'308'!$D$100:$D$101</definedName>
    <definedName name="OSRRefD22_12x_0" localSheetId="63">'310'!$D$70:$D$73</definedName>
    <definedName name="OSRRefD22_12x_0" localSheetId="71">'310 &amp; 491'!$D$76</definedName>
    <definedName name="OSRRefD22_12x_0" localSheetId="54">'311'!$D$99:$D$100</definedName>
    <definedName name="OSRRefD22_12x_0" localSheetId="57">'315'!$D$119:$D$121</definedName>
    <definedName name="OSRRefD22_12x_0" localSheetId="62">'317'!$D$94</definedName>
    <definedName name="OSRRefD22_12x_0" localSheetId="66">'321'!$D$72</definedName>
    <definedName name="OSRRefD22_12x_0" localSheetId="68">'325'!$D$71</definedName>
    <definedName name="OSRRefD22_12x_0" localSheetId="58">'326'!$D$86</definedName>
    <definedName name="OSRRefD22_12x_0" localSheetId="51">'330'!$D$85:$D$86</definedName>
    <definedName name="OSRRefD22_12x_0" localSheetId="56">'331'!$D$120</definedName>
    <definedName name="OSRRefD22_12x_0" localSheetId="73">'405'!$D$68:$D$76</definedName>
    <definedName name="OSRRefD22_12x_0" localSheetId="75">'411'!$D$72</definedName>
    <definedName name="OSRRefD22_12x_0" localSheetId="76">'412'!$D$71:$D$72</definedName>
    <definedName name="OSRRefD22_12x_0" localSheetId="77">'413'!$D$75</definedName>
    <definedName name="OSRRefD22_12x_0" localSheetId="78">'414'!$D$66:$D$68</definedName>
    <definedName name="OSRRefD22_12x_0" localSheetId="79">'415'!$D$74</definedName>
    <definedName name="OSRRefD22_12x_0" localSheetId="80">'418'!$D$76:$D$77</definedName>
    <definedName name="OSRRefD22_12x_0" localSheetId="88">'433'!$D$70:$D$73</definedName>
    <definedName name="OSRRefD22_12x_0" localSheetId="90">'444'!$D$71:$D$73</definedName>
    <definedName name="OSRRefD22_12x_0" localSheetId="91">'450'!$D$65</definedName>
    <definedName name="OSRRefD22_12x_0" localSheetId="72">'491'!$D$72</definedName>
    <definedName name="OSRRefD22_12x_0" localSheetId="86">'492'!$D$69:$D$71</definedName>
    <definedName name="OSRRefD22_12x_0" localSheetId="39">'Div 2'!$D$67:$D$70</definedName>
    <definedName name="OSRRefD22_12x_0" localSheetId="47">'Div 3'!$D$165</definedName>
    <definedName name="OSRRefD22_12x_0" localSheetId="70">'Div 4'!$D$75</definedName>
    <definedName name="OSRRefD22_12x_0" localSheetId="61">'Div 6'!$D$94</definedName>
    <definedName name="OSRRefD22_12x_0" localSheetId="2">Summary!$D$193</definedName>
    <definedName name="OSRRefD22_13x_0" localSheetId="41">'201'!$D$65:$D$67</definedName>
    <definedName name="OSRRefD22_13x_0" localSheetId="43">'203'!$D$69</definedName>
    <definedName name="OSRRefD22_13x_0" localSheetId="48">'300'!$D$163</definedName>
    <definedName name="OSRRefD22_13x_0" localSheetId="49">'300 &amp; 317'!$D$185</definedName>
    <definedName name="OSRRefD22_13x_0" localSheetId="50">'301'!$D$65:$D$68</definedName>
    <definedName name="OSRRefD22_13x_0" localSheetId="52">'307'!$D$88</definedName>
    <definedName name="OSRRefD22_13x_0" localSheetId="53">'308'!$D$103</definedName>
    <definedName name="OSRRefD22_13x_0" localSheetId="63">'310'!$D$75:$D$76</definedName>
    <definedName name="OSRRefD22_13x_0" localSheetId="71">'310 &amp; 491'!$D$78:$D$81</definedName>
    <definedName name="OSRRefD22_13x_0" localSheetId="54">'311'!$D$102</definedName>
    <definedName name="OSRRefD22_13x_0" localSheetId="57">'315'!$D$123:$D$124</definedName>
    <definedName name="OSRRefD22_13x_0" localSheetId="66">'321'!$D$74</definedName>
    <definedName name="OSRRefD22_13x_0" localSheetId="68">'325'!$D$73:$D$77</definedName>
    <definedName name="OSRRefD22_13x_0" localSheetId="58">'326'!$D$88:$D$89</definedName>
    <definedName name="OSRRefD22_13x_0" localSheetId="51">'330'!$D$88</definedName>
    <definedName name="OSRRefD22_13x_0" localSheetId="56">'331'!$D$122</definedName>
    <definedName name="OSRRefD22_13x_0" localSheetId="73">'405'!$D$78</definedName>
    <definedName name="OSRRefD22_13x_0" localSheetId="75">'411'!$D$74</definedName>
    <definedName name="OSRRefD22_13x_0" localSheetId="76">'412'!$D$74</definedName>
    <definedName name="OSRRefD22_13x_0" localSheetId="78">'414'!$D$70</definedName>
    <definedName name="OSRRefD22_13x_0" localSheetId="79">'415'!$D$76:$D$82</definedName>
    <definedName name="OSRRefD22_13x_0" localSheetId="80">'418'!$D$79</definedName>
    <definedName name="OSRRefD22_13x_0" localSheetId="88">'433'!$D$75:$D$82</definedName>
    <definedName name="OSRRefD22_13x_0" localSheetId="90">'444'!$D$75:$D$83</definedName>
    <definedName name="OSRRefD22_13x_0" localSheetId="91">'450'!$D$67:$D$69</definedName>
    <definedName name="OSRRefD22_13x_0" localSheetId="72">'491'!$D$74:$D$77</definedName>
    <definedName name="OSRRefD22_13x_0" localSheetId="86">'492'!$D$73:$D$76</definedName>
    <definedName name="OSRRefD22_13x_0" localSheetId="39">'Div 2'!$D$72:$D$75</definedName>
    <definedName name="OSRRefD22_13x_0" localSheetId="47">'Div 3'!$D$167</definedName>
    <definedName name="OSRRefD22_13x_0" localSheetId="70">'Div 4'!$D$77</definedName>
    <definedName name="OSRRefD22_13x_0" localSheetId="2">Summary!$D$195</definedName>
    <definedName name="OSRRefD22_14x_0" localSheetId="41">'201'!$D$69</definedName>
    <definedName name="OSRRefD22_14x_0" localSheetId="48">'300'!$D$165</definedName>
    <definedName name="OSRRefD22_14x_0" localSheetId="49">'300 &amp; 317'!$D$187</definedName>
    <definedName name="OSRRefD22_14x_0" localSheetId="50">'301'!$D$70:$D$72</definedName>
    <definedName name="OSRRefD22_14x_0" localSheetId="63">'310'!$D$78:$D$81</definedName>
    <definedName name="OSRRefD22_14x_0" localSheetId="71">'310 &amp; 491'!$D$83:$D$84</definedName>
    <definedName name="OSRRefD22_14x_0" localSheetId="57">'315'!$D$126:$D$132</definedName>
    <definedName name="OSRRefD22_14x_0" localSheetId="68">'325'!$D$79:$D$80</definedName>
    <definedName name="OSRRefD22_14x_0" localSheetId="58">'326'!$D$91:$D$93</definedName>
    <definedName name="OSRRefD22_14x_0" localSheetId="56">'331'!$D$124:$D$125</definedName>
    <definedName name="OSRRefD22_14x_0" localSheetId="73">'405'!$D$80</definedName>
    <definedName name="OSRRefD22_14x_0" localSheetId="75">'411'!$D$76</definedName>
    <definedName name="OSRRefD22_14x_0" localSheetId="78">'414'!$D$72</definedName>
    <definedName name="OSRRefD22_14x_0" localSheetId="79">'415'!$D$84:$D$85</definedName>
    <definedName name="OSRRefD22_14x_0" localSheetId="88">'433'!$D$84</definedName>
    <definedName name="OSRRefD22_14x_0" localSheetId="90">'444'!$D$85:$D$86</definedName>
    <definedName name="OSRRefD22_14x_0" localSheetId="91">'450'!$D$71:$D$77</definedName>
    <definedName name="OSRRefD22_14x_0" localSheetId="72">'491'!$D$79:$D$80</definedName>
    <definedName name="OSRRefD22_14x_0" localSheetId="86">'492'!$D$78:$D$87</definedName>
    <definedName name="OSRRefD22_14x_0" localSheetId="39">'Div 2'!$D$77:$D$78</definedName>
    <definedName name="OSRRefD22_14x_0" localSheetId="47">'Div 3'!$D$169</definedName>
    <definedName name="OSRRefD22_14x_0" localSheetId="70">'Div 4'!$D$79</definedName>
    <definedName name="OSRRefD22_14x_0" localSheetId="2">Summary!$D$197</definedName>
    <definedName name="OSRRefD22_15x_0" localSheetId="41">'201'!$D$71</definedName>
    <definedName name="OSRRefD22_15x_0" localSheetId="48">'300'!$D$167</definedName>
    <definedName name="OSRRefD22_15x_0" localSheetId="49">'300 &amp; 317'!$D$189</definedName>
    <definedName name="OSRRefD22_15x_0" localSheetId="50">'301'!$D$74</definedName>
    <definedName name="OSRRefD22_15x_0" localSheetId="63">'310'!$D$83</definedName>
    <definedName name="OSRRefD22_15x_0" localSheetId="71">'310 &amp; 491'!$D$86:$D$90</definedName>
    <definedName name="OSRRefD22_15x_0" localSheetId="57">'315'!$D$134</definedName>
    <definedName name="OSRRefD22_15x_0" localSheetId="68">'325'!$D$82</definedName>
    <definedName name="OSRRefD22_15x_0" localSheetId="58">'326'!$D$95:$D$96</definedName>
    <definedName name="OSRRefD22_15x_0" localSheetId="56">'331'!$D$127:$D$129</definedName>
    <definedName name="OSRRefD22_15x_0" localSheetId="73">'405'!$D$82</definedName>
    <definedName name="OSRRefD22_15x_0" localSheetId="78">'414'!$D$74</definedName>
    <definedName name="OSRRefD22_15x_0" localSheetId="79">'415'!$D$87:$D$88</definedName>
    <definedName name="OSRRefD22_15x_0" localSheetId="90">'444'!$D$88</definedName>
    <definedName name="OSRRefD22_15x_0" localSheetId="91">'450'!$D$79:$D$80</definedName>
    <definedName name="OSRRefD22_15x_0" localSheetId="72">'491'!$D$82:$D$86</definedName>
    <definedName name="OSRRefD22_15x_0" localSheetId="86">'492'!$D$89:$D$90</definedName>
    <definedName name="OSRRefD22_15x_0" localSheetId="39">'Div 2'!$D$80:$D$81</definedName>
    <definedName name="OSRRefD22_15x_0" localSheetId="47">'Div 3'!$D$171</definedName>
    <definedName name="OSRRefD22_15x_0" localSheetId="70">'Div 4'!$D$81:$D$84</definedName>
    <definedName name="OSRRefD22_15x_0" localSheetId="2">Summary!$D$199</definedName>
    <definedName name="OSRRefD22_16x_0" localSheetId="48">'300'!$D$169:$D$172</definedName>
    <definedName name="OSRRefD22_16x_0" localSheetId="49">'300 &amp; 317'!$D$191:$D$194</definedName>
    <definedName name="OSRRefD22_16x_0" localSheetId="50">'301'!$D$76:$D$82</definedName>
    <definedName name="OSRRefD22_16x_0" localSheetId="63">'310'!$D$85:$D$91</definedName>
    <definedName name="OSRRefD22_16x_0" localSheetId="71">'310 &amp; 491'!$D$92</definedName>
    <definedName name="OSRRefD22_16x_0" localSheetId="57">'315'!$D$136:$D$137</definedName>
    <definedName name="OSRRefD22_16x_0" localSheetId="68">'325'!$D$84</definedName>
    <definedName name="OSRRefD22_16x_0" localSheetId="58">'326'!$D$98:$D$103</definedName>
    <definedName name="OSRRefD22_16x_0" localSheetId="56">'331'!$D$131:$D$133</definedName>
    <definedName name="OSRRefD22_16x_0" localSheetId="79">'415'!$D$90</definedName>
    <definedName name="OSRRefD22_16x_0" localSheetId="91">'450'!$D$82</definedName>
    <definedName name="OSRRefD22_16x_0" localSheetId="72">'491'!$D$88</definedName>
    <definedName name="OSRRefD22_16x_0" localSheetId="86">'492'!$D$92</definedName>
    <definedName name="OSRRefD22_16x_0" localSheetId="39">'Div 2'!$D$83:$D$87</definedName>
    <definedName name="OSRRefD22_16x_0" localSheetId="47">'Div 3'!$D$173</definedName>
    <definedName name="OSRRefD22_16x_0" localSheetId="70">'Div 4'!$D$86:$D$87</definedName>
    <definedName name="OSRRefD22_16x_0" localSheetId="2">Summary!$D$201</definedName>
    <definedName name="OSRRefD22_17x_0" localSheetId="48">'300'!$D$174:$D$177</definedName>
    <definedName name="OSRRefD22_17x_0" localSheetId="49">'300 &amp; 317'!$D$196:$D$199</definedName>
    <definedName name="OSRRefD22_17x_0" localSheetId="50">'301'!$D$84</definedName>
    <definedName name="OSRRefD22_17x_0" localSheetId="63">'310'!$D$93:$D$94</definedName>
    <definedName name="OSRRefD22_17x_0" localSheetId="71">'310 &amp; 491'!$D$94:$D$104</definedName>
    <definedName name="OSRRefD22_17x_0" localSheetId="58">'326'!$D$105:$D$106</definedName>
    <definedName name="OSRRefD22_17x_0" localSheetId="56">'331'!$D$135:$D$136</definedName>
    <definedName name="OSRRefD22_17x_0" localSheetId="72">'491'!$D$90:$D$100</definedName>
    <definedName name="OSRRefD22_17x_0" localSheetId="86">'492'!$D$94</definedName>
    <definedName name="OSRRefD22_17x_0" localSheetId="39">'Div 2'!$D$89:$D$90</definedName>
    <definedName name="OSRRefD22_17x_0" localSheetId="47">'Div 3'!$D$175:$D$178</definedName>
    <definedName name="OSRRefD22_17x_0" localSheetId="70">'Div 4'!$D$89:$D$93</definedName>
    <definedName name="OSRRefD22_17x_0" localSheetId="2">Summary!$D$203</definedName>
    <definedName name="OSRRefD22_18x_0" localSheetId="48">'300'!$D$179:$D$182</definedName>
    <definedName name="OSRRefD22_18x_0" localSheetId="49">'300 &amp; 317'!$D$201:$D$204</definedName>
    <definedName name="OSRRefD22_18x_0" localSheetId="50">'301'!$D$86</definedName>
    <definedName name="OSRRefD22_18x_0" localSheetId="63">'310'!$D$96</definedName>
    <definedName name="OSRRefD22_18x_0" localSheetId="71">'310 &amp; 491'!$D$106:$D$107</definedName>
    <definedName name="OSRRefD22_18x_0" localSheetId="58">'326'!$D$108</definedName>
    <definedName name="OSRRefD22_18x_0" localSheetId="56">'331'!$D$138:$D$145</definedName>
    <definedName name="OSRRefD22_18x_0" localSheetId="72">'491'!$D$102:$D$103</definedName>
    <definedName name="OSRRefD22_18x_0" localSheetId="39">'Div 2'!$D$92</definedName>
    <definedName name="OSRRefD22_18x_0" localSheetId="47">'Div 3'!$D$180:$D$183</definedName>
    <definedName name="OSRRefD22_18x_0" localSheetId="70">'Div 4'!$D$95</definedName>
    <definedName name="OSRRefD22_18x_0" localSheetId="2">Summary!$D$205:$D$208</definedName>
    <definedName name="OSRRefD22_19x_0" localSheetId="48">'300'!$D$184:$D$185</definedName>
    <definedName name="OSRRefD22_19x_0" localSheetId="49">'300 &amp; 317'!$D$206:$D$207</definedName>
    <definedName name="OSRRefD22_19x_0" localSheetId="50">'301'!$D$88</definedName>
    <definedName name="OSRRefD22_19x_0" localSheetId="63">'310'!$D$98</definedName>
    <definedName name="OSRRefD22_19x_0" localSheetId="71">'310 &amp; 491'!$D$109</definedName>
    <definedName name="OSRRefD22_19x_0" localSheetId="58">'326'!$D$110:$D$111</definedName>
    <definedName name="OSRRefD22_19x_0" localSheetId="56">'331'!$D$147:$D$148</definedName>
    <definedName name="OSRRefD22_19x_0" localSheetId="72">'491'!$D$105</definedName>
    <definedName name="OSRRefD22_19x_0" localSheetId="39">'Div 2'!$D$94:$D$95</definedName>
    <definedName name="OSRRefD22_19x_0" localSheetId="47">'Div 3'!$D$185:$D$189</definedName>
    <definedName name="OSRRefD22_19x_0" localSheetId="70">'Div 4'!$D$97:$D$107</definedName>
    <definedName name="OSRRefD22_19x_0" localSheetId="2">Summary!$D$210:$D$213</definedName>
    <definedName name="OSRRefD22_1x_0" localSheetId="40">'200'!$D$22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'300'!$D$123:$D$132</definedName>
    <definedName name="OSRRefD22_1x_0" localSheetId="49">'300 &amp; 317'!$D$145:$D$154</definedName>
    <definedName name="OSRRefD22_1x_0" localSheetId="50">'301'!$D$30:$D$39</definedName>
    <definedName name="OSRRefD22_1x_0" localSheetId="52">'307'!$D$48:$D$57</definedName>
    <definedName name="OSRRefD22_1x_0" localSheetId="53">'308'!$D$65:$D$74</definedName>
    <definedName name="OSRRefD22_1x_0" localSheetId="64">'309'!$D$31:$D$40</definedName>
    <definedName name="OSRRefD22_1x_0" localSheetId="63">'310'!$D$38:$D$47</definedName>
    <definedName name="OSRRefD22_1x_0" localSheetId="71">'310 &amp; 491'!$D$42:$D$51</definedName>
    <definedName name="OSRRefD22_1x_0" localSheetId="54">'311'!$D$64:$D$73</definedName>
    <definedName name="OSRRefD22_1x_0" localSheetId="65">'313'!$D$33:$D$42</definedName>
    <definedName name="OSRRefD22_1x_0" localSheetId="57">'315'!$D$87:$D$96</definedName>
    <definedName name="OSRRefD22_1x_0" localSheetId="60">'316'!$D$40:$D$49</definedName>
    <definedName name="OSRRefD22_1x_0" localSheetId="62">'317'!$D$60:$D$69</definedName>
    <definedName name="OSRRefD22_1x_0" localSheetId="66">'321'!$D$35:$D$44</definedName>
    <definedName name="OSRRefD22_1x_0" localSheetId="67">'322'!$D$32:$D$41</definedName>
    <definedName name="OSRRefD22_1x_0" localSheetId="55">'324'!$D$36:$D$45</definedName>
    <definedName name="OSRRefD22_1x_0" localSheetId="68">'325'!$D$34:$D$43</definedName>
    <definedName name="OSRRefD22_1x_0" localSheetId="58">'326'!$D$54:$D$63</definedName>
    <definedName name="OSRRefD22_1x_0" localSheetId="51">'330'!$D$48:$D$57</definedName>
    <definedName name="OSRRefD22_1x_0" localSheetId="56">'331'!$D$87:$D$96</definedName>
    <definedName name="OSRRefD22_1x_0" localSheetId="59">'332'!$D$40:$D$49</definedName>
    <definedName name="OSRRefD22_1x_0" localSheetId="73">'405'!$D$32:$D$41</definedName>
    <definedName name="OSRRefD22_1x_0" localSheetId="74">'406'!$D$22</definedName>
    <definedName name="OSRRefD22_1x_0" localSheetId="75">'411'!$D$30:$D$39</definedName>
    <definedName name="OSRRefD22_1x_0" localSheetId="76">'412'!$D$31:$D$40</definedName>
    <definedName name="OSRRefD22_1x_0" localSheetId="77">'413'!$D$33:$D$42</definedName>
    <definedName name="OSRRefD22_1x_0" localSheetId="78">'414'!$D$34:$D$43</definedName>
    <definedName name="OSRRefD22_1x_0" localSheetId="79">'415'!$D$37:$D$46</definedName>
    <definedName name="OSRRefD22_1x_0" localSheetId="80">'418'!$D$32:$D$41</definedName>
    <definedName name="OSRRefD22_1x_0" localSheetId="82">'423'!$D$29:$D$38</definedName>
    <definedName name="OSRRefD22_1x_0" localSheetId="83">'424'!$D$22</definedName>
    <definedName name="OSRRefD22_1x_0" localSheetId="84">'425'!$D$26</definedName>
    <definedName name="OSRRefD22_1x_0" localSheetId="87">'430'!$D$30:$D$39</definedName>
    <definedName name="OSRRefD22_1x_0" localSheetId="88">'433'!$D$38:$D$47</definedName>
    <definedName name="OSRRefD22_1x_0" localSheetId="90">'444'!$D$38:$D$47</definedName>
    <definedName name="OSRRefD22_1x_0" localSheetId="91">'450'!$D$34:$D$43</definedName>
    <definedName name="OSRRefD22_1x_0" localSheetId="72">'491'!$D$39:$D$48</definedName>
    <definedName name="OSRRefD22_1x_0" localSheetId="86">'492'!$D$38:$D$47</definedName>
    <definedName name="OSRRefD22_1x_0" localSheetId="93">'501'!$D$32:$D$41</definedName>
    <definedName name="OSRRefD22_1x_0" localSheetId="39">'Div 2'!$D$33:$D$42</definedName>
    <definedName name="OSRRefD22_1x_0" localSheetId="47">'Div 3'!$D$127:$D$136</definedName>
    <definedName name="OSRRefD22_1x_0" localSheetId="70">'Div 4'!$D$42:$D$51</definedName>
    <definedName name="OSRRefD22_1x_0" localSheetId="92">'Div 5'!$D$32:$D$41</definedName>
    <definedName name="OSRRefD22_1x_0" localSheetId="61">'Div 6'!$D$60:$D$69</definedName>
    <definedName name="OSRRefD22_1x_0" localSheetId="2">Summary!$D$154:$D$163</definedName>
    <definedName name="OSRRefD22_20x_0" localSheetId="48">'300'!$D$187:$D$195</definedName>
    <definedName name="OSRRefD22_20x_0" localSheetId="49">'300 &amp; 317'!$D$209:$D$217</definedName>
    <definedName name="OSRRefD22_20x_0" localSheetId="50">'301'!$D$90</definedName>
    <definedName name="OSRRefD22_20x_0" localSheetId="63">'310'!$D$100</definedName>
    <definedName name="OSRRefD22_20x_0" localSheetId="71">'310 &amp; 491'!$D$111:$D$113</definedName>
    <definedName name="OSRRefD22_20x_0" localSheetId="58">'326'!$D$113</definedName>
    <definedName name="OSRRefD22_20x_0" localSheetId="56">'331'!$D$150</definedName>
    <definedName name="OSRRefD22_20x_0" localSheetId="72">'491'!$D$107:$D$109</definedName>
    <definedName name="OSRRefD22_20x_0" localSheetId="47">'Div 3'!$D$191:$D$192</definedName>
    <definedName name="OSRRefD22_20x_0" localSheetId="70">'Div 4'!$D$109:$D$110</definedName>
    <definedName name="OSRRefD22_20x_0" localSheetId="2">Summary!$D$215:$D$219</definedName>
    <definedName name="OSRRefD22_21x_0" localSheetId="48">'300'!$D$197:$D$198</definedName>
    <definedName name="OSRRefD22_21x_0" localSheetId="49">'300 &amp; 317'!$D$219:$D$220</definedName>
    <definedName name="OSRRefD22_21x_0" localSheetId="71">'310 &amp; 491'!$D$115</definedName>
    <definedName name="OSRRefD22_21x_0" localSheetId="56">'331'!$D$152:$D$153</definedName>
    <definedName name="OSRRefD22_21x_0" localSheetId="72">'491'!$D$111</definedName>
    <definedName name="OSRRefD22_21x_0" localSheetId="47">'Div 3'!$D$194:$D$202</definedName>
    <definedName name="OSRRefD22_21x_0" localSheetId="70">'Div 4'!$D$112</definedName>
    <definedName name="OSRRefD22_21x_0" localSheetId="2">Summary!$D$221:$D$222</definedName>
    <definedName name="OSRRefD22_22x_0" localSheetId="48">'300'!$D$200</definedName>
    <definedName name="OSRRefD22_22x_0" localSheetId="49">'300 &amp; 317'!$D$222</definedName>
    <definedName name="OSRRefD22_22x_0" localSheetId="56">'331'!$D$155</definedName>
    <definedName name="OSRRefD22_22x_0" localSheetId="47">'Div 3'!$D$204:$D$205</definedName>
    <definedName name="OSRRefD22_22x_0" localSheetId="70">'Div 4'!$D$114:$D$116</definedName>
    <definedName name="OSRRefD22_22x_0" localSheetId="2">Summary!$D$224:$D$234</definedName>
    <definedName name="OSRRefD22_23x_0" localSheetId="48">'300'!$D$202:$D$204</definedName>
    <definedName name="OSRRefD22_23x_0" localSheetId="49">'300 &amp; 317'!$D$224:$D$226</definedName>
    <definedName name="OSRRefD22_23x_0" localSheetId="47">'Div 3'!$D$207</definedName>
    <definedName name="OSRRefD22_23x_0" localSheetId="70">'Div 4'!$D$118</definedName>
    <definedName name="OSRRefD22_23x_0" localSheetId="2">Summary!$D$236:$D$237</definedName>
    <definedName name="OSRRefD22_24x_0" localSheetId="48">'300'!$D$206</definedName>
    <definedName name="OSRRefD22_24x_0" localSheetId="49">'300 &amp; 317'!$D$228</definedName>
    <definedName name="OSRRefD22_24x_0" localSheetId="47">'Div 3'!$D$209:$D$211</definedName>
    <definedName name="OSRRefD22_24x_0" localSheetId="2">Summary!$D$239</definedName>
    <definedName name="OSRRefD22_25x_0" localSheetId="47">'Div 3'!$D$213</definedName>
    <definedName name="OSRRefD22_25x_0" localSheetId="2">Summary!$D$241:$D$243</definedName>
    <definedName name="OSRRefD22_26x_0" localSheetId="2">Summary!$D$245</definedName>
    <definedName name="OSRRefD22_2x_0" localSheetId="40">'200'!$D$24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'300'!$D$134</definedName>
    <definedName name="OSRRefD22_2x_0" localSheetId="49">'300 &amp; 317'!$D$156</definedName>
    <definedName name="OSRRefD22_2x_0" localSheetId="50">'301'!$D$41:$D$42</definedName>
    <definedName name="OSRRefD22_2x_0" localSheetId="52">'307'!$D$59</definedName>
    <definedName name="OSRRefD22_2x_0" localSheetId="53">'308'!$D$76</definedName>
    <definedName name="OSRRefD22_2x_0" localSheetId="64">'309'!$D$42</definedName>
    <definedName name="OSRRefD22_2x_0" localSheetId="63">'310'!$D$49</definedName>
    <definedName name="OSRRefD22_2x_0" localSheetId="71">'310 &amp; 491'!$D$53</definedName>
    <definedName name="OSRRefD22_2x_0" localSheetId="54">'311'!$D$75</definedName>
    <definedName name="OSRRefD22_2x_0" localSheetId="65">'313'!$D$44</definedName>
    <definedName name="OSRRefD22_2x_0" localSheetId="57">'315'!$D$98</definedName>
    <definedName name="OSRRefD22_2x_0" localSheetId="60">'316'!$D$51</definedName>
    <definedName name="OSRRefD22_2x_0" localSheetId="62">'317'!$D$71</definedName>
    <definedName name="OSRRefD22_2x_0" localSheetId="66">'321'!$D$46</definedName>
    <definedName name="OSRRefD22_2x_0" localSheetId="67">'322'!$D$43</definedName>
    <definedName name="OSRRefD22_2x_0" localSheetId="68">'325'!$D$45</definedName>
    <definedName name="OSRRefD22_2x_0" localSheetId="58">'326'!$D$65</definedName>
    <definedName name="OSRRefD22_2x_0" localSheetId="51">'330'!$D$59</definedName>
    <definedName name="OSRRefD22_2x_0" localSheetId="56">'331'!$D$98</definedName>
    <definedName name="OSRRefD22_2x_0" localSheetId="59">'332'!$D$51</definedName>
    <definedName name="OSRRefD22_2x_0" localSheetId="73">'405'!$D$43</definedName>
    <definedName name="OSRRefD22_2x_0" localSheetId="74">'406'!$D$24</definedName>
    <definedName name="OSRRefD22_2x_0" localSheetId="75">'411'!$D$41</definedName>
    <definedName name="OSRRefD22_2x_0" localSheetId="76">'412'!$D$42</definedName>
    <definedName name="OSRRefD22_2x_0" localSheetId="77">'413'!$D$44</definedName>
    <definedName name="OSRRefD22_2x_0" localSheetId="78">'414'!$D$45</definedName>
    <definedName name="OSRRefD22_2x_0" localSheetId="79">'415'!$D$48</definedName>
    <definedName name="OSRRefD22_2x_0" localSheetId="80">'418'!$D$43</definedName>
    <definedName name="OSRRefD22_2x_0" localSheetId="82">'423'!$D$40</definedName>
    <definedName name="OSRRefD22_2x_0" localSheetId="83">'424'!$D$24</definedName>
    <definedName name="OSRRefD22_2x_0" localSheetId="84">'425'!$D$28</definedName>
    <definedName name="OSRRefD22_2x_0" localSheetId="87">'430'!$D$41</definedName>
    <definedName name="OSRRefD22_2x_0" localSheetId="88">'433'!$D$49</definedName>
    <definedName name="OSRRefD22_2x_0" localSheetId="90">'444'!$D$49</definedName>
    <definedName name="OSRRefD22_2x_0" localSheetId="91">'450'!$D$45</definedName>
    <definedName name="OSRRefD22_2x_0" localSheetId="72">'491'!$D$50</definedName>
    <definedName name="OSRRefD22_2x_0" localSheetId="86">'492'!$D$49</definedName>
    <definedName name="OSRRefD22_2x_0" localSheetId="93">'501'!$D$43</definedName>
    <definedName name="OSRRefD22_2x_0" localSheetId="39">'Div 2'!$D$44</definedName>
    <definedName name="OSRRefD22_2x_0" localSheetId="47">'Div 3'!$D$138</definedName>
    <definedName name="OSRRefD22_2x_0" localSheetId="70">'Div 4'!$D$53</definedName>
    <definedName name="OSRRefD22_2x_0" localSheetId="92">'Div 5'!$D$43</definedName>
    <definedName name="OSRRefD22_2x_0" localSheetId="61">'Div 6'!$D$71</definedName>
    <definedName name="OSRRefD22_2x_0" localSheetId="2">Summary!$D$165</definedName>
    <definedName name="OSRRefD22_3x_0" localSheetId="40">'200'!$D$26:$D$27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</definedName>
    <definedName name="OSRRefD22_3x_0" localSheetId="46">'206'!$D$43</definedName>
    <definedName name="OSRRefD22_3x_0" localSheetId="48">'300'!$D$136:$D$137</definedName>
    <definedName name="OSRRefD22_3x_0" localSheetId="49">'300 &amp; 317'!$D$158:$D$159</definedName>
    <definedName name="OSRRefD22_3x_0" localSheetId="50">'301'!$D$44</definedName>
    <definedName name="OSRRefD22_3x_0" localSheetId="52">'307'!$D$61</definedName>
    <definedName name="OSRRefD22_3x_0" localSheetId="53">'308'!$D$78</definedName>
    <definedName name="OSRRefD22_3x_0" localSheetId="64">'309'!$D$44</definedName>
    <definedName name="OSRRefD22_3x_0" localSheetId="63">'310'!$D$51</definedName>
    <definedName name="OSRRefD22_3x_0" localSheetId="71">'310 &amp; 491'!$D$55</definedName>
    <definedName name="OSRRefD22_3x_0" localSheetId="54">'311'!$D$77</definedName>
    <definedName name="OSRRefD22_3x_0" localSheetId="65">'313'!$D$46</definedName>
    <definedName name="OSRRefD22_3x_0" localSheetId="57">'315'!$D$100</definedName>
    <definedName name="OSRRefD22_3x_0" localSheetId="60">'316'!$D$53</definedName>
    <definedName name="OSRRefD22_3x_0" localSheetId="62">'317'!$D$73</definedName>
    <definedName name="OSRRefD22_3x_0" localSheetId="66">'321'!$D$48</definedName>
    <definedName name="OSRRefD22_3x_0" localSheetId="67">'322'!$D$45</definedName>
    <definedName name="OSRRefD22_3x_0" localSheetId="68">'325'!$D$47</definedName>
    <definedName name="OSRRefD22_3x_0" localSheetId="58">'326'!$D$67</definedName>
    <definedName name="OSRRefD22_3x_0" localSheetId="51">'330'!$D$61</definedName>
    <definedName name="OSRRefD22_3x_0" localSheetId="56">'331'!$D$100</definedName>
    <definedName name="OSRRefD22_3x_0" localSheetId="59">'332'!$D$53</definedName>
    <definedName name="OSRRefD22_3x_0" localSheetId="73">'405'!$D$45</definedName>
    <definedName name="OSRRefD22_3x_0" localSheetId="74">'406'!$D$26</definedName>
    <definedName name="OSRRefD22_3x_0" localSheetId="75">'411'!$D$43</definedName>
    <definedName name="OSRRefD22_3x_0" localSheetId="76">'412'!$D$44</definedName>
    <definedName name="OSRRefD22_3x_0" localSheetId="77">'413'!$D$46</definedName>
    <definedName name="OSRRefD22_3x_0" localSheetId="78">'414'!$D$47</definedName>
    <definedName name="OSRRefD22_3x_0" localSheetId="79">'415'!$D$50</definedName>
    <definedName name="OSRRefD22_3x_0" localSheetId="80">'418'!$D$45</definedName>
    <definedName name="OSRRefD22_3x_0" localSheetId="82">'423'!$D$42:$D$43</definedName>
    <definedName name="OSRRefD22_3x_0" localSheetId="83">'424'!$D$26</definedName>
    <definedName name="OSRRefD22_3x_0" localSheetId="84">'425'!$D$30</definedName>
    <definedName name="OSRRefD22_3x_0" localSheetId="87">'430'!$D$43:$D$45</definedName>
    <definedName name="OSRRefD22_3x_0" localSheetId="88">'433'!$D$51</definedName>
    <definedName name="OSRRefD22_3x_0" localSheetId="90">'444'!$D$51</definedName>
    <definedName name="OSRRefD22_3x_0" localSheetId="91">'450'!$D$47</definedName>
    <definedName name="OSRRefD22_3x_0" localSheetId="72">'491'!$D$52</definedName>
    <definedName name="OSRRefD22_3x_0" localSheetId="86">'492'!$D$51</definedName>
    <definedName name="OSRRefD22_3x_0" localSheetId="93">'501'!$D$45</definedName>
    <definedName name="OSRRefD22_3x_0" localSheetId="39">'Div 2'!$D$46</definedName>
    <definedName name="OSRRefD22_3x_0" localSheetId="47">'Div 3'!$D$140:$D$141</definedName>
    <definedName name="OSRRefD22_3x_0" localSheetId="70">'Div 4'!$D$55</definedName>
    <definedName name="OSRRefD22_3x_0" localSheetId="92">'Div 5'!$D$45</definedName>
    <definedName name="OSRRefD22_3x_0" localSheetId="61">'Div 6'!$D$73</definedName>
    <definedName name="OSRRefD22_3x_0" localSheetId="2">Summary!$D$167:$D$168</definedName>
    <definedName name="OSRRefD22_4x_0" localSheetId="41">'201'!$D$46</definedName>
    <definedName name="OSRRefD22_4x_0" localSheetId="42">'202'!$D$46:$D$47</definedName>
    <definedName name="OSRRefD22_4x_0" localSheetId="43">'203'!$D$46</definedName>
    <definedName name="OSRRefD22_4x_0" localSheetId="44">'204'!$D$47</definedName>
    <definedName name="OSRRefD22_4x_0" localSheetId="45">'205'!$D$45:$D$46</definedName>
    <definedName name="OSRRefD22_4x_0" localSheetId="46">'206'!$D$45</definedName>
    <definedName name="OSRRefD22_4x_0" localSheetId="48">'300'!$D$139</definedName>
    <definedName name="OSRRefD22_4x_0" localSheetId="49">'300 &amp; 317'!$D$161</definedName>
    <definedName name="OSRRefD22_4x_0" localSheetId="50">'301'!$D$46:$D$47</definedName>
    <definedName name="OSRRefD22_4x_0" localSheetId="52">'307'!$D$63</definedName>
    <definedName name="OSRRefD22_4x_0" localSheetId="53">'308'!$D$80</definedName>
    <definedName name="OSRRefD22_4x_0" localSheetId="64">'309'!$D$46</definedName>
    <definedName name="OSRRefD22_4x_0" localSheetId="63">'310'!$D$53</definedName>
    <definedName name="OSRRefD22_4x_0" localSheetId="71">'310 &amp; 491'!$D$57</definedName>
    <definedName name="OSRRefD22_4x_0" localSheetId="54">'311'!$D$79</definedName>
    <definedName name="OSRRefD22_4x_0" localSheetId="65">'313'!$D$48</definedName>
    <definedName name="OSRRefD22_4x_0" localSheetId="57">'315'!$D$102</definedName>
    <definedName name="OSRRefD22_4x_0" localSheetId="60">'316'!$D$55</definedName>
    <definedName name="OSRRefD22_4x_0" localSheetId="62">'317'!$D$75</definedName>
    <definedName name="OSRRefD22_4x_0" localSheetId="66">'321'!$D$50</definedName>
    <definedName name="OSRRefD22_4x_0" localSheetId="67">'322'!$D$47</definedName>
    <definedName name="OSRRefD22_4x_0" localSheetId="68">'325'!$D$49</definedName>
    <definedName name="OSRRefD22_4x_0" localSheetId="58">'326'!$D$69</definedName>
    <definedName name="OSRRefD22_4x_0" localSheetId="51">'330'!$D$63</definedName>
    <definedName name="OSRRefD22_4x_0" localSheetId="56">'331'!$D$102</definedName>
    <definedName name="OSRRefD22_4x_0" localSheetId="59">'332'!$D$55</definedName>
    <definedName name="OSRRefD22_4x_0" localSheetId="73">'405'!$D$47:$D$48</definedName>
    <definedName name="OSRRefD22_4x_0" localSheetId="74">'406'!$D$28</definedName>
    <definedName name="OSRRefD22_4x_0" localSheetId="75">'411'!$D$45:$D$46</definedName>
    <definedName name="OSRRefD22_4x_0" localSheetId="76">'412'!$D$46:$D$47</definedName>
    <definedName name="OSRRefD22_4x_0" localSheetId="77">'413'!$D$48</definedName>
    <definedName name="OSRRefD22_4x_0" localSheetId="78">'414'!$D$49</definedName>
    <definedName name="OSRRefD22_4x_0" localSheetId="79">'415'!$D$52</definedName>
    <definedName name="OSRRefD22_4x_0" localSheetId="80">'418'!$D$47:$D$48</definedName>
    <definedName name="OSRRefD22_4x_0" localSheetId="82">'423'!$D$45</definedName>
    <definedName name="OSRRefD22_4x_0" localSheetId="84">'425'!$D$32</definedName>
    <definedName name="OSRRefD22_4x_0" localSheetId="87">'430'!$D$47:$D$48</definedName>
    <definedName name="OSRRefD22_4x_0" localSheetId="88">'433'!$D$53</definedName>
    <definedName name="OSRRefD22_4x_0" localSheetId="90">'444'!$D$53</definedName>
    <definedName name="OSRRefD22_4x_0" localSheetId="91">'450'!$D$49</definedName>
    <definedName name="OSRRefD22_4x_0" localSheetId="72">'491'!$D$54</definedName>
    <definedName name="OSRRefD22_4x_0" localSheetId="86">'492'!$D$53</definedName>
    <definedName name="OSRRefD22_4x_0" localSheetId="93">'501'!$D$47</definedName>
    <definedName name="OSRRefD22_4x_0" localSheetId="39">'Div 2'!$D$48</definedName>
    <definedName name="OSRRefD22_4x_0" localSheetId="47">'Div 3'!$D$143</definedName>
    <definedName name="OSRRefD22_4x_0" localSheetId="70">'Div 4'!$D$57</definedName>
    <definedName name="OSRRefD22_4x_0" localSheetId="92">'Div 5'!$D$47</definedName>
    <definedName name="OSRRefD22_4x_0" localSheetId="61">'Div 6'!$D$75</definedName>
    <definedName name="OSRRefD22_4x_0" localSheetId="2">Summary!$D$170</definedName>
    <definedName name="OSRRefD22_5x_0" localSheetId="41">'201'!$D$48</definedName>
    <definedName name="OSRRefD22_5x_0" localSheetId="42">'202'!$D$49</definedName>
    <definedName name="OSRRefD22_5x_0" localSheetId="43">'203'!$D$48</definedName>
    <definedName name="OSRRefD22_5x_0" localSheetId="44">'204'!$D$49</definedName>
    <definedName name="OSRRefD22_5x_0" localSheetId="45">'205'!$D$48</definedName>
    <definedName name="OSRRefD22_5x_0" localSheetId="46">'206'!$D$47</definedName>
    <definedName name="OSRRefD22_5x_0" localSheetId="48">'300'!$D$141:$D$142</definedName>
    <definedName name="OSRRefD22_5x_0" localSheetId="49">'300 &amp; 317'!$D$163:$D$164</definedName>
    <definedName name="OSRRefD22_5x_0" localSheetId="50">'301'!$D$49</definedName>
    <definedName name="OSRRefD22_5x_0" localSheetId="52">'307'!$D$65:$D$66</definedName>
    <definedName name="OSRRefD22_5x_0" localSheetId="53">'308'!$D$82</definedName>
    <definedName name="OSRRefD22_5x_0" localSheetId="64">'309'!$D$48</definedName>
    <definedName name="OSRRefD22_5x_0" localSheetId="63">'310'!$D$55:$D$56</definedName>
    <definedName name="OSRRefD22_5x_0" localSheetId="71">'310 &amp; 491'!$D$59:$D$61</definedName>
    <definedName name="OSRRefD22_5x_0" localSheetId="54">'311'!$D$81</definedName>
    <definedName name="OSRRefD22_5x_0" localSheetId="65">'313'!$D$50</definedName>
    <definedName name="OSRRefD22_5x_0" localSheetId="57">'315'!$D$104</definedName>
    <definedName name="OSRRefD22_5x_0" localSheetId="60">'316'!$D$57</definedName>
    <definedName name="OSRRefD22_5x_0" localSheetId="62">'317'!$D$77</definedName>
    <definedName name="OSRRefD22_5x_0" localSheetId="66">'321'!$D$52</definedName>
    <definedName name="OSRRefD22_5x_0" localSheetId="67">'322'!$D$49</definedName>
    <definedName name="OSRRefD22_5x_0" localSheetId="68">'325'!$D$51:$D$52</definedName>
    <definedName name="OSRRefD22_5x_0" localSheetId="58">'326'!$D$71</definedName>
    <definedName name="OSRRefD22_5x_0" localSheetId="51">'330'!$D$65:$D$66</definedName>
    <definedName name="OSRRefD22_5x_0" localSheetId="56">'331'!$D$104</definedName>
    <definedName name="OSRRefD22_5x_0" localSheetId="59">'332'!$D$57</definedName>
    <definedName name="OSRRefD22_5x_0" localSheetId="73">'405'!$D$50</definedName>
    <definedName name="OSRRefD22_5x_0" localSheetId="75">'411'!$D$48</definedName>
    <definedName name="OSRRefD22_5x_0" localSheetId="76">'412'!$D$49</definedName>
    <definedName name="OSRRefD22_5x_0" localSheetId="77">'413'!$D$50</definedName>
    <definedName name="OSRRefD22_5x_0" localSheetId="78">'414'!$D$51</definedName>
    <definedName name="OSRRefD22_5x_0" localSheetId="79">'415'!$D$54:$D$55</definedName>
    <definedName name="OSRRefD22_5x_0" localSheetId="80">'418'!$D$50</definedName>
    <definedName name="OSRRefD22_5x_0" localSheetId="82">'423'!$D$47</definedName>
    <definedName name="OSRRefD22_5x_0" localSheetId="87">'430'!$D$50</definedName>
    <definedName name="OSRRefD22_5x_0" localSheetId="88">'433'!$D$55</definedName>
    <definedName name="OSRRefD22_5x_0" localSheetId="90">'444'!$D$55</definedName>
    <definedName name="OSRRefD22_5x_0" localSheetId="91">'450'!$D$51</definedName>
    <definedName name="OSRRefD22_5x_0" localSheetId="72">'491'!$D$56:$D$58</definedName>
    <definedName name="OSRRefD22_5x_0" localSheetId="86">'492'!$D$55</definedName>
    <definedName name="OSRRefD22_5x_0" localSheetId="93">'501'!$D$49:$D$50</definedName>
    <definedName name="OSRRefD22_5x_0" localSheetId="39">'Div 2'!$D$50:$D$51</definedName>
    <definedName name="OSRRefD22_5x_0" localSheetId="47">'Div 3'!$D$145:$D$146</definedName>
    <definedName name="OSRRefD22_5x_0" localSheetId="70">'Div 4'!$D$59:$D$61</definedName>
    <definedName name="OSRRefD22_5x_0" localSheetId="92">'Div 5'!$D$49:$D$50</definedName>
    <definedName name="OSRRefD22_5x_0" localSheetId="61">'Div 6'!$D$77</definedName>
    <definedName name="OSRRefD22_5x_0" localSheetId="2">Summary!$D$172:$D$174</definedName>
    <definedName name="OSRRefD22_6x_0" localSheetId="41">'201'!$D$50</definedName>
    <definedName name="OSRRefD22_6x_0" localSheetId="42">'202'!$D$51</definedName>
    <definedName name="OSRRefD22_6x_0" localSheetId="43">'203'!$D$50</definedName>
    <definedName name="OSRRefD22_6x_0" localSheetId="44">'204'!$D$51:$D$53</definedName>
    <definedName name="OSRRefD22_6x_0" localSheetId="45">'205'!$D$50:$D$51</definedName>
    <definedName name="OSRRefD22_6x_0" localSheetId="46">'206'!$D$49</definedName>
    <definedName name="OSRRefD22_6x_0" localSheetId="48">'300'!$D$144:$D$145</definedName>
    <definedName name="OSRRefD22_6x_0" localSheetId="49">'300 &amp; 317'!$D$166:$D$167</definedName>
    <definedName name="OSRRefD22_6x_0" localSheetId="50">'301'!$D$51</definedName>
    <definedName name="OSRRefD22_6x_0" localSheetId="52">'307'!$D$68</definedName>
    <definedName name="OSRRefD22_6x_0" localSheetId="53">'308'!$D$84</definedName>
    <definedName name="OSRRefD22_6x_0" localSheetId="64">'309'!$D$50:$D$51</definedName>
    <definedName name="OSRRefD22_6x_0" localSheetId="63">'310'!$D$58</definedName>
    <definedName name="OSRRefD22_6x_0" localSheetId="71">'310 &amp; 491'!$D$63</definedName>
    <definedName name="OSRRefD22_6x_0" localSheetId="54">'311'!$D$83</definedName>
    <definedName name="OSRRefD22_6x_0" localSheetId="65">'313'!$D$52:$D$53</definedName>
    <definedName name="OSRRefD22_6x_0" localSheetId="57">'315'!$D$106</definedName>
    <definedName name="OSRRefD22_6x_0" localSheetId="60">'316'!$D$59:$D$60</definedName>
    <definedName name="OSRRefD22_6x_0" localSheetId="62">'317'!$D$79:$D$80</definedName>
    <definedName name="OSRRefD22_6x_0" localSheetId="66">'321'!$D$54</definedName>
    <definedName name="OSRRefD22_6x_0" localSheetId="67">'322'!$D$51</definedName>
    <definedName name="OSRRefD22_6x_0" localSheetId="68">'325'!$D$54</definedName>
    <definedName name="OSRRefD22_6x_0" localSheetId="58">'326'!$D$73</definedName>
    <definedName name="OSRRefD22_6x_0" localSheetId="51">'330'!$D$68</definedName>
    <definedName name="OSRRefD22_6x_0" localSheetId="56">'331'!$D$106</definedName>
    <definedName name="OSRRefD22_6x_0" localSheetId="59">'332'!$D$59:$D$60</definedName>
    <definedName name="OSRRefD22_6x_0" localSheetId="73">'405'!$D$52</definedName>
    <definedName name="OSRRefD22_6x_0" localSheetId="75">'411'!$D$50</definedName>
    <definedName name="OSRRefD22_6x_0" localSheetId="76">'412'!$D$51</definedName>
    <definedName name="OSRRefD22_6x_0" localSheetId="77">'413'!$D$52</definedName>
    <definedName name="OSRRefD22_6x_0" localSheetId="78">'414'!$D$53</definedName>
    <definedName name="OSRRefD22_6x_0" localSheetId="79">'415'!$D$57</definedName>
    <definedName name="OSRRefD22_6x_0" localSheetId="80">'418'!$D$52</definedName>
    <definedName name="OSRRefD22_6x_0" localSheetId="82">'423'!$D$49</definedName>
    <definedName name="OSRRefD22_6x_0" localSheetId="87">'430'!$D$52</definedName>
    <definedName name="OSRRefD22_6x_0" localSheetId="88">'433'!$D$57</definedName>
    <definedName name="OSRRefD22_6x_0" localSheetId="90">'444'!$D$57</definedName>
    <definedName name="OSRRefD22_6x_0" localSheetId="91">'450'!$D$53</definedName>
    <definedName name="OSRRefD22_6x_0" localSheetId="72">'491'!$D$60</definedName>
    <definedName name="OSRRefD22_6x_0" localSheetId="86">'492'!$D$57</definedName>
    <definedName name="OSRRefD22_6x_0" localSheetId="93">'501'!$D$52</definedName>
    <definedName name="OSRRefD22_6x_0" localSheetId="39">'Div 2'!$D$53</definedName>
    <definedName name="OSRRefD22_6x_0" localSheetId="47">'Div 3'!$D$148:$D$149</definedName>
    <definedName name="OSRRefD22_6x_0" localSheetId="70">'Div 4'!$D$63</definedName>
    <definedName name="OSRRefD22_6x_0" localSheetId="92">'Div 5'!$D$52</definedName>
    <definedName name="OSRRefD22_6x_0" localSheetId="61">'Div 6'!$D$79:$D$80</definedName>
    <definedName name="OSRRefD22_6x_0" localSheetId="2">Summary!$D$176:$D$177</definedName>
    <definedName name="OSRRefD22_7x_0" localSheetId="41">'201'!$D$52</definedName>
    <definedName name="OSRRefD22_7x_0" localSheetId="42">'202'!$D$53:$D$54</definedName>
    <definedName name="OSRRefD22_7x_0" localSheetId="43">'203'!$D$52:$D$53</definedName>
    <definedName name="OSRRefD22_7x_0" localSheetId="44">'204'!$D$55:$D$56</definedName>
    <definedName name="OSRRefD22_7x_0" localSheetId="45">'205'!$D$53</definedName>
    <definedName name="OSRRefD22_7x_0" localSheetId="46">'206'!$D$51</definedName>
    <definedName name="OSRRefD22_7x_0" localSheetId="48">'300'!$D$147:$D$148</definedName>
    <definedName name="OSRRefD22_7x_0" localSheetId="49">'300 &amp; 317'!$D$169:$D$170</definedName>
    <definedName name="OSRRefD22_7x_0" localSheetId="50">'301'!$D$53</definedName>
    <definedName name="OSRRefD22_7x_0" localSheetId="52">'307'!$D$70</definedName>
    <definedName name="OSRRefD22_7x_0" localSheetId="53">'308'!$D$86:$D$87</definedName>
    <definedName name="OSRRefD22_7x_0" localSheetId="64">'309'!$D$53:$D$54</definedName>
    <definedName name="OSRRefD22_7x_0" localSheetId="63">'310'!$D$60</definedName>
    <definedName name="OSRRefD22_7x_0" localSheetId="71">'310 &amp; 491'!$D$65</definedName>
    <definedName name="OSRRefD22_7x_0" localSheetId="54">'311'!$D$85:$D$86</definedName>
    <definedName name="OSRRefD22_7x_0" localSheetId="65">'313'!$D$55</definedName>
    <definedName name="OSRRefD22_7x_0" localSheetId="57">'315'!$D$108:$D$109</definedName>
    <definedName name="OSRRefD22_7x_0" localSheetId="60">'316'!$D$62:$D$63</definedName>
    <definedName name="OSRRefD22_7x_0" localSheetId="62">'317'!$D$82</definedName>
    <definedName name="OSRRefD22_7x_0" localSheetId="66">'321'!$D$56:$D$57</definedName>
    <definedName name="OSRRefD22_7x_0" localSheetId="67">'322'!$D$53:$D$54</definedName>
    <definedName name="OSRRefD22_7x_0" localSheetId="68">'325'!$D$56</definedName>
    <definedName name="OSRRefD22_7x_0" localSheetId="58">'326'!$D$75</definedName>
    <definedName name="OSRRefD22_7x_0" localSheetId="51">'330'!$D$70</definedName>
    <definedName name="OSRRefD22_7x_0" localSheetId="56">'331'!$D$108</definedName>
    <definedName name="OSRRefD22_7x_0" localSheetId="59">'332'!$D$62:$D$63</definedName>
    <definedName name="OSRRefD22_7x_0" localSheetId="73">'405'!$D$54</definedName>
    <definedName name="OSRRefD22_7x_0" localSheetId="75">'411'!$D$52</definedName>
    <definedName name="OSRRefD22_7x_0" localSheetId="76">'412'!$D$53</definedName>
    <definedName name="OSRRefD22_7x_0" localSheetId="77">'413'!$D$54</definedName>
    <definedName name="OSRRefD22_7x_0" localSheetId="78">'414'!$D$55</definedName>
    <definedName name="OSRRefD22_7x_0" localSheetId="79">'415'!$D$59</definedName>
    <definedName name="OSRRefD22_7x_0" localSheetId="80">'418'!$D$54</definedName>
    <definedName name="OSRRefD22_7x_0" localSheetId="88">'433'!$D$59</definedName>
    <definedName name="OSRRefD22_7x_0" localSheetId="90">'444'!$D$59</definedName>
    <definedName name="OSRRefD22_7x_0" localSheetId="91">'450'!$D$55</definedName>
    <definedName name="OSRRefD22_7x_0" localSheetId="72">'491'!$D$62</definedName>
    <definedName name="OSRRefD22_7x_0" localSheetId="86">'492'!$D$59</definedName>
    <definedName name="OSRRefD22_7x_0" localSheetId="93">'501'!$D$54</definedName>
    <definedName name="OSRRefD22_7x_0" localSheetId="39">'Div 2'!$D$55</definedName>
    <definedName name="OSRRefD22_7x_0" localSheetId="47">'Div 3'!$D$151:$D$152</definedName>
    <definedName name="OSRRefD22_7x_0" localSheetId="70">'Div 4'!$D$65</definedName>
    <definedName name="OSRRefD22_7x_0" localSheetId="92">'Div 5'!$D$54</definedName>
    <definedName name="OSRRefD22_7x_0" localSheetId="61">'Div 6'!$D$82</definedName>
    <definedName name="OSRRefD22_7x_0" localSheetId="2">Summary!$D$179:$D$180</definedName>
    <definedName name="OSRRefD22_8x_0" localSheetId="41">'201'!$D$54</definedName>
    <definedName name="OSRRefD22_8x_0" localSheetId="42">'202'!$D$56</definedName>
    <definedName name="OSRRefD22_8x_0" localSheetId="43">'203'!$D$55:$D$57</definedName>
    <definedName name="OSRRefD22_8x_0" localSheetId="44">'204'!$D$58</definedName>
    <definedName name="OSRRefD22_8x_0" localSheetId="46">'206'!$D$53:$D$54</definedName>
    <definedName name="OSRRefD22_8x_0" localSheetId="48">'300'!$D$150</definedName>
    <definedName name="OSRRefD22_8x_0" localSheetId="49">'300 &amp; 317'!$D$172</definedName>
    <definedName name="OSRRefD22_8x_0" localSheetId="50">'301'!$D$55</definedName>
    <definedName name="OSRRefD22_8x_0" localSheetId="52">'307'!$D$72</definedName>
    <definedName name="OSRRefD22_8x_0" localSheetId="53">'308'!$D$89</definedName>
    <definedName name="OSRRefD22_8x_0" localSheetId="64">'309'!$D$56:$D$57</definedName>
    <definedName name="OSRRefD22_8x_0" localSheetId="63">'310'!$D$62</definedName>
    <definedName name="OSRRefD22_8x_0" localSheetId="71">'310 &amp; 491'!$D$67:$D$68</definedName>
    <definedName name="OSRRefD22_8x_0" localSheetId="54">'311'!$D$88</definedName>
    <definedName name="OSRRefD22_8x_0" localSheetId="65">'313'!$D$57:$D$59</definedName>
    <definedName name="OSRRefD22_8x_0" localSheetId="57">'315'!$D$111</definedName>
    <definedName name="OSRRefD22_8x_0" localSheetId="60">'316'!$D$65</definedName>
    <definedName name="OSRRefD22_8x_0" localSheetId="62">'317'!$D$84</definedName>
    <definedName name="OSRRefD22_8x_0" localSheetId="66">'321'!$D$59:$D$60</definedName>
    <definedName name="OSRRefD22_8x_0" localSheetId="67">'322'!$D$56:$D$57</definedName>
    <definedName name="OSRRefD22_8x_0" localSheetId="68">'325'!$D$58</definedName>
    <definedName name="OSRRefD22_8x_0" localSheetId="58">'326'!$D$77:$D$78</definedName>
    <definedName name="OSRRefD22_8x_0" localSheetId="51">'330'!$D$72</definedName>
    <definedName name="OSRRefD22_8x_0" localSheetId="56">'331'!$D$110:$D$111</definedName>
    <definedName name="OSRRefD22_8x_0" localSheetId="59">'332'!$D$65</definedName>
    <definedName name="OSRRefD22_8x_0" localSheetId="73">'405'!$D$56:$D$57</definedName>
    <definedName name="OSRRefD22_8x_0" localSheetId="75">'411'!$D$54</definedName>
    <definedName name="OSRRefD22_8x_0" localSheetId="76">'412'!$D$55:$D$56</definedName>
    <definedName name="OSRRefD22_8x_0" localSheetId="77">'413'!$D$56:$D$58</definedName>
    <definedName name="OSRRefD22_8x_0" localSheetId="78">'414'!$D$57:$D$58</definedName>
    <definedName name="OSRRefD22_8x_0" localSheetId="79">'415'!$D$61</definedName>
    <definedName name="OSRRefD22_8x_0" localSheetId="80">'418'!$D$56:$D$58</definedName>
    <definedName name="OSRRefD22_8x_0" localSheetId="88">'433'!$D$61</definedName>
    <definedName name="OSRRefD22_8x_0" localSheetId="90">'444'!$D$61</definedName>
    <definedName name="OSRRefD22_8x_0" localSheetId="91">'450'!$D$57</definedName>
    <definedName name="OSRRefD22_8x_0" localSheetId="72">'491'!$D$64</definedName>
    <definedName name="OSRRefD22_8x_0" localSheetId="86">'492'!$D$61</definedName>
    <definedName name="OSRRefD22_8x_0" localSheetId="93">'501'!$D$56</definedName>
    <definedName name="OSRRefD22_8x_0" localSheetId="39">'Div 2'!$D$57</definedName>
    <definedName name="OSRRefD22_8x_0" localSheetId="47">'Div 3'!$D$154</definedName>
    <definedName name="OSRRefD22_8x_0" localSheetId="70">'Div 4'!$D$67</definedName>
    <definedName name="OSRRefD22_8x_0" localSheetId="92">'Div 5'!$D$56</definedName>
    <definedName name="OSRRefD22_8x_0" localSheetId="61">'Div 6'!$D$84</definedName>
    <definedName name="OSRRefD22_8x_0" localSheetId="2">Summary!$D$182</definedName>
    <definedName name="OSRRefD22_9x_0" localSheetId="41">'201'!$D$56</definedName>
    <definedName name="OSRRefD22_9x_0" localSheetId="42">'202'!$D$58:$D$60</definedName>
    <definedName name="OSRRefD22_9x_0" localSheetId="43">'203'!$D$59</definedName>
    <definedName name="OSRRefD22_9x_0" localSheetId="44">'204'!$D$60:$D$61</definedName>
    <definedName name="OSRRefD22_9x_0" localSheetId="46">'206'!$D$56</definedName>
    <definedName name="OSRRefD22_9x_0" localSheetId="48">'300'!$D$152</definedName>
    <definedName name="OSRRefD22_9x_0" localSheetId="49">'300 &amp; 317'!$D$174</definedName>
    <definedName name="OSRRefD22_9x_0" localSheetId="50">'301'!$D$57</definedName>
    <definedName name="OSRRefD22_9x_0" localSheetId="52">'307'!$D$74:$D$75</definedName>
    <definedName name="OSRRefD22_9x_0" localSheetId="53">'308'!$D$91:$D$92</definedName>
    <definedName name="OSRRefD22_9x_0" localSheetId="64">'309'!$D$59</definedName>
    <definedName name="OSRRefD22_9x_0" localSheetId="63">'310'!$D$64</definedName>
    <definedName name="OSRRefD22_9x_0" localSheetId="71">'310 &amp; 491'!$D$70</definedName>
    <definedName name="OSRRefD22_9x_0" localSheetId="54">'311'!$D$90:$D$91</definedName>
    <definedName name="OSRRefD22_9x_0" localSheetId="65">'313'!$D$61:$D$62</definedName>
    <definedName name="OSRRefD22_9x_0" localSheetId="57">'315'!$D$113</definedName>
    <definedName name="OSRRefD22_9x_0" localSheetId="60">'316'!$D$67:$D$71</definedName>
    <definedName name="OSRRefD22_9x_0" localSheetId="62">'317'!$D$86</definedName>
    <definedName name="OSRRefD22_9x_0" localSheetId="66">'321'!$D$62:$D$63</definedName>
    <definedName name="OSRRefD22_9x_0" localSheetId="67">'322'!$D$59:$D$62</definedName>
    <definedName name="OSRRefD22_9x_0" localSheetId="68">'325'!$D$60</definedName>
    <definedName name="OSRRefD22_9x_0" localSheetId="58">'326'!$D$80</definedName>
    <definedName name="OSRRefD22_9x_0" localSheetId="51">'330'!$D$74:$D$75</definedName>
    <definedName name="OSRRefD22_9x_0" localSheetId="56">'331'!$D$113:$D$114</definedName>
    <definedName name="OSRRefD22_9x_0" localSheetId="59">'332'!$D$67:$D$71</definedName>
    <definedName name="OSRRefD22_9x_0" localSheetId="73">'405'!$D$59</definedName>
    <definedName name="OSRRefD22_9x_0" localSheetId="75">'411'!$D$56:$D$57</definedName>
    <definedName name="OSRRefD22_9x_0" localSheetId="76">'412'!$D$58</definedName>
    <definedName name="OSRRefD22_9x_0" localSheetId="77">'413'!$D$60:$D$61</definedName>
    <definedName name="OSRRefD22_9x_0" localSheetId="78">'414'!$D$60</definedName>
    <definedName name="OSRRefD22_9x_0" localSheetId="79">'415'!$D$63</definedName>
    <definedName name="OSRRefD22_9x_0" localSheetId="80">'418'!$D$60:$D$61</definedName>
    <definedName name="OSRRefD22_9x_0" localSheetId="88">'433'!$D$63</definedName>
    <definedName name="OSRRefD22_9x_0" localSheetId="90">'444'!$D$63</definedName>
    <definedName name="OSRRefD22_9x_0" localSheetId="91">'450'!$D$59</definedName>
    <definedName name="OSRRefD22_9x_0" localSheetId="72">'491'!$D$66</definedName>
    <definedName name="OSRRefD22_9x_0" localSheetId="86">'492'!$D$63</definedName>
    <definedName name="OSRRefD22_9x_0" localSheetId="93">'501'!$D$58:$D$61</definedName>
    <definedName name="OSRRefD22_9x_0" localSheetId="39">'Div 2'!$D$59:$D$60</definedName>
    <definedName name="OSRRefD22_9x_0" localSheetId="47">'Div 3'!$D$156</definedName>
    <definedName name="OSRRefD22_9x_0" localSheetId="70">'Div 4'!$D$69</definedName>
    <definedName name="OSRRefD22_9x_0" localSheetId="92">'Div 5'!$D$58:$D$61</definedName>
    <definedName name="OSRRefD22_9x_0" localSheetId="61">'Div 6'!$D$86</definedName>
    <definedName name="OSRRefD22_9x_0" localSheetId="2">Summary!$D$184</definedName>
    <definedName name="OSRRefD22x_0" localSheetId="40">'200'!$D$20,'200'!$D$22,'200'!$D$24,'200'!$D$26:$D$27</definedName>
    <definedName name="OSRRefD22x_0" localSheetId="41">'201'!$D$21:$D$29,'201'!$D$31:$D$40,'201'!$D$42,'201'!$D$44,'201'!$D$46,'201'!$D$48,'201'!$D$50,'201'!$D$52,'201'!$D$54,'201'!$D$56,'201'!$D$58:$D$59,'201'!$D$61,'201'!$D$63,'201'!$D$65:$D$67,'201'!$D$69,'201'!$D$71</definedName>
    <definedName name="OSRRefD22x_0" localSheetId="42">'202'!$D$21:$D$29,'202'!$D$31:$D$40,'202'!$D$42,'202'!$D$44,'202'!$D$46:$D$47,'202'!$D$49,'202'!$D$51,'202'!$D$53:$D$54,'202'!$D$56,'202'!$D$58:$D$60,'202'!$D$62,'202'!$D$64,'202'!$D$66</definedName>
    <definedName name="OSRRefD22x_0" localSheetId="43">'203'!$D$20:$D$29,'203'!$D$31:$D$40,'203'!$D$42,'203'!$D$44,'203'!$D$46,'203'!$D$48,'203'!$D$50,'203'!$D$52:$D$53,'203'!$D$55:$D$57,'203'!$D$59,'203'!$D$61,'203'!$D$63:$D$65,'203'!$D$67,'203'!$D$69</definedName>
    <definedName name="OSRRefD22x_0" localSheetId="44">'204'!$D$20:$D$29,'204'!$D$31:$D$40,'204'!$D$42,'204'!$D$44:$D$45,'204'!$D$47,'204'!$D$49,'204'!$D$51:$D$53,'204'!$D$55:$D$56,'204'!$D$58,'204'!$D$60:$D$61,'204'!$D$63</definedName>
    <definedName name="OSRRefD22x_0" localSheetId="45">'205'!$D$20:$D$28,'205'!$D$30:$D$39,'205'!$D$41,'205'!$D$43,'205'!$D$45:$D$46,'205'!$D$48,'205'!$D$50:$D$51,'205'!$D$53</definedName>
    <definedName name="OSRRefD22x_0" localSheetId="46">'206'!$D$20:$D$28,'206'!$D$30:$D$39,'206'!$D$41,'206'!$D$43,'206'!$D$45,'206'!$D$47,'206'!$D$49,'206'!$D$51,'206'!$D$53:$D$54,'206'!$D$56</definedName>
    <definedName name="OSRRefD22x_0" localSheetId="48">'300'!$D$112:$D$121,'300'!$D$123:$D$132,'300'!$D$134,'300'!$D$136:$D$137,'300'!$D$139,'300'!$D$141:$D$142,'300'!$D$144:$D$145,'300'!$D$147:$D$148,'300'!$D$150,'300'!$D$152,'300'!$D$154:$D$155,'300'!$D$157:$D$159,'300'!$D$161,'300'!$D$163,'300'!$D$165,'300'!$D$167,'300'!$D$169:$D$172,'300'!$D$174:$D$177,'300'!$D$179:$D$182,'300'!$D$184:$D$185,'300'!$D$187:$D$195,'300'!$D$197:$D$198,'300'!$D$200,'300'!$D$202:$D$204,'300'!$D$206</definedName>
    <definedName name="OSRRefD22x_0" localSheetId="49">'300 &amp; 317'!$D$134:$D$143,'300 &amp; 317'!$D$145:$D$154,'300 &amp; 317'!$D$156,'300 &amp; 317'!$D$158:$D$159,'300 &amp; 317'!$D$161,'300 &amp; 317'!$D$163:$D$164,'300 &amp; 317'!$D$166:$D$167,'300 &amp; 317'!$D$169:$D$170,'300 &amp; 317'!$D$172,'300 &amp; 317'!$D$174,'300 &amp; 317'!$D$176:$D$177,'300 &amp; 317'!$D$179:$D$181,'300 &amp; 317'!$D$183,'300 &amp; 317'!$D$185,'300 &amp; 317'!$D$187,'300 &amp; 317'!$D$189,'300 &amp; 317'!$D$191:$D$194,'300 &amp; 317'!$D$196:$D$199,'300 &amp; 317'!$D$201:$D$204,'300 &amp; 317'!$D$206:$D$207,'300 &amp; 317'!$D$209:$D$217,'300 &amp; 317'!$D$219:$D$220,'300 &amp; 317'!$D$222,'300 &amp; 317'!$D$224:$D$226,'300 &amp; 317'!$D$228</definedName>
    <definedName name="OSRRefD22x_0" localSheetId="50">'301'!$D$20:$D$28,'301'!$D$30:$D$39,'301'!$D$41:$D$42,'301'!$D$44,'301'!$D$46:$D$47,'301'!$D$49,'301'!$D$51,'301'!$D$53,'301'!$D$55,'301'!$D$57,'301'!$D$59,'301'!$D$61,'301'!$D$63,'301'!$D$65:$D$68,'301'!$D$70:$D$72,'301'!$D$74,'301'!$D$76:$D$82,'301'!$D$84,'301'!$D$86,'301'!$D$88,'301'!$D$90</definedName>
    <definedName name="OSRRefD22x_0" localSheetId="52">'307'!$D$39:$D$46,'307'!$D$48:$D$57,'307'!$D$59,'307'!$D$61,'307'!$D$63,'307'!$D$65:$D$66,'307'!$D$68,'307'!$D$70,'307'!$D$72,'307'!$D$74:$D$75,'307'!$D$77:$D$78,'307'!$D$80:$D$83,'307'!$D$85:$D$86,'307'!$D$88</definedName>
    <definedName name="OSRRefD22x_0" localSheetId="53">'308'!$D$54:$D$63,'308'!$D$65:$D$74,'308'!$D$76,'308'!$D$78,'308'!$D$80,'308'!$D$82,'308'!$D$84,'308'!$D$86:$D$87,'308'!$D$89,'308'!$D$91:$D$92,'308'!$D$94,'308'!$D$96:$D$98,'308'!$D$100:$D$101,'308'!$D$103</definedName>
    <definedName name="OSRRefD22x_0" localSheetId="64">'309'!$D$22:$D$29,'309'!$D$31:$D$40,'309'!$D$42,'309'!$D$44,'309'!$D$46,'309'!$D$48,'309'!$D$50:$D$51,'309'!$D$53:$D$54,'309'!$D$56:$D$57,'309'!$D$59</definedName>
    <definedName name="OSRRefD22x_0" localSheetId="63">'310'!$D$28:$D$36,'310'!$D$38:$D$47,'310'!$D$49,'310'!$D$51,'310'!$D$53,'310'!$D$55:$D$56,'310'!$D$58,'310'!$D$60,'310'!$D$62,'310'!$D$64,'310'!$D$66,'310'!$D$68,'310'!$D$70:$D$73,'310'!$D$75:$D$76,'310'!$D$78:$D$81,'310'!$D$83,'310'!$D$85:$D$91,'310'!$D$93:$D$94,'310'!$D$96,'310'!$D$98,'310'!$D$100</definedName>
    <definedName name="OSRRefD22x_0" localSheetId="71">'310 &amp; 491'!$D$32:$D$40,'310 &amp; 491'!$D$42:$D$51,'310 &amp; 491'!$D$53,'310 &amp; 491'!$D$55,'310 &amp; 491'!$D$57,'310 &amp; 491'!$D$59:$D$61,'310 &amp; 491'!$D$63,'310 &amp; 491'!$D$65,'310 &amp; 491'!$D$67:$D$68,'310 &amp; 491'!$D$70,'310 &amp; 491'!$D$72,'310 &amp; 491'!$D$74,'310 &amp; 491'!$D$76,'310 &amp; 491'!$D$78:$D$81,'310 &amp; 491'!$D$83:$D$84,'310 &amp; 491'!$D$86:$D$90,'310 &amp; 491'!$D$92,'310 &amp; 491'!$D$94:$D$104,'310 &amp; 491'!$D$106:$D$107,'310 &amp; 491'!$D$109,'310 &amp; 491'!$D$111:$D$113,'310 &amp; 491'!$D$115</definedName>
    <definedName name="OSRRefD22x_0" localSheetId="54">'311'!$D$53:$D$62,'311'!$D$64:$D$73,'311'!$D$75,'311'!$D$77,'311'!$D$79,'311'!$D$81,'311'!$D$83,'311'!$D$85:$D$86,'311'!$D$88,'311'!$D$90:$D$91,'311'!$D$93,'311'!$D$95:$D$97,'311'!$D$99:$D$100,'311'!$D$102</definedName>
    <definedName name="OSRRefD22x_0" localSheetId="65">'313'!$D$23:$D$31,'313'!$D$33:$D$42,'313'!$D$44,'313'!$D$46,'313'!$D$48,'313'!$D$50,'313'!$D$52:$D$53,'313'!$D$55,'313'!$D$57:$D$59,'313'!$D$61:$D$62,'313'!$D$64,'313'!$D$66</definedName>
    <definedName name="OSRRefD22x_0" localSheetId="57">'315'!$D$77:$D$85,'315'!$D$87:$D$96,'315'!$D$98,'315'!$D$100,'315'!$D$102,'315'!$D$104,'315'!$D$106,'315'!$D$108:$D$109,'315'!$D$111,'315'!$D$113,'315'!$D$115,'315'!$D$117,'315'!$D$119:$D$121,'315'!$D$123:$D$124,'315'!$D$126:$D$132,'315'!$D$134,'315'!$D$136:$D$137</definedName>
    <definedName name="OSRRefD22x_0" localSheetId="60">'316'!$D$30:$D$38,'316'!$D$40:$D$49,'316'!$D$51,'316'!$D$53,'316'!$D$55,'316'!$D$57,'316'!$D$59:$D$60,'316'!$D$62:$D$63,'316'!$D$65,'316'!$D$67:$D$71,'316'!$D$73,'316'!$D$75</definedName>
    <definedName name="OSRRefD22x_0" localSheetId="62">'317'!$D$49:$D$58,'317'!$D$60:$D$69,'317'!$D$71,'317'!$D$73,'317'!$D$75,'317'!$D$77,'317'!$D$79:$D$80,'317'!$D$82,'317'!$D$84,'317'!$D$86,'317'!$D$88:$D$90,'317'!$D$92,'317'!$D$94</definedName>
    <definedName name="OSRRefD22x_0" localSheetId="66">'321'!$D$25:$D$33,'321'!$D$35:$D$44,'321'!$D$46,'321'!$D$48,'321'!$D$50,'321'!$D$52,'321'!$D$54,'321'!$D$56:$D$57,'321'!$D$59:$D$60,'321'!$D$62:$D$63,'321'!$D$65:$D$67,'321'!$D$69:$D$70,'321'!$D$72,'321'!$D$74</definedName>
    <definedName name="OSRRefD22x_0" localSheetId="67">'322'!$D$23:$D$30,'322'!$D$32:$D$41,'322'!$D$43,'322'!$D$45,'322'!$D$47,'322'!$D$49,'322'!$D$51,'322'!$D$53:$D$54,'322'!$D$56:$D$57,'322'!$D$59:$D$62,'322'!$D$64,'322'!$D$66</definedName>
    <definedName name="OSRRefD22x_0" localSheetId="55">'324'!$D$27:$D$34,'324'!$D$36:$D$45</definedName>
    <definedName name="OSRRefD22x_0" localSheetId="68">'325'!$D$25:$D$32,'325'!$D$34:$D$43,'325'!$D$45,'325'!$D$47,'325'!$D$49,'325'!$D$51:$D$52,'325'!$D$54,'325'!$D$56,'325'!$D$58,'325'!$D$60,'325'!$D$62:$D$65,'325'!$D$67:$D$69,'325'!$D$71,'325'!$D$73:$D$77,'325'!$D$79:$D$80,'325'!$D$82,'325'!$D$84</definedName>
    <definedName name="OSRRefD22x_0" localSheetId="58">'326'!$D$44:$D$52,'326'!$D$54:$D$63,'326'!$D$65,'326'!$D$67,'326'!$D$69,'326'!$D$71,'326'!$D$73,'326'!$D$75,'326'!$D$77:$D$78,'326'!$D$80,'326'!$D$82,'326'!$D$84,'326'!$D$86,'326'!$D$88:$D$89,'326'!$D$91:$D$93,'326'!$D$95:$D$96,'326'!$D$98:$D$103,'326'!$D$105:$D$106,'326'!$D$108,'326'!$D$110:$D$111,'326'!$D$113</definedName>
    <definedName name="OSRRefD22x_0" localSheetId="69">'327'!$D$24</definedName>
    <definedName name="OSRRefD22x_0" localSheetId="51">'330'!$D$39:$D$46,'330'!$D$48:$D$57,'330'!$D$59,'330'!$D$61,'330'!$D$63,'330'!$D$65:$D$66,'330'!$D$68,'330'!$D$70,'330'!$D$72,'330'!$D$74:$D$75,'330'!$D$77:$D$78,'330'!$D$80:$D$83,'330'!$D$85:$D$86,'330'!$D$88</definedName>
    <definedName name="OSRRefD22x_0" localSheetId="56">'331'!$D$77:$D$85,'331'!$D$87:$D$96,'331'!$D$98,'331'!$D$100,'331'!$D$102,'331'!$D$104,'331'!$D$106,'331'!$D$108,'331'!$D$110:$D$111,'331'!$D$113:$D$114,'331'!$D$116,'331'!$D$118,'331'!$D$120,'331'!$D$122,'331'!$D$124:$D$125,'331'!$D$127:$D$129,'331'!$D$131:$D$133,'331'!$D$135:$D$136,'331'!$D$138:$D$145,'331'!$D$147:$D$148,'331'!$D$150,'331'!$D$152:$D$153,'331'!$D$155</definedName>
    <definedName name="OSRRefD22x_0" localSheetId="59">'332'!$D$30:$D$38,'332'!$D$40:$D$49,'332'!$D$51,'332'!$D$53,'332'!$D$55,'332'!$D$57,'332'!$D$59:$D$60,'332'!$D$62:$D$63,'332'!$D$65,'332'!$D$67:$D$71,'332'!$D$73,'332'!$D$75</definedName>
    <definedName name="OSRRefD22x_0" localSheetId="73">'405'!$D$23:$D$30,'405'!$D$32:$D$41,'405'!$D$43,'405'!$D$45,'405'!$D$47:$D$48,'405'!$D$50,'405'!$D$52,'405'!$D$54,'405'!$D$56:$D$57,'405'!$D$59,'405'!$D$61:$D$64,'405'!$D$66,'405'!$D$68:$D$76,'405'!$D$78,'405'!$D$80,'405'!$D$82</definedName>
    <definedName name="OSRRefD22x_0" localSheetId="74">'406'!$D$20,'406'!$D$22,'406'!$D$24,'406'!$D$26,'406'!$D$28</definedName>
    <definedName name="OSRRefD22x_0" localSheetId="75">'411'!$D$20:$D$28,'411'!$D$30:$D$39,'411'!$D$41,'411'!$D$43,'411'!$D$45:$D$46,'411'!$D$48,'411'!$D$50,'411'!$D$52,'411'!$D$54,'411'!$D$56:$D$57,'411'!$D$59:$D$62,'411'!$D$64:$D$70,'411'!$D$72,'411'!$D$74,'411'!$D$76</definedName>
    <definedName name="OSRRefD22x_0" localSheetId="76">'412'!$D$22:$D$29,'412'!$D$31:$D$40,'412'!$D$42,'412'!$D$44,'412'!$D$46:$D$47,'412'!$D$49,'412'!$D$51,'412'!$D$53,'412'!$D$55:$D$56,'412'!$D$58,'412'!$D$60:$D$63,'412'!$D$65:$D$69,'412'!$D$71:$D$72,'412'!$D$74</definedName>
    <definedName name="OSRRefD22x_0" localSheetId="77">'413'!$D$23:$D$31,'413'!$D$33:$D$42,'413'!$D$44,'413'!$D$46,'413'!$D$48,'413'!$D$50,'413'!$D$52,'413'!$D$54,'413'!$D$56:$D$58,'413'!$D$60:$D$61,'413'!$D$63:$D$70,'413'!$D$72:$D$73,'413'!$D$75</definedName>
    <definedName name="OSRRefD22x_0" localSheetId="78">'414'!$D$24:$D$32,'414'!$D$34:$D$43,'414'!$D$45,'414'!$D$47,'414'!$D$49,'414'!$D$51,'414'!$D$53,'414'!$D$55,'414'!$D$57:$D$58,'414'!$D$60,'414'!$D$62,'414'!$D$64,'414'!$D$66:$D$68,'414'!$D$70,'414'!$D$72,'414'!$D$74</definedName>
    <definedName name="OSRRefD22x_0" localSheetId="79">'415'!$D$27:$D$35,'415'!$D$37:$D$46,'415'!$D$48,'415'!$D$50,'415'!$D$52,'415'!$D$54:$D$55,'415'!$D$57,'415'!$D$59,'415'!$D$61,'415'!$D$63,'415'!$D$65:$D$66,'415'!$D$68:$D$72,'415'!$D$74,'415'!$D$76:$D$82,'415'!$D$84:$D$85,'415'!$D$87:$D$88,'415'!$D$90</definedName>
    <definedName name="OSRRefD22x_0" localSheetId="80">'418'!$D$23:$D$30,'418'!$D$32:$D$41,'418'!$D$43,'418'!$D$45,'418'!$D$47:$D$48,'418'!$D$50,'418'!$D$52,'418'!$D$54,'418'!$D$56:$D$58,'418'!$D$60:$D$61,'418'!$D$63,'418'!$D$65:$D$74,'418'!$D$76:$D$77,'418'!$D$79</definedName>
    <definedName name="OSRRefD22x_0" localSheetId="82">'423'!$D$20:$D$27,'423'!$D$29:$D$38,'423'!$D$40,'423'!$D$42:$D$43,'423'!$D$45,'423'!$D$47,'423'!$D$49</definedName>
    <definedName name="OSRRefD22x_0" localSheetId="83">'424'!$D$20,'424'!$D$22,'424'!$D$24,'424'!$D$26</definedName>
    <definedName name="OSRRefD22x_0" localSheetId="84">'425'!$D$20:$D$24,'425'!$D$26,'425'!$D$28,'425'!$D$30,'425'!$D$32</definedName>
    <definedName name="OSRRefD22x_0" localSheetId="87">'430'!$D$20:$D$28,'430'!$D$30:$D$39,'430'!$D$41,'430'!$D$43:$D$45,'430'!$D$47:$D$48,'430'!$D$50,'430'!$D$52</definedName>
    <definedName name="OSRRefD22x_0" localSheetId="88">'433'!$D$27:$D$36,'433'!$D$38:$D$47,'433'!$D$49,'433'!$D$51,'433'!$D$53,'433'!$D$55,'433'!$D$57,'433'!$D$59,'433'!$D$61,'433'!$D$63,'433'!$D$65,'433'!$D$67:$D$68,'433'!$D$70:$D$73,'433'!$D$75:$D$82,'433'!$D$84</definedName>
    <definedName name="OSRRefD22x_0" localSheetId="89">'435'!$D$20</definedName>
    <definedName name="OSRRefD22x_0" localSheetId="90">'444'!$D$27:$D$36,'444'!$D$38:$D$47,'444'!$D$49,'444'!$D$51,'444'!$D$53,'444'!$D$55,'444'!$D$57,'444'!$D$59,'444'!$D$61,'444'!$D$63,'444'!$D$65,'444'!$D$67:$D$69,'444'!$D$71:$D$73,'444'!$D$75:$D$83,'444'!$D$85:$D$86,'444'!$D$88</definedName>
    <definedName name="OSRRefD22x_0" localSheetId="91">'450'!$D$23:$D$32,'450'!$D$34:$D$43,'450'!$D$45,'450'!$D$47,'450'!$D$49,'450'!$D$51,'450'!$D$53,'450'!$D$55,'450'!$D$57,'450'!$D$59,'450'!$D$61,'450'!$D$63,'450'!$D$65,'450'!$D$67:$D$69,'450'!$D$71:$D$77,'450'!$D$79:$D$80,'450'!$D$82</definedName>
    <definedName name="OSRRefD22x_0" localSheetId="72">'491'!$D$29:$D$37,'491'!$D$39:$D$48,'491'!$D$50,'491'!$D$52,'491'!$D$54,'491'!$D$56:$D$58,'491'!$D$60,'491'!$D$62,'491'!$D$64,'491'!$D$66,'491'!$D$68,'491'!$D$70,'491'!$D$72,'491'!$D$74:$D$77,'491'!$D$79:$D$80,'491'!$D$82:$D$86,'491'!$D$88,'491'!$D$90:$D$100,'491'!$D$102:$D$103,'491'!$D$105,'491'!$D$107:$D$109,'491'!$D$111</definedName>
    <definedName name="OSRRefD22x_0" localSheetId="86">'492'!$D$27:$D$36,'492'!$D$38:$D$47,'492'!$D$49,'492'!$D$51,'492'!$D$53,'492'!$D$55,'492'!$D$57,'492'!$D$59,'492'!$D$61,'492'!$D$63,'492'!$D$65,'492'!$D$67,'492'!$D$69:$D$71,'492'!$D$73:$D$76,'492'!$D$78:$D$87,'492'!$D$89:$D$90,'492'!$D$92,'492'!$D$94</definedName>
    <definedName name="OSRRefD22x_0" localSheetId="93">'501'!$D$21:$D$30,'501'!$D$32:$D$41,'501'!$D$43,'501'!$D$45,'501'!$D$47,'501'!$D$49:$D$50,'501'!$D$52,'501'!$D$54,'501'!$D$56,'501'!$D$58:$D$61,'501'!$D$63:$D$64,'501'!$D$66</definedName>
    <definedName name="OSRRefD22x_0" localSheetId="39">'Div 2'!$D$21:$D$31,'Div 2'!$D$33:$D$42,'Div 2'!$D$44,'Div 2'!$D$46,'Div 2'!$D$48,'Div 2'!$D$50:$D$51,'Div 2'!$D$53,'Div 2'!$D$55,'Div 2'!$D$57,'Div 2'!$D$59:$D$60,'Div 2'!$D$62,'Div 2'!$D$64:$D$65,'Div 2'!$D$67:$D$70,'Div 2'!$D$72:$D$75,'Div 2'!$D$77:$D$78,'Div 2'!$D$80:$D$81,'Div 2'!$D$83:$D$87,'Div 2'!$D$89:$D$90,'Div 2'!$D$92,'Div 2'!$D$94:$D$95</definedName>
    <definedName name="OSRRefD22x_0" localSheetId="47">'Div 3'!$D$116:$D$125,'Div 3'!$D$127:$D$136,'Div 3'!$D$138,'Div 3'!$D$140:$D$141,'Div 3'!$D$143,'Div 3'!$D$145:$D$146,'Div 3'!$D$148:$D$149,'Div 3'!$D$151:$D$152,'Div 3'!$D$154,'Div 3'!$D$156,'Div 3'!$D$158:$D$159,'Div 3'!$D$161:$D$163,'Div 3'!$D$165,'Div 3'!$D$167,'Div 3'!$D$169,'Div 3'!$D$171,'Div 3'!$D$173,'Div 3'!$D$175:$D$178,'Div 3'!$D$180:$D$183,'Div 3'!$D$185:$D$189,'Div 3'!$D$191:$D$192,'Div 3'!$D$194:$D$202,'Div 3'!$D$204:$D$205,'Div 3'!$D$207,'Div 3'!$D$209:$D$211,'Div 3'!$D$213</definedName>
    <definedName name="OSRRefD22x_0" localSheetId="70">'Div 4'!$D$31:$D$40,'Div 4'!$D$42:$D$51,'Div 4'!$D$53,'Div 4'!$D$55,'Div 4'!$D$57,'Div 4'!$D$59:$D$61,'Div 4'!$D$63,'Div 4'!$D$65,'Div 4'!$D$67,'Div 4'!$D$69,'Div 4'!$D$71,'Div 4'!$D$73,'Div 4'!$D$75,'Div 4'!$D$77,'Div 4'!$D$79,'Div 4'!$D$81:$D$84,'Div 4'!$D$86:$D$87,'Div 4'!$D$89:$D$93,'Div 4'!$D$95,'Div 4'!$D$97:$D$107,'Div 4'!$D$109:$D$110,'Div 4'!$D$112,'Div 4'!$D$114:$D$116,'Div 4'!$D$118</definedName>
    <definedName name="OSRRefD22x_0" localSheetId="92">'Div 5'!$D$21:$D$30,'Div 5'!$D$32:$D$41,'Div 5'!$D$43,'Div 5'!$D$45,'Div 5'!$D$47,'Div 5'!$D$49:$D$50,'Div 5'!$D$52,'Div 5'!$D$54,'Div 5'!$D$56,'Div 5'!$D$58:$D$61,'Div 5'!$D$63:$D$64,'Div 5'!$D$66</definedName>
    <definedName name="OSRRefD22x_0" localSheetId="61">'Div 6'!$D$49:$D$58,'Div 6'!$D$60:$D$69,'Div 6'!$D$71,'Div 6'!$D$73,'Div 6'!$D$75,'Div 6'!$D$77,'Div 6'!$D$79:$D$80,'Div 6'!$D$82,'Div 6'!$D$84,'Div 6'!$D$86,'Div 6'!$D$88:$D$90,'Div 6'!$D$92,'Div 6'!$D$94</definedName>
    <definedName name="OSRRefD22x_0" localSheetId="2">Summary!$D$143:$D$152,Summary!$D$154:$D$163,Summary!$D$165,Summary!$D$167:$D$168,Summary!$D$170,Summary!$D$172:$D$174,Summary!$D$176:$D$177,Summary!$D$179:$D$180,Summary!$D$182,Summary!$D$184,Summary!$D$186:$D$187,Summary!$D$189:$D$191,Summary!$D$193,Summary!$D$195,Summary!$D$197,Summary!$D$199,Summary!$D$201,Summary!$D$203,Summary!$D$205:$D$208,Summary!$D$210:$D$213,Summary!$D$215:$D$219,Summary!$D$221:$D$222,Summary!$D$224:$D$234,Summary!$D$236:$D$237,Summary!$D$239,Summary!$D$241:$D$243,Summary!$D$245</definedName>
    <definedName name="OSRRefD25x_0" localSheetId="42">'202'!$D$69:$D$71</definedName>
    <definedName name="OSRRefD25x_0" localSheetId="48">'300'!$D$209:$D$212</definedName>
    <definedName name="OSRRefD25x_0" localSheetId="49">'300 &amp; 317'!$D$231:$D$235</definedName>
    <definedName name="OSRRefD25x_0" localSheetId="50">'301'!$D$93:$D$94</definedName>
    <definedName name="OSRRefD25x_0" localSheetId="53">'308'!$D$106:$D$108</definedName>
    <definedName name="OSRRefD25x_0" localSheetId="71">'310 &amp; 491'!$D$118:$D$121</definedName>
    <definedName name="OSRRefD25x_0" localSheetId="54">'311'!$D$105:$D$107</definedName>
    <definedName name="OSRRefD25x_0" localSheetId="57">'315'!$D$140:$D$142</definedName>
    <definedName name="OSRRefD25x_0" localSheetId="60">'316'!$D$78</definedName>
    <definedName name="OSRRefD25x_0" localSheetId="62">'317'!$D$97:$D$98</definedName>
    <definedName name="OSRRefD25x_0" localSheetId="56">'331'!$D$158:$D$160</definedName>
    <definedName name="OSRRefD25x_0" localSheetId="59">'332'!$D$78</definedName>
    <definedName name="OSRRefD25x_0" localSheetId="75">'411'!$D$79:$D$80</definedName>
    <definedName name="OSRRefD25x_0" localSheetId="80">'418'!$D$82</definedName>
    <definedName name="OSRRefD25x_0" localSheetId="82">'423'!$D$52:$D$54</definedName>
    <definedName name="OSRRefD25x_0" localSheetId="85">'455'!$D$21:$D$22</definedName>
    <definedName name="OSRRefD25x_0" localSheetId="72">'491'!$D$114:$D$117</definedName>
    <definedName name="OSRRefD25x_0" localSheetId="93">'501'!$D$69</definedName>
    <definedName name="OSRRefD25x_0" localSheetId="39">'Div 2'!$D$98:$D$100</definedName>
    <definedName name="OSRRefD25x_0" localSheetId="47">'Div 3'!$D$216:$D$219</definedName>
    <definedName name="OSRRefD25x_0" localSheetId="70">'Div 4'!$D$121:$D$124</definedName>
    <definedName name="OSRRefD25x_0" localSheetId="92">'Div 5'!$D$69</definedName>
    <definedName name="OSRRefD25x_0" localSheetId="61">'Div 6'!$D$97:$D$98</definedName>
    <definedName name="OSRRefD25x_0" localSheetId="2">Summary!$D$248:$D$254</definedName>
    <definedName name="OSRRefH13x_0" localSheetId="41">'201'!$H$13</definedName>
    <definedName name="OSRRefH13x_0" localSheetId="42">'202'!$H$13</definedName>
    <definedName name="OSRRefH13x_0" localSheetId="48">'300'!$H$13:$H$73</definedName>
    <definedName name="OSRRefH13x_0" localSheetId="49">'300 &amp; 317'!$H$13:$H$87</definedName>
    <definedName name="OSRRefH13x_0" localSheetId="52">'307'!$H$13:$H$23</definedName>
    <definedName name="OSRRefH13x_0" localSheetId="53">'308'!$H$13:$H$33</definedName>
    <definedName name="OSRRefH13x_0" localSheetId="64">'309'!$H$13</definedName>
    <definedName name="OSRRefH13x_0" localSheetId="63">'310'!$H$13:$H$17</definedName>
    <definedName name="OSRRefH13x_0" localSheetId="71">'310 &amp; 491'!$H$13:$H$21</definedName>
    <definedName name="OSRRefH13x_0" localSheetId="54">'311'!$H$13:$H$32</definedName>
    <definedName name="OSRRefH13x_0" localSheetId="65">'313'!$H$13</definedName>
    <definedName name="OSRRefH13x_0" localSheetId="57">'315'!$H$13:$H$48</definedName>
    <definedName name="OSRRefH13x_0" localSheetId="60">'316'!$H$13:$H$22</definedName>
    <definedName name="OSRRefH13x_0" localSheetId="62">'317'!$H$13:$H$30</definedName>
    <definedName name="OSRRefH13x_0" localSheetId="66">'321'!$H$13:$H$15</definedName>
    <definedName name="OSRRefH13x_0" localSheetId="67">'322'!$H$13</definedName>
    <definedName name="OSRRefH13x_0" localSheetId="55">'324'!$H$13:$H$16</definedName>
    <definedName name="OSRRefH13x_0" localSheetId="68">'325'!$H$13:$H$14</definedName>
    <definedName name="OSRRefH13x_0" localSheetId="58">'326'!$H$13:$H$31</definedName>
    <definedName name="OSRRefH13x_0" localSheetId="69">'327'!$H$13:$H$14</definedName>
    <definedName name="OSRRefH13x_0" localSheetId="51">'330'!$H$13:$H$23</definedName>
    <definedName name="OSRRefH13x_0" localSheetId="56">'331'!$H$13:$H$48</definedName>
    <definedName name="OSRRefH13x_0" localSheetId="59">'332'!$H$13:$H$22</definedName>
    <definedName name="OSRRefH13x_0" localSheetId="73">'405'!$H$13:$H$14</definedName>
    <definedName name="OSRRefH13x_0" localSheetId="76">'412'!$H$13</definedName>
    <definedName name="OSRRefH13x_0" localSheetId="77">'413'!$H$13:$H$14</definedName>
    <definedName name="OSRRefH13x_0" localSheetId="78">'414'!$H$13:$H$15</definedName>
    <definedName name="OSRRefH13x_0" localSheetId="79">'415'!$H$13:$H$16</definedName>
    <definedName name="OSRRefH13x_0" localSheetId="80">'418'!$H$13:$H$14</definedName>
    <definedName name="OSRRefH13x_0" localSheetId="81">'420'!$H$13</definedName>
    <definedName name="OSRRefH13x_0" localSheetId="88">'433'!$H$13:$H$16</definedName>
    <definedName name="OSRRefH13x_0" localSheetId="90">'444'!$H$13:$H$16</definedName>
    <definedName name="OSRRefH13x_0" localSheetId="91">'450'!$H$13:$H$14</definedName>
    <definedName name="OSRRefH13x_0" localSheetId="72">'491'!$H$13:$H$18</definedName>
    <definedName name="OSRRefH13x_0" localSheetId="86">'492'!$H$13:$H$16</definedName>
    <definedName name="OSRRefH13x_0" localSheetId="93">'501'!$H$13</definedName>
    <definedName name="OSRRefH13x_0" localSheetId="39">'Div 2'!$H$13</definedName>
    <definedName name="OSRRefH13x_0" localSheetId="47">'Div 3'!$H$13:$H$75</definedName>
    <definedName name="OSRRefH13x_0" localSheetId="70">'Div 4'!$H$13:$H$20</definedName>
    <definedName name="OSRRefH13x_0" localSheetId="92">'Div 5'!$H$13</definedName>
    <definedName name="OSRRefH13x_0" localSheetId="61">'Div 6'!$H$13:$H$30</definedName>
    <definedName name="OSRRefH13x_0" localSheetId="2">Summary!$H$13:$H$94</definedName>
    <definedName name="OSRRefH16x_0" localSheetId="48">'300'!$H$76:$H$106</definedName>
    <definedName name="OSRRefH16x_0" localSheetId="49">'300 &amp; 317'!$H$90:$H$128</definedName>
    <definedName name="OSRRefH16x_0" localSheetId="52">'307'!$H$26:$H$33</definedName>
    <definedName name="OSRRefH16x_0" localSheetId="53">'308'!$H$36:$H$48</definedName>
    <definedName name="OSRRefH16x_0" localSheetId="64">'309'!$H$16</definedName>
    <definedName name="OSRRefH16x_0" localSheetId="63">'310'!$H$20:$H$22</definedName>
    <definedName name="OSRRefH16x_0" localSheetId="71">'310 &amp; 491'!$H$24:$H$26</definedName>
    <definedName name="OSRRefH16x_0" localSheetId="54">'311'!$H$35:$H$47</definedName>
    <definedName name="OSRRefH16x_0" localSheetId="65">'313'!$H$16:$H$17</definedName>
    <definedName name="OSRRefH16x_0" localSheetId="57">'315'!$H$51:$H$71</definedName>
    <definedName name="OSRRefH16x_0" localSheetId="62">'317'!$H$33:$H$43</definedName>
    <definedName name="OSRRefH16x_0" localSheetId="66">'321'!$H$18:$H$19</definedName>
    <definedName name="OSRRefH16x_0" localSheetId="67">'322'!$H$16:$H$17</definedName>
    <definedName name="OSRRefH16x_0" localSheetId="55">'324'!$H$19:$H$21</definedName>
    <definedName name="OSRRefH16x_0" localSheetId="68">'325'!$H$17:$H$19</definedName>
    <definedName name="OSRRefH16x_0" localSheetId="58">'326'!$H$34:$H$38</definedName>
    <definedName name="OSRRefH16x_0" localSheetId="69">'327'!$H$17:$H$18</definedName>
    <definedName name="OSRRefH16x_0" localSheetId="51">'330'!$H$26:$H$33</definedName>
    <definedName name="OSRRefH16x_0" localSheetId="56">'331'!$H$51:$H$71</definedName>
    <definedName name="OSRRefH16x_0" localSheetId="73">'405'!$H$17</definedName>
    <definedName name="OSRRefH16x_0" localSheetId="76">'412'!$H$16</definedName>
    <definedName name="OSRRefH16x_0" localSheetId="77">'413'!$H$17</definedName>
    <definedName name="OSRRefH16x_0" localSheetId="78">'414'!$H$18</definedName>
    <definedName name="OSRRefH16x_0" localSheetId="79">'415'!$H$19:$H$21</definedName>
    <definedName name="OSRRefH16x_0" localSheetId="80">'418'!$H$17</definedName>
    <definedName name="OSRRefH16x_0" localSheetId="88">'433'!$H$19:$H$21</definedName>
    <definedName name="OSRRefH16x_0" localSheetId="90">'444'!$H$19:$H$21</definedName>
    <definedName name="OSRRefH16x_0" localSheetId="91">'450'!$H$17</definedName>
    <definedName name="OSRRefH16x_0" localSheetId="72">'491'!$H$21:$H$23</definedName>
    <definedName name="OSRRefH16x_0" localSheetId="86">'492'!$H$19:$H$21</definedName>
    <definedName name="OSRRefH16x_0" localSheetId="47">'Div 3'!$H$78:$H$110</definedName>
    <definedName name="OSRRefH16x_0" localSheetId="70">'Div 4'!$H$23:$H$25</definedName>
    <definedName name="OSRRefH16x_0" localSheetId="61">'Div 6'!$H$33:$H$43</definedName>
    <definedName name="OSRRefH16x_0" localSheetId="2">Summary!$H$97:$H$137</definedName>
    <definedName name="OSRRefH22_0x_0" localSheetId="40">'200'!$H$20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'300'!$H$112:$H$121</definedName>
    <definedName name="OSRRefH22_0x_0" localSheetId="49">'300 &amp; 317'!$H$134:$H$143</definedName>
    <definedName name="OSRRefH22_0x_0" localSheetId="50">'301'!$H$20:$H$28</definedName>
    <definedName name="OSRRefH22_0x_0" localSheetId="52">'307'!$H$39:$H$46</definedName>
    <definedName name="OSRRefH22_0x_0" localSheetId="53">'308'!$H$54:$H$63</definedName>
    <definedName name="OSRRefH22_0x_0" localSheetId="64">'309'!$H$22:$H$29</definedName>
    <definedName name="OSRRefH22_0x_0" localSheetId="63">'310'!$H$28:$H$36</definedName>
    <definedName name="OSRRefH22_0x_0" localSheetId="71">'310 &amp; 491'!$H$32:$H$40</definedName>
    <definedName name="OSRRefH22_0x_0" localSheetId="54">'311'!$H$53:$H$62</definedName>
    <definedName name="OSRRefH22_0x_0" localSheetId="65">'313'!$H$23:$H$31</definedName>
    <definedName name="OSRRefH22_0x_0" localSheetId="57">'315'!$H$77:$H$85</definedName>
    <definedName name="OSRRefH22_0x_0" localSheetId="60">'316'!$H$30:$H$38</definedName>
    <definedName name="OSRRefH22_0x_0" localSheetId="62">'317'!$H$49:$H$58</definedName>
    <definedName name="OSRRefH22_0x_0" localSheetId="66">'321'!$H$25:$H$33</definedName>
    <definedName name="OSRRefH22_0x_0" localSheetId="67">'322'!$H$23:$H$30</definedName>
    <definedName name="OSRRefH22_0x_0" localSheetId="55">'324'!$H$27:$H$34</definedName>
    <definedName name="OSRRefH22_0x_0" localSheetId="68">'325'!$H$25:$H$32</definedName>
    <definedName name="OSRRefH22_0x_0" localSheetId="58">'326'!$H$44:$H$52</definedName>
    <definedName name="OSRRefH22_0x_0" localSheetId="69">'327'!$H$24</definedName>
    <definedName name="OSRRefH22_0x_0" localSheetId="51">'330'!$H$39:$H$46</definedName>
    <definedName name="OSRRefH22_0x_0" localSheetId="56">'331'!$H$77:$H$85</definedName>
    <definedName name="OSRRefH22_0x_0" localSheetId="59">'332'!$H$30:$H$38</definedName>
    <definedName name="OSRRefH22_0x_0" localSheetId="73">'405'!$H$23:$H$30</definedName>
    <definedName name="OSRRefH22_0x_0" localSheetId="74">'406'!$H$20</definedName>
    <definedName name="OSRRefH22_0x_0" localSheetId="75">'411'!$H$20:$H$28</definedName>
    <definedName name="OSRRefH22_0x_0" localSheetId="76">'412'!$H$22:$H$29</definedName>
    <definedName name="OSRRefH22_0x_0" localSheetId="77">'413'!$H$23:$H$31</definedName>
    <definedName name="OSRRefH22_0x_0" localSheetId="78">'414'!$H$24:$H$32</definedName>
    <definedName name="OSRRefH22_0x_0" localSheetId="79">'415'!$H$27:$H$35</definedName>
    <definedName name="OSRRefH22_0x_0" localSheetId="80">'418'!$H$23:$H$30</definedName>
    <definedName name="OSRRefH22_0x_0" localSheetId="82">'423'!$H$20:$H$27</definedName>
    <definedName name="OSRRefH22_0x_0" localSheetId="83">'424'!$H$20</definedName>
    <definedName name="OSRRefH22_0x_0" localSheetId="84">'425'!$H$20:$H$24</definedName>
    <definedName name="OSRRefH22_0x_0" localSheetId="87">'430'!$H$20:$H$28</definedName>
    <definedName name="OSRRefH22_0x_0" localSheetId="88">'433'!$H$27:$H$36</definedName>
    <definedName name="OSRRefH22_0x_0" localSheetId="89">'435'!$H$20</definedName>
    <definedName name="OSRRefH22_0x_0" localSheetId="90">'444'!$H$27:$H$36</definedName>
    <definedName name="OSRRefH22_0x_0" localSheetId="91">'450'!$H$23:$H$32</definedName>
    <definedName name="OSRRefH22_0x_0" localSheetId="72">'491'!$H$29:$H$37</definedName>
    <definedName name="OSRRefH22_0x_0" localSheetId="86">'492'!$H$27:$H$36</definedName>
    <definedName name="OSRRefH22_0x_0" localSheetId="93">'501'!$H$21:$H$30</definedName>
    <definedName name="OSRRefH22_0x_0" localSheetId="39">'Div 2'!$H$21:$H$31</definedName>
    <definedName name="OSRRefH22_0x_0" localSheetId="47">'Div 3'!$H$116:$H$125</definedName>
    <definedName name="OSRRefH22_0x_0" localSheetId="70">'Div 4'!$H$31:$H$40</definedName>
    <definedName name="OSRRefH22_0x_0" localSheetId="92">'Div 5'!$H$21:$H$30</definedName>
    <definedName name="OSRRefH22_0x_0" localSheetId="61">'Div 6'!$H$49:$H$58</definedName>
    <definedName name="OSRRefH22_0x_0" localSheetId="2">Summary!$H$143:$H$152</definedName>
    <definedName name="OSRRefH22_10x_0" localSheetId="41">'201'!$H$58:$H$59</definedName>
    <definedName name="OSRRefH22_10x_0" localSheetId="42">'202'!$H$62</definedName>
    <definedName name="OSRRefH22_10x_0" localSheetId="43">'203'!$H$61</definedName>
    <definedName name="OSRRefH22_10x_0" localSheetId="44">'204'!$H$63</definedName>
    <definedName name="OSRRefH22_10x_0" localSheetId="48">'300'!$H$154:$H$155</definedName>
    <definedName name="OSRRefH22_10x_0" localSheetId="49">'300 &amp; 317'!$H$176:$H$177</definedName>
    <definedName name="OSRRefH22_10x_0" localSheetId="50">'301'!$H$59</definedName>
    <definedName name="OSRRefH22_10x_0" localSheetId="52">'307'!$H$77:$H$78</definedName>
    <definedName name="OSRRefH22_10x_0" localSheetId="53">'308'!$H$94</definedName>
    <definedName name="OSRRefH22_10x_0" localSheetId="63">'310'!$H$66</definedName>
    <definedName name="OSRRefH22_10x_0" localSheetId="71">'310 &amp; 491'!$H$72</definedName>
    <definedName name="OSRRefH22_10x_0" localSheetId="54">'311'!$H$93</definedName>
    <definedName name="OSRRefH22_10x_0" localSheetId="65">'313'!$H$64</definedName>
    <definedName name="OSRRefH22_10x_0" localSheetId="57">'315'!$H$115</definedName>
    <definedName name="OSRRefH22_10x_0" localSheetId="60">'316'!$H$73</definedName>
    <definedName name="OSRRefH22_10x_0" localSheetId="62">'317'!$H$88:$H$90</definedName>
    <definedName name="OSRRefH22_10x_0" localSheetId="66">'321'!$H$65:$H$67</definedName>
    <definedName name="OSRRefH22_10x_0" localSheetId="67">'322'!$H$64</definedName>
    <definedName name="OSRRefH22_10x_0" localSheetId="68">'325'!$H$62:$H$65</definedName>
    <definedName name="OSRRefH22_10x_0" localSheetId="58">'326'!$H$82</definedName>
    <definedName name="OSRRefH22_10x_0" localSheetId="51">'330'!$H$77:$H$78</definedName>
    <definedName name="OSRRefH22_10x_0" localSheetId="56">'331'!$H$116</definedName>
    <definedName name="OSRRefH22_10x_0" localSheetId="59">'332'!$H$73</definedName>
    <definedName name="OSRRefH22_10x_0" localSheetId="73">'405'!$H$61:$H$64</definedName>
    <definedName name="OSRRefH22_10x_0" localSheetId="75">'411'!$H$59:$H$62</definedName>
    <definedName name="OSRRefH22_10x_0" localSheetId="76">'412'!$H$60:$H$63</definedName>
    <definedName name="OSRRefH22_10x_0" localSheetId="77">'413'!$H$63:$H$70</definedName>
    <definedName name="OSRRefH22_10x_0" localSheetId="78">'414'!$H$62</definedName>
    <definedName name="OSRRefH22_10x_0" localSheetId="79">'415'!$H$65:$H$66</definedName>
    <definedName name="OSRRefH22_10x_0" localSheetId="80">'418'!$H$63</definedName>
    <definedName name="OSRRefH22_10x_0" localSheetId="88">'433'!$H$65</definedName>
    <definedName name="OSRRefH22_10x_0" localSheetId="90">'444'!$H$65</definedName>
    <definedName name="OSRRefH22_10x_0" localSheetId="91">'450'!$H$61</definedName>
    <definedName name="OSRRefH22_10x_0" localSheetId="72">'491'!$H$68</definedName>
    <definedName name="OSRRefH22_10x_0" localSheetId="86">'492'!$H$65</definedName>
    <definedName name="OSRRefH22_10x_0" localSheetId="93">'501'!$H$63:$H$64</definedName>
    <definedName name="OSRRefH22_10x_0" localSheetId="39">'Div 2'!$H$62</definedName>
    <definedName name="OSRRefH22_10x_0" localSheetId="47">'Div 3'!$H$158:$H$159</definedName>
    <definedName name="OSRRefH22_10x_0" localSheetId="70">'Div 4'!$H$71</definedName>
    <definedName name="OSRRefH22_10x_0" localSheetId="92">'Div 5'!$H$63:$H$64</definedName>
    <definedName name="OSRRefH22_10x_0" localSheetId="61">'Div 6'!$H$88:$H$90</definedName>
    <definedName name="OSRRefH22_10x_0" localSheetId="2">Summary!$H$186:$H$187</definedName>
    <definedName name="OSRRefH22_11x_0" localSheetId="41">'201'!$H$61</definedName>
    <definedName name="OSRRefH22_11x_0" localSheetId="42">'202'!$H$64</definedName>
    <definedName name="OSRRefH22_11x_0" localSheetId="43">'203'!$H$63:$H$65</definedName>
    <definedName name="OSRRefH22_11x_0" localSheetId="48">'300'!$H$157:$H$159</definedName>
    <definedName name="OSRRefH22_11x_0" localSheetId="49">'300 &amp; 317'!$H$179:$H$181</definedName>
    <definedName name="OSRRefH22_11x_0" localSheetId="50">'301'!$H$61</definedName>
    <definedName name="OSRRefH22_11x_0" localSheetId="52">'307'!$H$80:$H$83</definedName>
    <definedName name="OSRRefH22_11x_0" localSheetId="53">'308'!$H$96:$H$98</definedName>
    <definedName name="OSRRefH22_11x_0" localSheetId="63">'310'!$H$68</definedName>
    <definedName name="OSRRefH22_11x_0" localSheetId="71">'310 &amp; 491'!$H$74</definedName>
    <definedName name="OSRRefH22_11x_0" localSheetId="54">'311'!$H$95:$H$97</definedName>
    <definedName name="OSRRefH22_11x_0" localSheetId="65">'313'!$H$66</definedName>
    <definedName name="OSRRefH22_11x_0" localSheetId="57">'315'!$H$117</definedName>
    <definedName name="OSRRefH22_11x_0" localSheetId="60">'316'!$H$75</definedName>
    <definedName name="OSRRefH22_11x_0" localSheetId="62">'317'!$H$92</definedName>
    <definedName name="OSRRefH22_11x_0" localSheetId="66">'321'!$H$69:$H$70</definedName>
    <definedName name="OSRRefH22_11x_0" localSheetId="67">'322'!$H$66</definedName>
    <definedName name="OSRRefH22_11x_0" localSheetId="68">'325'!$H$67:$H$69</definedName>
    <definedName name="OSRRefH22_11x_0" localSheetId="58">'326'!$H$84</definedName>
    <definedName name="OSRRefH22_11x_0" localSheetId="51">'330'!$H$80:$H$83</definedName>
    <definedName name="OSRRefH22_11x_0" localSheetId="56">'331'!$H$118</definedName>
    <definedName name="OSRRefH22_11x_0" localSheetId="59">'332'!$H$75</definedName>
    <definedName name="OSRRefH22_11x_0" localSheetId="73">'405'!$H$66</definedName>
    <definedName name="OSRRefH22_11x_0" localSheetId="75">'411'!$H$64:$H$70</definedName>
    <definedName name="OSRRefH22_11x_0" localSheetId="76">'412'!$H$65:$H$69</definedName>
    <definedName name="OSRRefH22_11x_0" localSheetId="77">'413'!$H$72:$H$73</definedName>
    <definedName name="OSRRefH22_11x_0" localSheetId="78">'414'!$H$64</definedName>
    <definedName name="OSRRefH22_11x_0" localSheetId="79">'415'!$H$68:$H$72</definedName>
    <definedName name="OSRRefH22_11x_0" localSheetId="80">'418'!$H$65:$H$74</definedName>
    <definedName name="OSRRefH22_11x_0" localSheetId="88">'433'!$H$67:$H$68</definedName>
    <definedName name="OSRRefH22_11x_0" localSheetId="90">'444'!$H$67:$H$69</definedName>
    <definedName name="OSRRefH22_11x_0" localSheetId="91">'450'!$H$63</definedName>
    <definedName name="OSRRefH22_11x_0" localSheetId="72">'491'!$H$70</definedName>
    <definedName name="OSRRefH22_11x_0" localSheetId="86">'492'!$H$67</definedName>
    <definedName name="OSRRefH22_11x_0" localSheetId="93">'501'!$H$66</definedName>
    <definedName name="OSRRefH22_11x_0" localSheetId="39">'Div 2'!$H$64:$H$65</definedName>
    <definedName name="OSRRefH22_11x_0" localSheetId="47">'Div 3'!$H$161:$H$163</definedName>
    <definedName name="OSRRefH22_11x_0" localSheetId="70">'Div 4'!$H$73</definedName>
    <definedName name="OSRRefH22_11x_0" localSheetId="92">'Div 5'!$H$66</definedName>
    <definedName name="OSRRefH22_11x_0" localSheetId="61">'Div 6'!$H$92</definedName>
    <definedName name="OSRRefH22_11x_0" localSheetId="2">Summary!$H$189:$H$191</definedName>
    <definedName name="OSRRefH22_12x_0" localSheetId="41">'201'!$H$63</definedName>
    <definedName name="OSRRefH22_12x_0" localSheetId="42">'202'!$H$66</definedName>
    <definedName name="OSRRefH22_12x_0" localSheetId="43">'203'!$H$67</definedName>
    <definedName name="OSRRefH22_12x_0" localSheetId="48">'300'!$H$161</definedName>
    <definedName name="OSRRefH22_12x_0" localSheetId="49">'300 &amp; 317'!$H$183</definedName>
    <definedName name="OSRRefH22_12x_0" localSheetId="50">'301'!$H$63</definedName>
    <definedName name="OSRRefH22_12x_0" localSheetId="52">'307'!$H$85:$H$86</definedName>
    <definedName name="OSRRefH22_12x_0" localSheetId="53">'308'!$H$100:$H$101</definedName>
    <definedName name="OSRRefH22_12x_0" localSheetId="63">'310'!$H$70:$H$73</definedName>
    <definedName name="OSRRefH22_12x_0" localSheetId="71">'310 &amp; 491'!$H$76</definedName>
    <definedName name="OSRRefH22_12x_0" localSheetId="54">'311'!$H$99:$H$100</definedName>
    <definedName name="OSRRefH22_12x_0" localSheetId="57">'315'!$H$119:$H$121</definedName>
    <definedName name="OSRRefH22_12x_0" localSheetId="62">'317'!$H$94</definedName>
    <definedName name="OSRRefH22_12x_0" localSheetId="66">'321'!$H$72</definedName>
    <definedName name="OSRRefH22_12x_0" localSheetId="68">'325'!$H$71</definedName>
    <definedName name="OSRRefH22_12x_0" localSheetId="58">'326'!$H$86</definedName>
    <definedName name="OSRRefH22_12x_0" localSheetId="51">'330'!$H$85:$H$86</definedName>
    <definedName name="OSRRefH22_12x_0" localSheetId="56">'331'!$H$120</definedName>
    <definedName name="OSRRefH22_12x_0" localSheetId="73">'405'!$H$68:$H$76</definedName>
    <definedName name="OSRRefH22_12x_0" localSheetId="75">'411'!$H$72</definedName>
    <definedName name="OSRRefH22_12x_0" localSheetId="76">'412'!$H$71:$H$72</definedName>
    <definedName name="OSRRefH22_12x_0" localSheetId="77">'413'!$H$75</definedName>
    <definedName name="OSRRefH22_12x_0" localSheetId="78">'414'!$H$66:$H$68</definedName>
    <definedName name="OSRRefH22_12x_0" localSheetId="79">'415'!$H$74</definedName>
    <definedName name="OSRRefH22_12x_0" localSheetId="80">'418'!$H$76:$H$77</definedName>
    <definedName name="OSRRefH22_12x_0" localSheetId="88">'433'!$H$70:$H$73</definedName>
    <definedName name="OSRRefH22_12x_0" localSheetId="90">'444'!$H$71:$H$73</definedName>
    <definedName name="OSRRefH22_12x_0" localSheetId="91">'450'!$H$65</definedName>
    <definedName name="OSRRefH22_12x_0" localSheetId="72">'491'!$H$72</definedName>
    <definedName name="OSRRefH22_12x_0" localSheetId="86">'492'!$H$69:$H$71</definedName>
    <definedName name="OSRRefH22_12x_0" localSheetId="39">'Div 2'!$H$67:$H$70</definedName>
    <definedName name="OSRRefH22_12x_0" localSheetId="47">'Div 3'!$H$165</definedName>
    <definedName name="OSRRefH22_12x_0" localSheetId="70">'Div 4'!$H$75</definedName>
    <definedName name="OSRRefH22_12x_0" localSheetId="61">'Div 6'!$H$94</definedName>
    <definedName name="OSRRefH22_12x_0" localSheetId="2">Summary!$H$193</definedName>
    <definedName name="OSRRefH22_13x_0" localSheetId="41">'201'!$H$65:$H$67</definedName>
    <definedName name="OSRRefH22_13x_0" localSheetId="43">'203'!$H$69</definedName>
    <definedName name="OSRRefH22_13x_0" localSheetId="48">'300'!$H$163</definedName>
    <definedName name="OSRRefH22_13x_0" localSheetId="49">'300 &amp; 317'!$H$185</definedName>
    <definedName name="OSRRefH22_13x_0" localSheetId="50">'301'!$H$65:$H$68</definedName>
    <definedName name="OSRRefH22_13x_0" localSheetId="52">'307'!$H$88</definedName>
    <definedName name="OSRRefH22_13x_0" localSheetId="53">'308'!$H$103</definedName>
    <definedName name="OSRRefH22_13x_0" localSheetId="63">'310'!$H$75:$H$76</definedName>
    <definedName name="OSRRefH22_13x_0" localSheetId="71">'310 &amp; 491'!$H$78:$H$81</definedName>
    <definedName name="OSRRefH22_13x_0" localSheetId="54">'311'!$H$102</definedName>
    <definedName name="OSRRefH22_13x_0" localSheetId="57">'315'!$H$123:$H$124</definedName>
    <definedName name="OSRRefH22_13x_0" localSheetId="66">'321'!$H$74</definedName>
    <definedName name="OSRRefH22_13x_0" localSheetId="68">'325'!$H$73:$H$77</definedName>
    <definedName name="OSRRefH22_13x_0" localSheetId="58">'326'!$H$88:$H$89</definedName>
    <definedName name="OSRRefH22_13x_0" localSheetId="51">'330'!$H$88</definedName>
    <definedName name="OSRRefH22_13x_0" localSheetId="56">'331'!$H$122</definedName>
    <definedName name="OSRRefH22_13x_0" localSheetId="73">'405'!$H$78</definedName>
    <definedName name="OSRRefH22_13x_0" localSheetId="75">'411'!$H$74</definedName>
    <definedName name="OSRRefH22_13x_0" localSheetId="76">'412'!$H$74</definedName>
    <definedName name="OSRRefH22_13x_0" localSheetId="78">'414'!$H$70</definedName>
    <definedName name="OSRRefH22_13x_0" localSheetId="79">'415'!$H$76:$H$82</definedName>
    <definedName name="OSRRefH22_13x_0" localSheetId="80">'418'!$H$79</definedName>
    <definedName name="OSRRefH22_13x_0" localSheetId="88">'433'!$H$75:$H$82</definedName>
    <definedName name="OSRRefH22_13x_0" localSheetId="90">'444'!$H$75:$H$83</definedName>
    <definedName name="OSRRefH22_13x_0" localSheetId="91">'450'!$H$67:$H$69</definedName>
    <definedName name="OSRRefH22_13x_0" localSheetId="72">'491'!$H$74:$H$77</definedName>
    <definedName name="OSRRefH22_13x_0" localSheetId="86">'492'!$H$73:$H$76</definedName>
    <definedName name="OSRRefH22_13x_0" localSheetId="39">'Div 2'!$H$72:$H$75</definedName>
    <definedName name="OSRRefH22_13x_0" localSheetId="47">'Div 3'!$H$167</definedName>
    <definedName name="OSRRefH22_13x_0" localSheetId="70">'Div 4'!$H$77</definedName>
    <definedName name="OSRRefH22_13x_0" localSheetId="2">Summary!$H$195</definedName>
    <definedName name="OSRRefH22_14x_0" localSheetId="41">'201'!$H$69</definedName>
    <definedName name="OSRRefH22_14x_0" localSheetId="48">'300'!$H$165</definedName>
    <definedName name="OSRRefH22_14x_0" localSheetId="49">'300 &amp; 317'!$H$187</definedName>
    <definedName name="OSRRefH22_14x_0" localSheetId="50">'301'!$H$70:$H$72</definedName>
    <definedName name="OSRRefH22_14x_0" localSheetId="63">'310'!$H$78:$H$81</definedName>
    <definedName name="OSRRefH22_14x_0" localSheetId="71">'310 &amp; 491'!$H$83:$H$84</definedName>
    <definedName name="OSRRefH22_14x_0" localSheetId="57">'315'!$H$126:$H$132</definedName>
    <definedName name="OSRRefH22_14x_0" localSheetId="68">'325'!$H$79:$H$80</definedName>
    <definedName name="OSRRefH22_14x_0" localSheetId="58">'326'!$H$91:$H$93</definedName>
    <definedName name="OSRRefH22_14x_0" localSheetId="56">'331'!$H$124:$H$125</definedName>
    <definedName name="OSRRefH22_14x_0" localSheetId="73">'405'!$H$80</definedName>
    <definedName name="OSRRefH22_14x_0" localSheetId="75">'411'!$H$76</definedName>
    <definedName name="OSRRefH22_14x_0" localSheetId="78">'414'!$H$72</definedName>
    <definedName name="OSRRefH22_14x_0" localSheetId="79">'415'!$H$84:$H$85</definedName>
    <definedName name="OSRRefH22_14x_0" localSheetId="88">'433'!$H$84</definedName>
    <definedName name="OSRRefH22_14x_0" localSheetId="90">'444'!$H$85:$H$86</definedName>
    <definedName name="OSRRefH22_14x_0" localSheetId="91">'450'!$H$71:$H$77</definedName>
    <definedName name="OSRRefH22_14x_0" localSheetId="72">'491'!$H$79:$H$80</definedName>
    <definedName name="OSRRefH22_14x_0" localSheetId="86">'492'!$H$78:$H$87</definedName>
    <definedName name="OSRRefH22_14x_0" localSheetId="39">'Div 2'!$H$77:$H$78</definedName>
    <definedName name="OSRRefH22_14x_0" localSheetId="47">'Div 3'!$H$169</definedName>
    <definedName name="OSRRefH22_14x_0" localSheetId="70">'Div 4'!$H$79</definedName>
    <definedName name="OSRRefH22_14x_0" localSheetId="2">Summary!$H$197</definedName>
    <definedName name="OSRRefH22_15x_0" localSheetId="41">'201'!$H$71</definedName>
    <definedName name="OSRRefH22_15x_0" localSheetId="48">'300'!$H$167</definedName>
    <definedName name="OSRRefH22_15x_0" localSheetId="49">'300 &amp; 317'!$H$189</definedName>
    <definedName name="OSRRefH22_15x_0" localSheetId="50">'301'!$H$74</definedName>
    <definedName name="OSRRefH22_15x_0" localSheetId="63">'310'!$H$83</definedName>
    <definedName name="OSRRefH22_15x_0" localSheetId="71">'310 &amp; 491'!$H$86:$H$90</definedName>
    <definedName name="OSRRefH22_15x_0" localSheetId="57">'315'!$H$134</definedName>
    <definedName name="OSRRefH22_15x_0" localSheetId="68">'325'!$H$82</definedName>
    <definedName name="OSRRefH22_15x_0" localSheetId="58">'326'!$H$95:$H$96</definedName>
    <definedName name="OSRRefH22_15x_0" localSheetId="56">'331'!$H$127:$H$129</definedName>
    <definedName name="OSRRefH22_15x_0" localSheetId="73">'405'!$H$82</definedName>
    <definedName name="OSRRefH22_15x_0" localSheetId="78">'414'!$H$74</definedName>
    <definedName name="OSRRefH22_15x_0" localSheetId="79">'415'!$H$87:$H$88</definedName>
    <definedName name="OSRRefH22_15x_0" localSheetId="90">'444'!$H$88</definedName>
    <definedName name="OSRRefH22_15x_0" localSheetId="91">'450'!$H$79:$H$80</definedName>
    <definedName name="OSRRefH22_15x_0" localSheetId="72">'491'!$H$82:$H$86</definedName>
    <definedName name="OSRRefH22_15x_0" localSheetId="86">'492'!$H$89:$H$90</definedName>
    <definedName name="OSRRefH22_15x_0" localSheetId="39">'Div 2'!$H$80:$H$81</definedName>
    <definedName name="OSRRefH22_15x_0" localSheetId="47">'Div 3'!$H$171</definedName>
    <definedName name="OSRRefH22_15x_0" localSheetId="70">'Div 4'!$H$81:$H$84</definedName>
    <definedName name="OSRRefH22_15x_0" localSheetId="2">Summary!$H$199</definedName>
    <definedName name="OSRRefH22_16x_0" localSheetId="48">'300'!$H$169:$H$172</definedName>
    <definedName name="OSRRefH22_16x_0" localSheetId="49">'300 &amp; 317'!$H$191:$H$194</definedName>
    <definedName name="OSRRefH22_16x_0" localSheetId="50">'301'!$H$76:$H$82</definedName>
    <definedName name="OSRRefH22_16x_0" localSheetId="63">'310'!$H$85:$H$91</definedName>
    <definedName name="OSRRefH22_16x_0" localSheetId="71">'310 &amp; 491'!$H$92</definedName>
    <definedName name="OSRRefH22_16x_0" localSheetId="57">'315'!$H$136:$H$137</definedName>
    <definedName name="OSRRefH22_16x_0" localSheetId="68">'325'!$H$84</definedName>
    <definedName name="OSRRefH22_16x_0" localSheetId="58">'326'!$H$98:$H$103</definedName>
    <definedName name="OSRRefH22_16x_0" localSheetId="56">'331'!$H$131:$H$133</definedName>
    <definedName name="OSRRefH22_16x_0" localSheetId="79">'415'!$H$90</definedName>
    <definedName name="OSRRefH22_16x_0" localSheetId="91">'450'!$H$82</definedName>
    <definedName name="OSRRefH22_16x_0" localSheetId="72">'491'!$H$88</definedName>
    <definedName name="OSRRefH22_16x_0" localSheetId="86">'492'!$H$92</definedName>
    <definedName name="OSRRefH22_16x_0" localSheetId="39">'Div 2'!$H$83:$H$87</definedName>
    <definedName name="OSRRefH22_16x_0" localSheetId="47">'Div 3'!$H$173</definedName>
    <definedName name="OSRRefH22_16x_0" localSheetId="70">'Div 4'!$H$86:$H$87</definedName>
    <definedName name="OSRRefH22_16x_0" localSheetId="2">Summary!$H$201</definedName>
    <definedName name="OSRRefH22_17x_0" localSheetId="48">'300'!$H$174:$H$177</definedName>
    <definedName name="OSRRefH22_17x_0" localSheetId="49">'300 &amp; 317'!$H$196:$H$199</definedName>
    <definedName name="OSRRefH22_17x_0" localSheetId="50">'301'!$H$84</definedName>
    <definedName name="OSRRefH22_17x_0" localSheetId="63">'310'!$H$93:$H$94</definedName>
    <definedName name="OSRRefH22_17x_0" localSheetId="71">'310 &amp; 491'!$H$94:$H$104</definedName>
    <definedName name="OSRRefH22_17x_0" localSheetId="58">'326'!$H$105:$H$106</definedName>
    <definedName name="OSRRefH22_17x_0" localSheetId="56">'331'!$H$135:$H$136</definedName>
    <definedName name="OSRRefH22_17x_0" localSheetId="72">'491'!$H$90:$H$100</definedName>
    <definedName name="OSRRefH22_17x_0" localSheetId="86">'492'!$H$94</definedName>
    <definedName name="OSRRefH22_17x_0" localSheetId="39">'Div 2'!$H$89:$H$90</definedName>
    <definedName name="OSRRefH22_17x_0" localSheetId="47">'Div 3'!$H$175:$H$178</definedName>
    <definedName name="OSRRefH22_17x_0" localSheetId="70">'Div 4'!$H$89:$H$93</definedName>
    <definedName name="OSRRefH22_17x_0" localSheetId="2">Summary!$H$203</definedName>
    <definedName name="OSRRefH22_18x_0" localSheetId="48">'300'!$H$179:$H$182</definedName>
    <definedName name="OSRRefH22_18x_0" localSheetId="49">'300 &amp; 317'!$H$201:$H$204</definedName>
    <definedName name="OSRRefH22_18x_0" localSheetId="50">'301'!$H$86</definedName>
    <definedName name="OSRRefH22_18x_0" localSheetId="63">'310'!$H$96</definedName>
    <definedName name="OSRRefH22_18x_0" localSheetId="71">'310 &amp; 491'!$H$106:$H$107</definedName>
    <definedName name="OSRRefH22_18x_0" localSheetId="58">'326'!$H$108</definedName>
    <definedName name="OSRRefH22_18x_0" localSheetId="56">'331'!$H$138:$H$145</definedName>
    <definedName name="OSRRefH22_18x_0" localSheetId="72">'491'!$H$102:$H$103</definedName>
    <definedName name="OSRRefH22_18x_0" localSheetId="39">'Div 2'!$H$92</definedName>
    <definedName name="OSRRefH22_18x_0" localSheetId="47">'Div 3'!$H$180:$H$183</definedName>
    <definedName name="OSRRefH22_18x_0" localSheetId="70">'Div 4'!$H$95</definedName>
    <definedName name="OSRRefH22_18x_0" localSheetId="2">Summary!$H$205:$H$208</definedName>
    <definedName name="OSRRefH22_19x_0" localSheetId="48">'300'!$H$184:$H$185</definedName>
    <definedName name="OSRRefH22_19x_0" localSheetId="49">'300 &amp; 317'!$H$206:$H$207</definedName>
    <definedName name="OSRRefH22_19x_0" localSheetId="50">'301'!$H$88</definedName>
    <definedName name="OSRRefH22_19x_0" localSheetId="63">'310'!$H$98</definedName>
    <definedName name="OSRRefH22_19x_0" localSheetId="71">'310 &amp; 491'!$H$109</definedName>
    <definedName name="OSRRefH22_19x_0" localSheetId="58">'326'!$H$110:$H$111</definedName>
    <definedName name="OSRRefH22_19x_0" localSheetId="56">'331'!$H$147:$H$148</definedName>
    <definedName name="OSRRefH22_19x_0" localSheetId="72">'491'!$H$105</definedName>
    <definedName name="OSRRefH22_19x_0" localSheetId="39">'Div 2'!$H$94:$H$95</definedName>
    <definedName name="OSRRefH22_19x_0" localSheetId="47">'Div 3'!$H$185:$H$189</definedName>
    <definedName name="OSRRefH22_19x_0" localSheetId="70">'Div 4'!$H$97:$H$107</definedName>
    <definedName name="OSRRefH22_19x_0" localSheetId="2">Summary!$H$210:$H$213</definedName>
    <definedName name="OSRRefH22_1x_0" localSheetId="40">'200'!$H$22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'300'!$H$123:$H$132</definedName>
    <definedName name="OSRRefH22_1x_0" localSheetId="49">'300 &amp; 317'!$H$145:$H$154</definedName>
    <definedName name="OSRRefH22_1x_0" localSheetId="50">'301'!$H$30:$H$39</definedName>
    <definedName name="OSRRefH22_1x_0" localSheetId="52">'307'!$H$48:$H$57</definedName>
    <definedName name="OSRRefH22_1x_0" localSheetId="53">'308'!$H$65:$H$74</definedName>
    <definedName name="OSRRefH22_1x_0" localSheetId="64">'309'!$H$31:$H$40</definedName>
    <definedName name="OSRRefH22_1x_0" localSheetId="63">'310'!$H$38:$H$47</definedName>
    <definedName name="OSRRefH22_1x_0" localSheetId="71">'310 &amp; 491'!$H$42:$H$51</definedName>
    <definedName name="OSRRefH22_1x_0" localSheetId="54">'311'!$H$64:$H$73</definedName>
    <definedName name="OSRRefH22_1x_0" localSheetId="65">'313'!$H$33:$H$42</definedName>
    <definedName name="OSRRefH22_1x_0" localSheetId="57">'315'!$H$87:$H$96</definedName>
    <definedName name="OSRRefH22_1x_0" localSheetId="60">'316'!$H$40:$H$49</definedName>
    <definedName name="OSRRefH22_1x_0" localSheetId="62">'317'!$H$60:$H$69</definedName>
    <definedName name="OSRRefH22_1x_0" localSheetId="66">'321'!$H$35:$H$44</definedName>
    <definedName name="OSRRefH22_1x_0" localSheetId="67">'322'!$H$32:$H$41</definedName>
    <definedName name="OSRRefH22_1x_0" localSheetId="55">'324'!$H$36:$H$45</definedName>
    <definedName name="OSRRefH22_1x_0" localSheetId="68">'325'!$H$34:$H$43</definedName>
    <definedName name="OSRRefH22_1x_0" localSheetId="58">'326'!$H$54:$H$63</definedName>
    <definedName name="OSRRefH22_1x_0" localSheetId="51">'330'!$H$48:$H$57</definedName>
    <definedName name="OSRRefH22_1x_0" localSheetId="56">'331'!$H$87:$H$96</definedName>
    <definedName name="OSRRefH22_1x_0" localSheetId="59">'332'!$H$40:$H$49</definedName>
    <definedName name="OSRRefH22_1x_0" localSheetId="73">'405'!$H$32:$H$41</definedName>
    <definedName name="OSRRefH22_1x_0" localSheetId="74">'406'!$H$22</definedName>
    <definedName name="OSRRefH22_1x_0" localSheetId="75">'411'!$H$30:$H$39</definedName>
    <definedName name="OSRRefH22_1x_0" localSheetId="76">'412'!$H$31:$H$40</definedName>
    <definedName name="OSRRefH22_1x_0" localSheetId="77">'413'!$H$33:$H$42</definedName>
    <definedName name="OSRRefH22_1x_0" localSheetId="78">'414'!$H$34:$H$43</definedName>
    <definedName name="OSRRefH22_1x_0" localSheetId="79">'415'!$H$37:$H$46</definedName>
    <definedName name="OSRRefH22_1x_0" localSheetId="80">'418'!$H$32:$H$41</definedName>
    <definedName name="OSRRefH22_1x_0" localSheetId="82">'423'!$H$29:$H$38</definedName>
    <definedName name="OSRRefH22_1x_0" localSheetId="83">'424'!$H$22</definedName>
    <definedName name="OSRRefH22_1x_0" localSheetId="84">'425'!$H$26</definedName>
    <definedName name="OSRRefH22_1x_0" localSheetId="87">'430'!$H$30:$H$39</definedName>
    <definedName name="OSRRefH22_1x_0" localSheetId="88">'433'!$H$38:$H$47</definedName>
    <definedName name="OSRRefH22_1x_0" localSheetId="90">'444'!$H$38:$H$47</definedName>
    <definedName name="OSRRefH22_1x_0" localSheetId="91">'450'!$H$34:$H$43</definedName>
    <definedName name="OSRRefH22_1x_0" localSheetId="72">'491'!$H$39:$H$48</definedName>
    <definedName name="OSRRefH22_1x_0" localSheetId="86">'492'!$H$38:$H$47</definedName>
    <definedName name="OSRRefH22_1x_0" localSheetId="93">'501'!$H$32:$H$41</definedName>
    <definedName name="OSRRefH22_1x_0" localSheetId="39">'Div 2'!$H$33:$H$42</definedName>
    <definedName name="OSRRefH22_1x_0" localSheetId="47">'Div 3'!$H$127:$H$136</definedName>
    <definedName name="OSRRefH22_1x_0" localSheetId="70">'Div 4'!$H$42:$H$51</definedName>
    <definedName name="OSRRefH22_1x_0" localSheetId="92">'Div 5'!$H$32:$H$41</definedName>
    <definedName name="OSRRefH22_1x_0" localSheetId="61">'Div 6'!$H$60:$H$69</definedName>
    <definedName name="OSRRefH22_1x_0" localSheetId="2">Summary!$H$154:$H$163</definedName>
    <definedName name="OSRRefH22_20x_0" localSheetId="48">'300'!$H$187:$H$195</definedName>
    <definedName name="OSRRefH22_20x_0" localSheetId="49">'300 &amp; 317'!$H$209:$H$217</definedName>
    <definedName name="OSRRefH22_20x_0" localSheetId="50">'301'!$H$90</definedName>
    <definedName name="OSRRefH22_20x_0" localSheetId="63">'310'!$H$100</definedName>
    <definedName name="OSRRefH22_20x_0" localSheetId="71">'310 &amp; 491'!$H$111:$H$113</definedName>
    <definedName name="OSRRefH22_20x_0" localSheetId="58">'326'!$H$113</definedName>
    <definedName name="OSRRefH22_20x_0" localSheetId="56">'331'!$H$150</definedName>
    <definedName name="OSRRefH22_20x_0" localSheetId="72">'491'!$H$107:$H$109</definedName>
    <definedName name="OSRRefH22_20x_0" localSheetId="47">'Div 3'!$H$191:$H$192</definedName>
    <definedName name="OSRRefH22_20x_0" localSheetId="70">'Div 4'!$H$109:$H$110</definedName>
    <definedName name="OSRRefH22_20x_0" localSheetId="2">Summary!$H$215:$H$219</definedName>
    <definedName name="OSRRefH22_21x_0" localSheetId="48">'300'!$H$197:$H$198</definedName>
    <definedName name="OSRRefH22_21x_0" localSheetId="49">'300 &amp; 317'!$H$219:$H$220</definedName>
    <definedName name="OSRRefH22_21x_0" localSheetId="71">'310 &amp; 491'!$H$115</definedName>
    <definedName name="OSRRefH22_21x_0" localSheetId="56">'331'!$H$152:$H$153</definedName>
    <definedName name="OSRRefH22_21x_0" localSheetId="72">'491'!$H$111</definedName>
    <definedName name="OSRRefH22_21x_0" localSheetId="47">'Div 3'!$H$194:$H$202</definedName>
    <definedName name="OSRRefH22_21x_0" localSheetId="70">'Div 4'!$H$112</definedName>
    <definedName name="OSRRefH22_21x_0" localSheetId="2">Summary!$H$221:$H$222</definedName>
    <definedName name="OSRRefH22_22x_0" localSheetId="48">'300'!$H$200</definedName>
    <definedName name="OSRRefH22_22x_0" localSheetId="49">'300 &amp; 317'!$H$222</definedName>
    <definedName name="OSRRefH22_22x_0" localSheetId="56">'331'!$H$155</definedName>
    <definedName name="OSRRefH22_22x_0" localSheetId="47">'Div 3'!$H$204:$H$205</definedName>
    <definedName name="OSRRefH22_22x_0" localSheetId="70">'Div 4'!$H$114:$H$116</definedName>
    <definedName name="OSRRefH22_22x_0" localSheetId="2">Summary!$H$224:$H$234</definedName>
    <definedName name="OSRRefH22_23x_0" localSheetId="48">'300'!$H$202:$H$204</definedName>
    <definedName name="OSRRefH22_23x_0" localSheetId="49">'300 &amp; 317'!$H$224:$H$226</definedName>
    <definedName name="OSRRefH22_23x_0" localSheetId="47">'Div 3'!$H$207</definedName>
    <definedName name="OSRRefH22_23x_0" localSheetId="70">'Div 4'!$H$118</definedName>
    <definedName name="OSRRefH22_23x_0" localSheetId="2">Summary!$H$236:$H$237</definedName>
    <definedName name="OSRRefH22_24x_0" localSheetId="48">'300'!$H$206</definedName>
    <definedName name="OSRRefH22_24x_0" localSheetId="49">'300 &amp; 317'!$H$228</definedName>
    <definedName name="OSRRefH22_24x_0" localSheetId="47">'Div 3'!$H$209:$H$211</definedName>
    <definedName name="OSRRefH22_24x_0" localSheetId="2">Summary!$H$239</definedName>
    <definedName name="OSRRefH22_25x_0" localSheetId="47">'Div 3'!$H$213</definedName>
    <definedName name="OSRRefH22_25x_0" localSheetId="2">Summary!$H$241:$H$243</definedName>
    <definedName name="OSRRefH22_26x_0" localSheetId="2">Summary!$H$245</definedName>
    <definedName name="OSRRefH22_2x_0" localSheetId="40">'200'!$H$24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'300'!$H$134</definedName>
    <definedName name="OSRRefH22_2x_0" localSheetId="49">'300 &amp; 317'!$H$156</definedName>
    <definedName name="OSRRefH22_2x_0" localSheetId="50">'301'!$H$41:$H$42</definedName>
    <definedName name="OSRRefH22_2x_0" localSheetId="52">'307'!$H$59</definedName>
    <definedName name="OSRRefH22_2x_0" localSheetId="53">'308'!$H$76</definedName>
    <definedName name="OSRRefH22_2x_0" localSheetId="64">'309'!$H$42</definedName>
    <definedName name="OSRRefH22_2x_0" localSheetId="63">'310'!$H$49</definedName>
    <definedName name="OSRRefH22_2x_0" localSheetId="71">'310 &amp; 491'!$H$53</definedName>
    <definedName name="OSRRefH22_2x_0" localSheetId="54">'311'!$H$75</definedName>
    <definedName name="OSRRefH22_2x_0" localSheetId="65">'313'!$H$44</definedName>
    <definedName name="OSRRefH22_2x_0" localSheetId="57">'315'!$H$98</definedName>
    <definedName name="OSRRefH22_2x_0" localSheetId="60">'316'!$H$51</definedName>
    <definedName name="OSRRefH22_2x_0" localSheetId="62">'317'!$H$71</definedName>
    <definedName name="OSRRefH22_2x_0" localSheetId="66">'321'!$H$46</definedName>
    <definedName name="OSRRefH22_2x_0" localSheetId="67">'322'!$H$43</definedName>
    <definedName name="OSRRefH22_2x_0" localSheetId="68">'325'!$H$45</definedName>
    <definedName name="OSRRefH22_2x_0" localSheetId="58">'326'!$H$65</definedName>
    <definedName name="OSRRefH22_2x_0" localSheetId="51">'330'!$H$59</definedName>
    <definedName name="OSRRefH22_2x_0" localSheetId="56">'331'!$H$98</definedName>
    <definedName name="OSRRefH22_2x_0" localSheetId="59">'332'!$H$51</definedName>
    <definedName name="OSRRefH22_2x_0" localSheetId="73">'405'!$H$43</definedName>
    <definedName name="OSRRefH22_2x_0" localSheetId="74">'406'!$H$24</definedName>
    <definedName name="OSRRefH22_2x_0" localSheetId="75">'411'!$H$41</definedName>
    <definedName name="OSRRefH22_2x_0" localSheetId="76">'412'!$H$42</definedName>
    <definedName name="OSRRefH22_2x_0" localSheetId="77">'413'!$H$44</definedName>
    <definedName name="OSRRefH22_2x_0" localSheetId="78">'414'!$H$45</definedName>
    <definedName name="OSRRefH22_2x_0" localSheetId="79">'415'!$H$48</definedName>
    <definedName name="OSRRefH22_2x_0" localSheetId="80">'418'!$H$43</definedName>
    <definedName name="OSRRefH22_2x_0" localSheetId="82">'423'!$H$40</definedName>
    <definedName name="OSRRefH22_2x_0" localSheetId="83">'424'!$H$24</definedName>
    <definedName name="OSRRefH22_2x_0" localSheetId="84">'425'!$H$28</definedName>
    <definedName name="OSRRefH22_2x_0" localSheetId="87">'430'!$H$41</definedName>
    <definedName name="OSRRefH22_2x_0" localSheetId="88">'433'!$H$49</definedName>
    <definedName name="OSRRefH22_2x_0" localSheetId="90">'444'!$H$49</definedName>
    <definedName name="OSRRefH22_2x_0" localSheetId="91">'450'!$H$45</definedName>
    <definedName name="OSRRefH22_2x_0" localSheetId="72">'491'!$H$50</definedName>
    <definedName name="OSRRefH22_2x_0" localSheetId="86">'492'!$H$49</definedName>
    <definedName name="OSRRefH22_2x_0" localSheetId="93">'501'!$H$43</definedName>
    <definedName name="OSRRefH22_2x_0" localSheetId="39">'Div 2'!$H$44</definedName>
    <definedName name="OSRRefH22_2x_0" localSheetId="47">'Div 3'!$H$138</definedName>
    <definedName name="OSRRefH22_2x_0" localSheetId="70">'Div 4'!$H$53</definedName>
    <definedName name="OSRRefH22_2x_0" localSheetId="92">'Div 5'!$H$43</definedName>
    <definedName name="OSRRefH22_2x_0" localSheetId="61">'Div 6'!$H$71</definedName>
    <definedName name="OSRRefH22_2x_0" localSheetId="2">Summary!$H$165</definedName>
    <definedName name="OSRRefH22_3x_0" localSheetId="40">'200'!$H$26:$H$27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</definedName>
    <definedName name="OSRRefH22_3x_0" localSheetId="46">'206'!$H$43</definedName>
    <definedName name="OSRRefH22_3x_0" localSheetId="48">'300'!$H$136:$H$137</definedName>
    <definedName name="OSRRefH22_3x_0" localSheetId="49">'300 &amp; 317'!$H$158:$H$159</definedName>
    <definedName name="OSRRefH22_3x_0" localSheetId="50">'301'!$H$44</definedName>
    <definedName name="OSRRefH22_3x_0" localSheetId="52">'307'!$H$61</definedName>
    <definedName name="OSRRefH22_3x_0" localSheetId="53">'308'!$H$78</definedName>
    <definedName name="OSRRefH22_3x_0" localSheetId="64">'309'!$H$44</definedName>
    <definedName name="OSRRefH22_3x_0" localSheetId="63">'310'!$H$51</definedName>
    <definedName name="OSRRefH22_3x_0" localSheetId="71">'310 &amp; 491'!$H$55</definedName>
    <definedName name="OSRRefH22_3x_0" localSheetId="54">'311'!$H$77</definedName>
    <definedName name="OSRRefH22_3x_0" localSheetId="65">'313'!$H$46</definedName>
    <definedName name="OSRRefH22_3x_0" localSheetId="57">'315'!$H$100</definedName>
    <definedName name="OSRRefH22_3x_0" localSheetId="60">'316'!$H$53</definedName>
    <definedName name="OSRRefH22_3x_0" localSheetId="62">'317'!$H$73</definedName>
    <definedName name="OSRRefH22_3x_0" localSheetId="66">'321'!$H$48</definedName>
    <definedName name="OSRRefH22_3x_0" localSheetId="67">'322'!$H$45</definedName>
    <definedName name="OSRRefH22_3x_0" localSheetId="68">'325'!$H$47</definedName>
    <definedName name="OSRRefH22_3x_0" localSheetId="58">'326'!$H$67</definedName>
    <definedName name="OSRRefH22_3x_0" localSheetId="51">'330'!$H$61</definedName>
    <definedName name="OSRRefH22_3x_0" localSheetId="56">'331'!$H$100</definedName>
    <definedName name="OSRRefH22_3x_0" localSheetId="59">'332'!$H$53</definedName>
    <definedName name="OSRRefH22_3x_0" localSheetId="73">'405'!$H$45</definedName>
    <definedName name="OSRRefH22_3x_0" localSheetId="74">'406'!$H$26</definedName>
    <definedName name="OSRRefH22_3x_0" localSheetId="75">'411'!$H$43</definedName>
    <definedName name="OSRRefH22_3x_0" localSheetId="76">'412'!$H$44</definedName>
    <definedName name="OSRRefH22_3x_0" localSheetId="77">'413'!$H$46</definedName>
    <definedName name="OSRRefH22_3x_0" localSheetId="78">'414'!$H$47</definedName>
    <definedName name="OSRRefH22_3x_0" localSheetId="79">'415'!$H$50</definedName>
    <definedName name="OSRRefH22_3x_0" localSheetId="80">'418'!$H$45</definedName>
    <definedName name="OSRRefH22_3x_0" localSheetId="82">'423'!$H$42:$H$43</definedName>
    <definedName name="OSRRefH22_3x_0" localSheetId="83">'424'!$H$26</definedName>
    <definedName name="OSRRefH22_3x_0" localSheetId="84">'425'!$H$30</definedName>
    <definedName name="OSRRefH22_3x_0" localSheetId="87">'430'!$H$43:$H$45</definedName>
    <definedName name="OSRRefH22_3x_0" localSheetId="88">'433'!$H$51</definedName>
    <definedName name="OSRRefH22_3x_0" localSheetId="90">'444'!$H$51</definedName>
    <definedName name="OSRRefH22_3x_0" localSheetId="91">'450'!$H$47</definedName>
    <definedName name="OSRRefH22_3x_0" localSheetId="72">'491'!$H$52</definedName>
    <definedName name="OSRRefH22_3x_0" localSheetId="86">'492'!$H$51</definedName>
    <definedName name="OSRRefH22_3x_0" localSheetId="93">'501'!$H$45</definedName>
    <definedName name="OSRRefH22_3x_0" localSheetId="39">'Div 2'!$H$46</definedName>
    <definedName name="OSRRefH22_3x_0" localSheetId="47">'Div 3'!$H$140:$H$141</definedName>
    <definedName name="OSRRefH22_3x_0" localSheetId="70">'Div 4'!$H$55</definedName>
    <definedName name="OSRRefH22_3x_0" localSheetId="92">'Div 5'!$H$45</definedName>
    <definedName name="OSRRefH22_3x_0" localSheetId="61">'Div 6'!$H$73</definedName>
    <definedName name="OSRRefH22_3x_0" localSheetId="2">Summary!$H$167:$H$168</definedName>
    <definedName name="OSRRefH22_4x_0" localSheetId="41">'201'!$H$46</definedName>
    <definedName name="OSRRefH22_4x_0" localSheetId="42">'202'!$H$46:$H$47</definedName>
    <definedName name="OSRRefH22_4x_0" localSheetId="43">'203'!$H$46</definedName>
    <definedName name="OSRRefH22_4x_0" localSheetId="44">'204'!$H$47</definedName>
    <definedName name="OSRRefH22_4x_0" localSheetId="45">'205'!$H$45:$H$46</definedName>
    <definedName name="OSRRefH22_4x_0" localSheetId="46">'206'!$H$45</definedName>
    <definedName name="OSRRefH22_4x_0" localSheetId="48">'300'!$H$139</definedName>
    <definedName name="OSRRefH22_4x_0" localSheetId="49">'300 &amp; 317'!$H$161</definedName>
    <definedName name="OSRRefH22_4x_0" localSheetId="50">'301'!$H$46:$H$47</definedName>
    <definedName name="OSRRefH22_4x_0" localSheetId="52">'307'!$H$63</definedName>
    <definedName name="OSRRefH22_4x_0" localSheetId="53">'308'!$H$80</definedName>
    <definedName name="OSRRefH22_4x_0" localSheetId="64">'309'!$H$46</definedName>
    <definedName name="OSRRefH22_4x_0" localSheetId="63">'310'!$H$53</definedName>
    <definedName name="OSRRefH22_4x_0" localSheetId="71">'310 &amp; 491'!$H$57</definedName>
    <definedName name="OSRRefH22_4x_0" localSheetId="54">'311'!$H$79</definedName>
    <definedName name="OSRRefH22_4x_0" localSheetId="65">'313'!$H$48</definedName>
    <definedName name="OSRRefH22_4x_0" localSheetId="57">'315'!$H$102</definedName>
    <definedName name="OSRRefH22_4x_0" localSheetId="60">'316'!$H$55</definedName>
    <definedName name="OSRRefH22_4x_0" localSheetId="62">'317'!$H$75</definedName>
    <definedName name="OSRRefH22_4x_0" localSheetId="66">'321'!$H$50</definedName>
    <definedName name="OSRRefH22_4x_0" localSheetId="67">'322'!$H$47</definedName>
    <definedName name="OSRRefH22_4x_0" localSheetId="68">'325'!$H$49</definedName>
    <definedName name="OSRRefH22_4x_0" localSheetId="58">'326'!$H$69</definedName>
    <definedName name="OSRRefH22_4x_0" localSheetId="51">'330'!$H$63</definedName>
    <definedName name="OSRRefH22_4x_0" localSheetId="56">'331'!$H$102</definedName>
    <definedName name="OSRRefH22_4x_0" localSheetId="59">'332'!$H$55</definedName>
    <definedName name="OSRRefH22_4x_0" localSheetId="73">'405'!$H$47:$H$48</definedName>
    <definedName name="OSRRefH22_4x_0" localSheetId="74">'406'!$H$28</definedName>
    <definedName name="OSRRefH22_4x_0" localSheetId="75">'411'!$H$45:$H$46</definedName>
    <definedName name="OSRRefH22_4x_0" localSheetId="76">'412'!$H$46:$H$47</definedName>
    <definedName name="OSRRefH22_4x_0" localSheetId="77">'413'!$H$48</definedName>
    <definedName name="OSRRefH22_4x_0" localSheetId="78">'414'!$H$49</definedName>
    <definedName name="OSRRefH22_4x_0" localSheetId="79">'415'!$H$52</definedName>
    <definedName name="OSRRefH22_4x_0" localSheetId="80">'418'!$H$47:$H$48</definedName>
    <definedName name="OSRRefH22_4x_0" localSheetId="82">'423'!$H$45</definedName>
    <definedName name="OSRRefH22_4x_0" localSheetId="84">'425'!$H$32</definedName>
    <definedName name="OSRRefH22_4x_0" localSheetId="87">'430'!$H$47:$H$48</definedName>
    <definedName name="OSRRefH22_4x_0" localSheetId="88">'433'!$H$53</definedName>
    <definedName name="OSRRefH22_4x_0" localSheetId="90">'444'!$H$53</definedName>
    <definedName name="OSRRefH22_4x_0" localSheetId="91">'450'!$H$49</definedName>
    <definedName name="OSRRefH22_4x_0" localSheetId="72">'491'!$H$54</definedName>
    <definedName name="OSRRefH22_4x_0" localSheetId="86">'492'!$H$53</definedName>
    <definedName name="OSRRefH22_4x_0" localSheetId="93">'501'!$H$47</definedName>
    <definedName name="OSRRefH22_4x_0" localSheetId="39">'Div 2'!$H$48</definedName>
    <definedName name="OSRRefH22_4x_0" localSheetId="47">'Div 3'!$H$143</definedName>
    <definedName name="OSRRefH22_4x_0" localSheetId="70">'Div 4'!$H$57</definedName>
    <definedName name="OSRRefH22_4x_0" localSheetId="92">'Div 5'!$H$47</definedName>
    <definedName name="OSRRefH22_4x_0" localSheetId="61">'Div 6'!$H$75</definedName>
    <definedName name="OSRRefH22_4x_0" localSheetId="2">Summary!$H$170</definedName>
    <definedName name="OSRRefH22_5x_0" localSheetId="41">'201'!$H$48</definedName>
    <definedName name="OSRRefH22_5x_0" localSheetId="42">'202'!$H$49</definedName>
    <definedName name="OSRRefH22_5x_0" localSheetId="43">'203'!$H$48</definedName>
    <definedName name="OSRRefH22_5x_0" localSheetId="44">'204'!$H$49</definedName>
    <definedName name="OSRRefH22_5x_0" localSheetId="45">'205'!$H$48</definedName>
    <definedName name="OSRRefH22_5x_0" localSheetId="46">'206'!$H$47</definedName>
    <definedName name="OSRRefH22_5x_0" localSheetId="48">'300'!$H$141:$H$142</definedName>
    <definedName name="OSRRefH22_5x_0" localSheetId="49">'300 &amp; 317'!$H$163:$H$164</definedName>
    <definedName name="OSRRefH22_5x_0" localSheetId="50">'301'!$H$49</definedName>
    <definedName name="OSRRefH22_5x_0" localSheetId="52">'307'!$H$65:$H$66</definedName>
    <definedName name="OSRRefH22_5x_0" localSheetId="53">'308'!$H$82</definedName>
    <definedName name="OSRRefH22_5x_0" localSheetId="64">'309'!$H$48</definedName>
    <definedName name="OSRRefH22_5x_0" localSheetId="63">'310'!$H$55:$H$56</definedName>
    <definedName name="OSRRefH22_5x_0" localSheetId="71">'310 &amp; 491'!$H$59:$H$61</definedName>
    <definedName name="OSRRefH22_5x_0" localSheetId="54">'311'!$H$81</definedName>
    <definedName name="OSRRefH22_5x_0" localSheetId="65">'313'!$H$50</definedName>
    <definedName name="OSRRefH22_5x_0" localSheetId="57">'315'!$H$104</definedName>
    <definedName name="OSRRefH22_5x_0" localSheetId="60">'316'!$H$57</definedName>
    <definedName name="OSRRefH22_5x_0" localSheetId="62">'317'!$H$77</definedName>
    <definedName name="OSRRefH22_5x_0" localSheetId="66">'321'!$H$52</definedName>
    <definedName name="OSRRefH22_5x_0" localSheetId="67">'322'!$H$49</definedName>
    <definedName name="OSRRefH22_5x_0" localSheetId="68">'325'!$H$51:$H$52</definedName>
    <definedName name="OSRRefH22_5x_0" localSheetId="58">'326'!$H$71</definedName>
    <definedName name="OSRRefH22_5x_0" localSheetId="51">'330'!$H$65:$H$66</definedName>
    <definedName name="OSRRefH22_5x_0" localSheetId="56">'331'!$H$104</definedName>
    <definedName name="OSRRefH22_5x_0" localSheetId="59">'332'!$H$57</definedName>
    <definedName name="OSRRefH22_5x_0" localSheetId="73">'405'!$H$50</definedName>
    <definedName name="OSRRefH22_5x_0" localSheetId="75">'411'!$H$48</definedName>
    <definedName name="OSRRefH22_5x_0" localSheetId="76">'412'!$H$49</definedName>
    <definedName name="OSRRefH22_5x_0" localSheetId="77">'413'!$H$50</definedName>
    <definedName name="OSRRefH22_5x_0" localSheetId="78">'414'!$H$51</definedName>
    <definedName name="OSRRefH22_5x_0" localSheetId="79">'415'!$H$54:$H$55</definedName>
    <definedName name="OSRRefH22_5x_0" localSheetId="80">'418'!$H$50</definedName>
    <definedName name="OSRRefH22_5x_0" localSheetId="82">'423'!$H$47</definedName>
    <definedName name="OSRRefH22_5x_0" localSheetId="87">'430'!$H$50</definedName>
    <definedName name="OSRRefH22_5x_0" localSheetId="88">'433'!$H$55</definedName>
    <definedName name="OSRRefH22_5x_0" localSheetId="90">'444'!$H$55</definedName>
    <definedName name="OSRRefH22_5x_0" localSheetId="91">'450'!$H$51</definedName>
    <definedName name="OSRRefH22_5x_0" localSheetId="72">'491'!$H$56:$H$58</definedName>
    <definedName name="OSRRefH22_5x_0" localSheetId="86">'492'!$H$55</definedName>
    <definedName name="OSRRefH22_5x_0" localSheetId="93">'501'!$H$49:$H$50</definedName>
    <definedName name="OSRRefH22_5x_0" localSheetId="39">'Div 2'!$H$50:$H$51</definedName>
    <definedName name="OSRRefH22_5x_0" localSheetId="47">'Div 3'!$H$145:$H$146</definedName>
    <definedName name="OSRRefH22_5x_0" localSheetId="70">'Div 4'!$H$59:$H$61</definedName>
    <definedName name="OSRRefH22_5x_0" localSheetId="92">'Div 5'!$H$49:$H$50</definedName>
    <definedName name="OSRRefH22_5x_0" localSheetId="61">'Div 6'!$H$77</definedName>
    <definedName name="OSRRefH22_5x_0" localSheetId="2">Summary!$H$172:$H$174</definedName>
    <definedName name="OSRRefH22_6x_0" localSheetId="41">'201'!$H$50</definedName>
    <definedName name="OSRRefH22_6x_0" localSheetId="42">'202'!$H$51</definedName>
    <definedName name="OSRRefH22_6x_0" localSheetId="43">'203'!$H$50</definedName>
    <definedName name="OSRRefH22_6x_0" localSheetId="44">'204'!$H$51:$H$53</definedName>
    <definedName name="OSRRefH22_6x_0" localSheetId="45">'205'!$H$50:$H$51</definedName>
    <definedName name="OSRRefH22_6x_0" localSheetId="46">'206'!$H$49</definedName>
    <definedName name="OSRRefH22_6x_0" localSheetId="48">'300'!$H$144:$H$145</definedName>
    <definedName name="OSRRefH22_6x_0" localSheetId="49">'300 &amp; 317'!$H$166:$H$167</definedName>
    <definedName name="OSRRefH22_6x_0" localSheetId="50">'301'!$H$51</definedName>
    <definedName name="OSRRefH22_6x_0" localSheetId="52">'307'!$H$68</definedName>
    <definedName name="OSRRefH22_6x_0" localSheetId="53">'308'!$H$84</definedName>
    <definedName name="OSRRefH22_6x_0" localSheetId="64">'309'!$H$50:$H$51</definedName>
    <definedName name="OSRRefH22_6x_0" localSheetId="63">'310'!$H$58</definedName>
    <definedName name="OSRRefH22_6x_0" localSheetId="71">'310 &amp; 491'!$H$63</definedName>
    <definedName name="OSRRefH22_6x_0" localSheetId="54">'311'!$H$83</definedName>
    <definedName name="OSRRefH22_6x_0" localSheetId="65">'313'!$H$52:$H$53</definedName>
    <definedName name="OSRRefH22_6x_0" localSheetId="57">'315'!$H$106</definedName>
    <definedName name="OSRRefH22_6x_0" localSheetId="60">'316'!$H$59:$H$60</definedName>
    <definedName name="OSRRefH22_6x_0" localSheetId="62">'317'!$H$79:$H$80</definedName>
    <definedName name="OSRRefH22_6x_0" localSheetId="66">'321'!$H$54</definedName>
    <definedName name="OSRRefH22_6x_0" localSheetId="67">'322'!$H$51</definedName>
    <definedName name="OSRRefH22_6x_0" localSheetId="68">'325'!$H$54</definedName>
    <definedName name="OSRRefH22_6x_0" localSheetId="58">'326'!$H$73</definedName>
    <definedName name="OSRRefH22_6x_0" localSheetId="51">'330'!$H$68</definedName>
    <definedName name="OSRRefH22_6x_0" localSheetId="56">'331'!$H$106</definedName>
    <definedName name="OSRRefH22_6x_0" localSheetId="59">'332'!$H$59:$H$60</definedName>
    <definedName name="OSRRefH22_6x_0" localSheetId="73">'405'!$H$52</definedName>
    <definedName name="OSRRefH22_6x_0" localSheetId="75">'411'!$H$50</definedName>
    <definedName name="OSRRefH22_6x_0" localSheetId="76">'412'!$H$51</definedName>
    <definedName name="OSRRefH22_6x_0" localSheetId="77">'413'!$H$52</definedName>
    <definedName name="OSRRefH22_6x_0" localSheetId="78">'414'!$H$53</definedName>
    <definedName name="OSRRefH22_6x_0" localSheetId="79">'415'!$H$57</definedName>
    <definedName name="OSRRefH22_6x_0" localSheetId="80">'418'!$H$52</definedName>
    <definedName name="OSRRefH22_6x_0" localSheetId="82">'423'!$H$49</definedName>
    <definedName name="OSRRefH22_6x_0" localSheetId="87">'430'!$H$52</definedName>
    <definedName name="OSRRefH22_6x_0" localSheetId="88">'433'!$H$57</definedName>
    <definedName name="OSRRefH22_6x_0" localSheetId="90">'444'!$H$57</definedName>
    <definedName name="OSRRefH22_6x_0" localSheetId="91">'450'!$H$53</definedName>
    <definedName name="OSRRefH22_6x_0" localSheetId="72">'491'!$H$60</definedName>
    <definedName name="OSRRefH22_6x_0" localSheetId="86">'492'!$H$57</definedName>
    <definedName name="OSRRefH22_6x_0" localSheetId="93">'501'!$H$52</definedName>
    <definedName name="OSRRefH22_6x_0" localSheetId="39">'Div 2'!$H$53</definedName>
    <definedName name="OSRRefH22_6x_0" localSheetId="47">'Div 3'!$H$148:$H$149</definedName>
    <definedName name="OSRRefH22_6x_0" localSheetId="70">'Div 4'!$H$63</definedName>
    <definedName name="OSRRefH22_6x_0" localSheetId="92">'Div 5'!$H$52</definedName>
    <definedName name="OSRRefH22_6x_0" localSheetId="61">'Div 6'!$H$79:$H$80</definedName>
    <definedName name="OSRRefH22_6x_0" localSheetId="2">Summary!$H$176:$H$177</definedName>
    <definedName name="OSRRefH22_7x_0" localSheetId="41">'201'!$H$52</definedName>
    <definedName name="OSRRefH22_7x_0" localSheetId="42">'202'!$H$53:$H$54</definedName>
    <definedName name="OSRRefH22_7x_0" localSheetId="43">'203'!$H$52:$H$53</definedName>
    <definedName name="OSRRefH22_7x_0" localSheetId="44">'204'!$H$55:$H$56</definedName>
    <definedName name="OSRRefH22_7x_0" localSheetId="45">'205'!$H$53</definedName>
    <definedName name="OSRRefH22_7x_0" localSheetId="46">'206'!$H$51</definedName>
    <definedName name="OSRRefH22_7x_0" localSheetId="48">'300'!$H$147:$H$148</definedName>
    <definedName name="OSRRefH22_7x_0" localSheetId="49">'300 &amp; 317'!$H$169:$H$170</definedName>
    <definedName name="OSRRefH22_7x_0" localSheetId="50">'301'!$H$53</definedName>
    <definedName name="OSRRefH22_7x_0" localSheetId="52">'307'!$H$70</definedName>
    <definedName name="OSRRefH22_7x_0" localSheetId="53">'308'!$H$86:$H$87</definedName>
    <definedName name="OSRRefH22_7x_0" localSheetId="64">'309'!$H$53:$H$54</definedName>
    <definedName name="OSRRefH22_7x_0" localSheetId="63">'310'!$H$60</definedName>
    <definedName name="OSRRefH22_7x_0" localSheetId="71">'310 &amp; 491'!$H$65</definedName>
    <definedName name="OSRRefH22_7x_0" localSheetId="54">'311'!$H$85:$H$86</definedName>
    <definedName name="OSRRefH22_7x_0" localSheetId="65">'313'!$H$55</definedName>
    <definedName name="OSRRefH22_7x_0" localSheetId="57">'315'!$H$108:$H$109</definedName>
    <definedName name="OSRRefH22_7x_0" localSheetId="60">'316'!$H$62:$H$63</definedName>
    <definedName name="OSRRefH22_7x_0" localSheetId="62">'317'!$H$82</definedName>
    <definedName name="OSRRefH22_7x_0" localSheetId="66">'321'!$H$56:$H$57</definedName>
    <definedName name="OSRRefH22_7x_0" localSheetId="67">'322'!$H$53:$H$54</definedName>
    <definedName name="OSRRefH22_7x_0" localSheetId="68">'325'!$H$56</definedName>
    <definedName name="OSRRefH22_7x_0" localSheetId="58">'326'!$H$75</definedName>
    <definedName name="OSRRefH22_7x_0" localSheetId="51">'330'!$H$70</definedName>
    <definedName name="OSRRefH22_7x_0" localSheetId="56">'331'!$H$108</definedName>
    <definedName name="OSRRefH22_7x_0" localSheetId="59">'332'!$H$62:$H$63</definedName>
    <definedName name="OSRRefH22_7x_0" localSheetId="73">'405'!$H$54</definedName>
    <definedName name="OSRRefH22_7x_0" localSheetId="75">'411'!$H$52</definedName>
    <definedName name="OSRRefH22_7x_0" localSheetId="76">'412'!$H$53</definedName>
    <definedName name="OSRRefH22_7x_0" localSheetId="77">'413'!$H$54</definedName>
    <definedName name="OSRRefH22_7x_0" localSheetId="78">'414'!$H$55</definedName>
    <definedName name="OSRRefH22_7x_0" localSheetId="79">'415'!$H$59</definedName>
    <definedName name="OSRRefH22_7x_0" localSheetId="80">'418'!$H$54</definedName>
    <definedName name="OSRRefH22_7x_0" localSheetId="88">'433'!$H$59</definedName>
    <definedName name="OSRRefH22_7x_0" localSheetId="90">'444'!$H$59</definedName>
    <definedName name="OSRRefH22_7x_0" localSheetId="91">'450'!$H$55</definedName>
    <definedName name="OSRRefH22_7x_0" localSheetId="72">'491'!$H$62</definedName>
    <definedName name="OSRRefH22_7x_0" localSheetId="86">'492'!$H$59</definedName>
    <definedName name="OSRRefH22_7x_0" localSheetId="93">'501'!$H$54</definedName>
    <definedName name="OSRRefH22_7x_0" localSheetId="39">'Div 2'!$H$55</definedName>
    <definedName name="OSRRefH22_7x_0" localSheetId="47">'Div 3'!$H$151:$H$152</definedName>
    <definedName name="OSRRefH22_7x_0" localSheetId="70">'Div 4'!$H$65</definedName>
    <definedName name="OSRRefH22_7x_0" localSheetId="92">'Div 5'!$H$54</definedName>
    <definedName name="OSRRefH22_7x_0" localSheetId="61">'Div 6'!$H$82</definedName>
    <definedName name="OSRRefH22_7x_0" localSheetId="2">Summary!$H$179:$H$180</definedName>
    <definedName name="OSRRefH22_8x_0" localSheetId="41">'201'!$H$54</definedName>
    <definedName name="OSRRefH22_8x_0" localSheetId="42">'202'!$H$56</definedName>
    <definedName name="OSRRefH22_8x_0" localSheetId="43">'203'!$H$55:$H$57</definedName>
    <definedName name="OSRRefH22_8x_0" localSheetId="44">'204'!$H$58</definedName>
    <definedName name="OSRRefH22_8x_0" localSheetId="46">'206'!$H$53:$H$54</definedName>
    <definedName name="OSRRefH22_8x_0" localSheetId="48">'300'!$H$150</definedName>
    <definedName name="OSRRefH22_8x_0" localSheetId="49">'300 &amp; 317'!$H$172</definedName>
    <definedName name="OSRRefH22_8x_0" localSheetId="50">'301'!$H$55</definedName>
    <definedName name="OSRRefH22_8x_0" localSheetId="52">'307'!$H$72</definedName>
    <definedName name="OSRRefH22_8x_0" localSheetId="53">'308'!$H$89</definedName>
    <definedName name="OSRRefH22_8x_0" localSheetId="64">'309'!$H$56:$H$57</definedName>
    <definedName name="OSRRefH22_8x_0" localSheetId="63">'310'!$H$62</definedName>
    <definedName name="OSRRefH22_8x_0" localSheetId="71">'310 &amp; 491'!$H$67:$H$68</definedName>
    <definedName name="OSRRefH22_8x_0" localSheetId="54">'311'!$H$88</definedName>
    <definedName name="OSRRefH22_8x_0" localSheetId="65">'313'!$H$57:$H$59</definedName>
    <definedName name="OSRRefH22_8x_0" localSheetId="57">'315'!$H$111</definedName>
    <definedName name="OSRRefH22_8x_0" localSheetId="60">'316'!$H$65</definedName>
    <definedName name="OSRRefH22_8x_0" localSheetId="62">'317'!$H$84</definedName>
    <definedName name="OSRRefH22_8x_0" localSheetId="66">'321'!$H$59:$H$60</definedName>
    <definedName name="OSRRefH22_8x_0" localSheetId="67">'322'!$H$56:$H$57</definedName>
    <definedName name="OSRRefH22_8x_0" localSheetId="68">'325'!$H$58</definedName>
    <definedName name="OSRRefH22_8x_0" localSheetId="58">'326'!$H$77:$H$78</definedName>
    <definedName name="OSRRefH22_8x_0" localSheetId="51">'330'!$H$72</definedName>
    <definedName name="OSRRefH22_8x_0" localSheetId="56">'331'!$H$110:$H$111</definedName>
    <definedName name="OSRRefH22_8x_0" localSheetId="59">'332'!$H$65</definedName>
    <definedName name="OSRRefH22_8x_0" localSheetId="73">'405'!$H$56:$H$57</definedName>
    <definedName name="OSRRefH22_8x_0" localSheetId="75">'411'!$H$54</definedName>
    <definedName name="OSRRefH22_8x_0" localSheetId="76">'412'!$H$55:$H$56</definedName>
    <definedName name="OSRRefH22_8x_0" localSheetId="77">'413'!$H$56:$H$58</definedName>
    <definedName name="OSRRefH22_8x_0" localSheetId="78">'414'!$H$57:$H$58</definedName>
    <definedName name="OSRRefH22_8x_0" localSheetId="79">'415'!$H$61</definedName>
    <definedName name="OSRRefH22_8x_0" localSheetId="80">'418'!$H$56:$H$58</definedName>
    <definedName name="OSRRefH22_8x_0" localSheetId="88">'433'!$H$61</definedName>
    <definedName name="OSRRefH22_8x_0" localSheetId="90">'444'!$H$61</definedName>
    <definedName name="OSRRefH22_8x_0" localSheetId="91">'450'!$H$57</definedName>
    <definedName name="OSRRefH22_8x_0" localSheetId="72">'491'!$H$64</definedName>
    <definedName name="OSRRefH22_8x_0" localSheetId="86">'492'!$H$61</definedName>
    <definedName name="OSRRefH22_8x_0" localSheetId="93">'501'!$H$56</definedName>
    <definedName name="OSRRefH22_8x_0" localSheetId="39">'Div 2'!$H$57</definedName>
    <definedName name="OSRRefH22_8x_0" localSheetId="47">'Div 3'!$H$154</definedName>
    <definedName name="OSRRefH22_8x_0" localSheetId="70">'Div 4'!$H$67</definedName>
    <definedName name="OSRRefH22_8x_0" localSheetId="92">'Div 5'!$H$56</definedName>
    <definedName name="OSRRefH22_8x_0" localSheetId="61">'Div 6'!$H$84</definedName>
    <definedName name="OSRRefH22_8x_0" localSheetId="2">Summary!$H$182</definedName>
    <definedName name="OSRRefH22_9x_0" localSheetId="41">'201'!$H$56</definedName>
    <definedName name="OSRRefH22_9x_0" localSheetId="42">'202'!$H$58:$H$60</definedName>
    <definedName name="OSRRefH22_9x_0" localSheetId="43">'203'!$H$59</definedName>
    <definedName name="OSRRefH22_9x_0" localSheetId="44">'204'!$H$60:$H$61</definedName>
    <definedName name="OSRRefH22_9x_0" localSheetId="46">'206'!$H$56</definedName>
    <definedName name="OSRRefH22_9x_0" localSheetId="48">'300'!$H$152</definedName>
    <definedName name="OSRRefH22_9x_0" localSheetId="49">'300 &amp; 317'!$H$174</definedName>
    <definedName name="OSRRefH22_9x_0" localSheetId="50">'301'!$H$57</definedName>
    <definedName name="OSRRefH22_9x_0" localSheetId="52">'307'!$H$74:$H$75</definedName>
    <definedName name="OSRRefH22_9x_0" localSheetId="53">'308'!$H$91:$H$92</definedName>
    <definedName name="OSRRefH22_9x_0" localSheetId="64">'309'!$H$59</definedName>
    <definedName name="OSRRefH22_9x_0" localSheetId="63">'310'!$H$64</definedName>
    <definedName name="OSRRefH22_9x_0" localSheetId="71">'310 &amp; 491'!$H$70</definedName>
    <definedName name="OSRRefH22_9x_0" localSheetId="54">'311'!$H$90:$H$91</definedName>
    <definedName name="OSRRefH22_9x_0" localSheetId="65">'313'!$H$61:$H$62</definedName>
    <definedName name="OSRRefH22_9x_0" localSheetId="57">'315'!$H$113</definedName>
    <definedName name="OSRRefH22_9x_0" localSheetId="60">'316'!$H$67:$H$71</definedName>
    <definedName name="OSRRefH22_9x_0" localSheetId="62">'317'!$H$86</definedName>
    <definedName name="OSRRefH22_9x_0" localSheetId="66">'321'!$H$62:$H$63</definedName>
    <definedName name="OSRRefH22_9x_0" localSheetId="67">'322'!$H$59:$H$62</definedName>
    <definedName name="OSRRefH22_9x_0" localSheetId="68">'325'!$H$60</definedName>
    <definedName name="OSRRefH22_9x_0" localSheetId="58">'326'!$H$80</definedName>
    <definedName name="OSRRefH22_9x_0" localSheetId="51">'330'!$H$74:$H$75</definedName>
    <definedName name="OSRRefH22_9x_0" localSheetId="56">'331'!$H$113:$H$114</definedName>
    <definedName name="OSRRefH22_9x_0" localSheetId="59">'332'!$H$67:$H$71</definedName>
    <definedName name="OSRRefH22_9x_0" localSheetId="73">'405'!$H$59</definedName>
    <definedName name="OSRRefH22_9x_0" localSheetId="75">'411'!$H$56:$H$57</definedName>
    <definedName name="OSRRefH22_9x_0" localSheetId="76">'412'!$H$58</definedName>
    <definedName name="OSRRefH22_9x_0" localSheetId="77">'413'!$H$60:$H$61</definedName>
    <definedName name="OSRRefH22_9x_0" localSheetId="78">'414'!$H$60</definedName>
    <definedName name="OSRRefH22_9x_0" localSheetId="79">'415'!$H$63</definedName>
    <definedName name="OSRRefH22_9x_0" localSheetId="80">'418'!$H$60:$H$61</definedName>
    <definedName name="OSRRefH22_9x_0" localSheetId="88">'433'!$H$63</definedName>
    <definedName name="OSRRefH22_9x_0" localSheetId="90">'444'!$H$63</definedName>
    <definedName name="OSRRefH22_9x_0" localSheetId="91">'450'!$H$59</definedName>
    <definedName name="OSRRefH22_9x_0" localSheetId="72">'491'!$H$66</definedName>
    <definedName name="OSRRefH22_9x_0" localSheetId="86">'492'!$H$63</definedName>
    <definedName name="OSRRefH22_9x_0" localSheetId="93">'501'!$H$58:$H$61</definedName>
    <definedName name="OSRRefH22_9x_0" localSheetId="39">'Div 2'!$H$59:$H$60</definedName>
    <definedName name="OSRRefH22_9x_0" localSheetId="47">'Div 3'!$H$156</definedName>
    <definedName name="OSRRefH22_9x_0" localSheetId="70">'Div 4'!$H$69</definedName>
    <definedName name="OSRRefH22_9x_0" localSheetId="92">'Div 5'!$H$58:$H$61</definedName>
    <definedName name="OSRRefH22_9x_0" localSheetId="61">'Div 6'!$H$86</definedName>
    <definedName name="OSRRefH22_9x_0" localSheetId="2">Summary!$H$184</definedName>
    <definedName name="OSRRefH22x_0" localSheetId="40">'200'!$H$20,'200'!$H$22,'200'!$H$24,'200'!$H$26:$H$27</definedName>
    <definedName name="OSRRefH22x_0" localSheetId="41">'201'!$H$21:$H$29,'201'!$H$31:$H$40,'201'!$H$42,'201'!$H$44,'201'!$H$46,'201'!$H$48,'201'!$H$50,'201'!$H$52,'201'!$H$54,'201'!$H$56,'201'!$H$58:$H$59,'201'!$H$61,'201'!$H$63,'201'!$H$65:$H$67,'201'!$H$69,'201'!$H$71</definedName>
    <definedName name="OSRRefH22x_0" localSheetId="42">'202'!$H$21:$H$29,'202'!$H$31:$H$40,'202'!$H$42,'202'!$H$44,'202'!$H$46:$H$47,'202'!$H$49,'202'!$H$51,'202'!$H$53:$H$54,'202'!$H$56,'202'!$H$58:$H$60,'202'!$H$62,'202'!$H$64,'202'!$H$66</definedName>
    <definedName name="OSRRefH22x_0" localSheetId="43">'203'!$H$20:$H$29,'203'!$H$31:$H$40,'203'!$H$42,'203'!$H$44,'203'!$H$46,'203'!$H$48,'203'!$H$50,'203'!$H$52:$H$53,'203'!$H$55:$H$57,'203'!$H$59,'203'!$H$61,'203'!$H$63:$H$65,'203'!$H$67,'203'!$H$69</definedName>
    <definedName name="OSRRefH22x_0" localSheetId="44">'204'!$H$20:$H$29,'204'!$H$31:$H$40,'204'!$H$42,'204'!$H$44:$H$45,'204'!$H$47,'204'!$H$49,'204'!$H$51:$H$53,'204'!$H$55:$H$56,'204'!$H$58,'204'!$H$60:$H$61,'204'!$H$63</definedName>
    <definedName name="OSRRefH22x_0" localSheetId="45">'205'!$H$20:$H$28,'205'!$H$30:$H$39,'205'!$H$41,'205'!$H$43,'205'!$H$45:$H$46,'205'!$H$48,'205'!$H$50:$H$51,'205'!$H$53</definedName>
    <definedName name="OSRRefH22x_0" localSheetId="46">'206'!$H$20:$H$28,'206'!$H$30:$H$39,'206'!$H$41,'206'!$H$43,'206'!$H$45,'206'!$H$47,'206'!$H$49,'206'!$H$51,'206'!$H$53:$H$54,'206'!$H$56</definedName>
    <definedName name="OSRRefH22x_0" localSheetId="48">'300'!$H$112:$H$121,'300'!$H$123:$H$132,'300'!$H$134,'300'!$H$136:$H$137,'300'!$H$139,'300'!$H$141:$H$142,'300'!$H$144:$H$145,'300'!$H$147:$H$148,'300'!$H$150,'300'!$H$152,'300'!$H$154:$H$155,'300'!$H$157:$H$159,'300'!$H$161,'300'!$H$163,'300'!$H$165,'300'!$H$167,'300'!$H$169:$H$172,'300'!$H$174:$H$177,'300'!$H$179:$H$182,'300'!$H$184:$H$185,'300'!$H$187:$H$195,'300'!$H$197:$H$198,'300'!$H$200,'300'!$H$202:$H$204,'300'!$H$206</definedName>
    <definedName name="OSRRefH22x_0" localSheetId="49">'300 &amp; 317'!$H$134:$H$143,'300 &amp; 317'!$H$145:$H$154,'300 &amp; 317'!$H$156,'300 &amp; 317'!$H$158:$H$159,'300 &amp; 317'!$H$161,'300 &amp; 317'!$H$163:$H$164,'300 &amp; 317'!$H$166:$H$167,'300 &amp; 317'!$H$169:$H$170,'300 &amp; 317'!$H$172,'300 &amp; 317'!$H$174,'300 &amp; 317'!$H$176:$H$177,'300 &amp; 317'!$H$179:$H$181,'300 &amp; 317'!$H$183,'300 &amp; 317'!$H$185,'300 &amp; 317'!$H$187,'300 &amp; 317'!$H$189,'300 &amp; 317'!$H$191:$H$194,'300 &amp; 317'!$H$196:$H$199,'300 &amp; 317'!$H$201:$H$204,'300 &amp; 317'!$H$206:$H$207,'300 &amp; 317'!$H$209:$H$217,'300 &amp; 317'!$H$219:$H$220,'300 &amp; 317'!$H$222,'300 &amp; 317'!$H$224:$H$226,'300 &amp; 317'!$H$228</definedName>
    <definedName name="OSRRefH22x_0" localSheetId="50">'301'!$H$20:$H$28,'301'!$H$30:$H$39,'301'!$H$41:$H$42,'301'!$H$44,'301'!$H$46:$H$47,'301'!$H$49,'301'!$H$51,'301'!$H$53,'301'!$H$55,'301'!$H$57,'301'!$H$59,'301'!$H$61,'301'!$H$63,'301'!$H$65:$H$68,'301'!$H$70:$H$72,'301'!$H$74,'301'!$H$76:$H$82,'301'!$H$84,'301'!$H$86,'301'!$H$88,'301'!$H$90</definedName>
    <definedName name="OSRRefH22x_0" localSheetId="52">'307'!$H$39:$H$46,'307'!$H$48:$H$57,'307'!$H$59,'307'!$H$61,'307'!$H$63,'307'!$H$65:$H$66,'307'!$H$68,'307'!$H$70,'307'!$H$72,'307'!$H$74:$H$75,'307'!$H$77:$H$78,'307'!$H$80:$H$83,'307'!$H$85:$H$86,'307'!$H$88</definedName>
    <definedName name="OSRRefH22x_0" localSheetId="53">'308'!$H$54:$H$63,'308'!$H$65:$H$74,'308'!$H$76,'308'!$H$78,'308'!$H$80,'308'!$H$82,'308'!$H$84,'308'!$H$86:$H$87,'308'!$H$89,'308'!$H$91:$H$92,'308'!$H$94,'308'!$H$96:$H$98,'308'!$H$100:$H$101,'308'!$H$103</definedName>
    <definedName name="OSRRefH22x_0" localSheetId="64">'309'!$H$22:$H$29,'309'!$H$31:$H$40,'309'!$H$42,'309'!$H$44,'309'!$H$46,'309'!$H$48,'309'!$H$50:$H$51,'309'!$H$53:$H$54,'309'!$H$56:$H$57,'309'!$H$59</definedName>
    <definedName name="OSRRefH22x_0" localSheetId="63">'310'!$H$28:$H$36,'310'!$H$38:$H$47,'310'!$H$49,'310'!$H$51,'310'!$H$53,'310'!$H$55:$H$56,'310'!$H$58,'310'!$H$60,'310'!$H$62,'310'!$H$64,'310'!$H$66,'310'!$H$68,'310'!$H$70:$H$73,'310'!$H$75:$H$76,'310'!$H$78:$H$81,'310'!$H$83,'310'!$H$85:$H$91,'310'!$H$93:$H$94,'310'!$H$96,'310'!$H$98,'310'!$H$100</definedName>
    <definedName name="OSRRefH22x_0" localSheetId="71">'310 &amp; 491'!$H$32:$H$40,'310 &amp; 491'!$H$42:$H$51,'310 &amp; 491'!$H$53,'310 &amp; 491'!$H$55,'310 &amp; 491'!$H$57,'310 &amp; 491'!$H$59:$H$61,'310 &amp; 491'!$H$63,'310 &amp; 491'!$H$65,'310 &amp; 491'!$H$67:$H$68,'310 &amp; 491'!$H$70,'310 &amp; 491'!$H$72,'310 &amp; 491'!$H$74,'310 &amp; 491'!$H$76,'310 &amp; 491'!$H$78:$H$81,'310 &amp; 491'!$H$83:$H$84,'310 &amp; 491'!$H$86:$H$90,'310 &amp; 491'!$H$92,'310 &amp; 491'!$H$94:$H$104,'310 &amp; 491'!$H$106:$H$107,'310 &amp; 491'!$H$109,'310 &amp; 491'!$H$111:$H$113,'310 &amp; 491'!$H$115</definedName>
    <definedName name="OSRRefH22x_0" localSheetId="54">'311'!$H$53:$H$62,'311'!$H$64:$H$73,'311'!$H$75,'311'!$H$77,'311'!$H$79,'311'!$H$81,'311'!$H$83,'311'!$H$85:$H$86,'311'!$H$88,'311'!$H$90:$H$91,'311'!$H$93,'311'!$H$95:$H$97,'311'!$H$99:$H$100,'311'!$H$102</definedName>
    <definedName name="OSRRefH22x_0" localSheetId="65">'313'!$H$23:$H$31,'313'!$H$33:$H$42,'313'!$H$44,'313'!$H$46,'313'!$H$48,'313'!$H$50,'313'!$H$52:$H$53,'313'!$H$55,'313'!$H$57:$H$59,'313'!$H$61:$H$62,'313'!$H$64,'313'!$H$66</definedName>
    <definedName name="OSRRefH22x_0" localSheetId="57">'315'!$H$77:$H$85,'315'!$H$87:$H$96,'315'!$H$98,'315'!$H$100,'315'!$H$102,'315'!$H$104,'315'!$H$106,'315'!$H$108:$H$109,'315'!$H$111,'315'!$H$113,'315'!$H$115,'315'!$H$117,'315'!$H$119:$H$121,'315'!$H$123:$H$124,'315'!$H$126:$H$132,'315'!$H$134,'315'!$H$136:$H$137</definedName>
    <definedName name="OSRRefH22x_0" localSheetId="60">'316'!$H$30:$H$38,'316'!$H$40:$H$49,'316'!$H$51,'316'!$H$53,'316'!$H$55,'316'!$H$57,'316'!$H$59:$H$60,'316'!$H$62:$H$63,'316'!$H$65,'316'!$H$67:$H$71,'316'!$H$73,'316'!$H$75</definedName>
    <definedName name="OSRRefH22x_0" localSheetId="62">'317'!$H$49:$H$58,'317'!$H$60:$H$69,'317'!$H$71,'317'!$H$73,'317'!$H$75,'317'!$H$77,'317'!$H$79:$H$80,'317'!$H$82,'317'!$H$84,'317'!$H$86,'317'!$H$88:$H$90,'317'!$H$92,'317'!$H$94</definedName>
    <definedName name="OSRRefH22x_0" localSheetId="66">'321'!$H$25:$H$33,'321'!$H$35:$H$44,'321'!$H$46,'321'!$H$48,'321'!$H$50,'321'!$H$52,'321'!$H$54,'321'!$H$56:$H$57,'321'!$H$59:$H$60,'321'!$H$62:$H$63,'321'!$H$65:$H$67,'321'!$H$69:$H$70,'321'!$H$72,'321'!$H$74</definedName>
    <definedName name="OSRRefH22x_0" localSheetId="67">'322'!$H$23:$H$30,'322'!$H$32:$H$41,'322'!$H$43,'322'!$H$45,'322'!$H$47,'322'!$H$49,'322'!$H$51,'322'!$H$53:$H$54,'322'!$H$56:$H$57,'322'!$H$59:$H$62,'322'!$H$64,'322'!$H$66</definedName>
    <definedName name="OSRRefH22x_0" localSheetId="55">'324'!$H$27:$H$34,'324'!$H$36:$H$45</definedName>
    <definedName name="OSRRefH22x_0" localSheetId="68">'325'!$H$25:$H$32,'325'!$H$34:$H$43,'325'!$H$45,'325'!$H$47,'325'!$H$49,'325'!$H$51:$H$52,'325'!$H$54,'325'!$H$56,'325'!$H$58,'325'!$H$60,'325'!$H$62:$H$65,'325'!$H$67:$H$69,'325'!$H$71,'325'!$H$73:$H$77,'325'!$H$79:$H$80,'325'!$H$82,'325'!$H$84</definedName>
    <definedName name="OSRRefH22x_0" localSheetId="58">'326'!$H$44:$H$52,'326'!$H$54:$H$63,'326'!$H$65,'326'!$H$67,'326'!$H$69,'326'!$H$71,'326'!$H$73,'326'!$H$75,'326'!$H$77:$H$78,'326'!$H$80,'326'!$H$82,'326'!$H$84,'326'!$H$86,'326'!$H$88:$H$89,'326'!$H$91:$H$93,'326'!$H$95:$H$96,'326'!$H$98:$H$103,'326'!$H$105:$H$106,'326'!$H$108,'326'!$H$110:$H$111,'326'!$H$113</definedName>
    <definedName name="OSRRefH22x_0" localSheetId="69">'327'!$H$24</definedName>
    <definedName name="OSRRefH22x_0" localSheetId="51">'330'!$H$39:$H$46,'330'!$H$48:$H$57,'330'!$H$59,'330'!$H$61,'330'!$H$63,'330'!$H$65:$H$66,'330'!$H$68,'330'!$H$70,'330'!$H$72,'330'!$H$74:$H$75,'330'!$H$77:$H$78,'330'!$H$80:$H$83,'330'!$H$85:$H$86,'330'!$H$88</definedName>
    <definedName name="OSRRefH22x_0" localSheetId="56">'331'!$H$77:$H$85,'331'!$H$87:$H$96,'331'!$H$98,'331'!$H$100,'331'!$H$102,'331'!$H$104,'331'!$H$106,'331'!$H$108,'331'!$H$110:$H$111,'331'!$H$113:$H$114,'331'!$H$116,'331'!$H$118,'331'!$H$120,'331'!$H$122,'331'!$H$124:$H$125,'331'!$H$127:$H$129,'331'!$H$131:$H$133,'331'!$H$135:$H$136,'331'!$H$138:$H$145,'331'!$H$147:$H$148,'331'!$H$150,'331'!$H$152:$H$153,'331'!$H$155</definedName>
    <definedName name="OSRRefH22x_0" localSheetId="59">'332'!$H$30:$H$38,'332'!$H$40:$H$49,'332'!$H$51,'332'!$H$53,'332'!$H$55,'332'!$H$57,'332'!$H$59:$H$60,'332'!$H$62:$H$63,'332'!$H$65,'332'!$H$67:$H$71,'332'!$H$73,'332'!$H$75</definedName>
    <definedName name="OSRRefH22x_0" localSheetId="73">'405'!$H$23:$H$30,'405'!$H$32:$H$41,'405'!$H$43,'405'!$H$45,'405'!$H$47:$H$48,'405'!$H$50,'405'!$H$52,'405'!$H$54,'405'!$H$56:$H$57,'405'!$H$59,'405'!$H$61:$H$64,'405'!$H$66,'405'!$H$68:$H$76,'405'!$H$78,'405'!$H$80,'405'!$H$82</definedName>
    <definedName name="OSRRefH22x_0" localSheetId="74">'406'!$H$20,'406'!$H$22,'406'!$H$24,'406'!$H$26,'406'!$H$28</definedName>
    <definedName name="OSRRefH22x_0" localSheetId="75">'411'!$H$20:$H$28,'411'!$H$30:$H$39,'411'!$H$41,'411'!$H$43,'411'!$H$45:$H$46,'411'!$H$48,'411'!$H$50,'411'!$H$52,'411'!$H$54,'411'!$H$56:$H$57,'411'!$H$59:$H$62,'411'!$H$64:$H$70,'411'!$H$72,'411'!$H$74,'411'!$H$76</definedName>
    <definedName name="OSRRefH22x_0" localSheetId="76">'412'!$H$22:$H$29,'412'!$H$31:$H$40,'412'!$H$42,'412'!$H$44,'412'!$H$46:$H$47,'412'!$H$49,'412'!$H$51,'412'!$H$53,'412'!$H$55:$H$56,'412'!$H$58,'412'!$H$60:$H$63,'412'!$H$65:$H$69,'412'!$H$71:$H$72,'412'!$H$74</definedName>
    <definedName name="OSRRefH22x_0" localSheetId="77">'413'!$H$23:$H$31,'413'!$H$33:$H$42,'413'!$H$44,'413'!$H$46,'413'!$H$48,'413'!$H$50,'413'!$H$52,'413'!$H$54,'413'!$H$56:$H$58,'413'!$H$60:$H$61,'413'!$H$63:$H$70,'413'!$H$72:$H$73,'413'!$H$75</definedName>
    <definedName name="OSRRefH22x_0" localSheetId="78">'414'!$H$24:$H$32,'414'!$H$34:$H$43,'414'!$H$45,'414'!$H$47,'414'!$H$49,'414'!$H$51,'414'!$H$53,'414'!$H$55,'414'!$H$57:$H$58,'414'!$H$60,'414'!$H$62,'414'!$H$64,'414'!$H$66:$H$68,'414'!$H$70,'414'!$H$72,'414'!$H$74</definedName>
    <definedName name="OSRRefH22x_0" localSheetId="79">'415'!$H$27:$H$35,'415'!$H$37:$H$46,'415'!$H$48,'415'!$H$50,'415'!$H$52,'415'!$H$54:$H$55,'415'!$H$57,'415'!$H$59,'415'!$H$61,'415'!$H$63,'415'!$H$65:$H$66,'415'!$H$68:$H$72,'415'!$H$74,'415'!$H$76:$H$82,'415'!$H$84:$H$85,'415'!$H$87:$H$88,'415'!$H$90</definedName>
    <definedName name="OSRRefH22x_0" localSheetId="80">'418'!$H$23:$H$30,'418'!$H$32:$H$41,'418'!$H$43,'418'!$H$45,'418'!$H$47:$H$48,'418'!$H$50,'418'!$H$52,'418'!$H$54,'418'!$H$56:$H$58,'418'!$H$60:$H$61,'418'!$H$63,'418'!$H$65:$H$74,'418'!$H$76:$H$77,'418'!$H$79</definedName>
    <definedName name="OSRRefH22x_0" localSheetId="82">'423'!$H$20:$H$27,'423'!$H$29:$H$38,'423'!$H$40,'423'!$H$42:$H$43,'423'!$H$45,'423'!$H$47,'423'!$H$49</definedName>
    <definedName name="OSRRefH22x_0" localSheetId="83">'424'!$H$20,'424'!$H$22,'424'!$H$24,'424'!$H$26</definedName>
    <definedName name="OSRRefH22x_0" localSheetId="84">'425'!$H$20:$H$24,'425'!$H$26,'425'!$H$28,'425'!$H$30,'425'!$H$32</definedName>
    <definedName name="OSRRefH22x_0" localSheetId="87">'430'!$H$20:$H$28,'430'!$H$30:$H$39,'430'!$H$41,'430'!$H$43:$H$45,'430'!$H$47:$H$48,'430'!$H$50,'430'!$H$52</definedName>
    <definedName name="OSRRefH22x_0" localSheetId="88">'433'!$H$27:$H$36,'433'!$H$38:$H$47,'433'!$H$49,'433'!$H$51,'433'!$H$53,'433'!$H$55,'433'!$H$57,'433'!$H$59,'433'!$H$61,'433'!$H$63,'433'!$H$65,'433'!$H$67:$H$68,'433'!$H$70:$H$73,'433'!$H$75:$H$82,'433'!$H$84</definedName>
    <definedName name="OSRRefH22x_0" localSheetId="89">'435'!$H$20</definedName>
    <definedName name="OSRRefH22x_0" localSheetId="90">'444'!$H$27:$H$36,'444'!$H$38:$H$47,'444'!$H$49,'444'!$H$51,'444'!$H$53,'444'!$H$55,'444'!$H$57,'444'!$H$59,'444'!$H$61,'444'!$H$63,'444'!$H$65,'444'!$H$67:$H$69,'444'!$H$71:$H$73,'444'!$H$75:$H$83,'444'!$H$85:$H$86,'444'!$H$88</definedName>
    <definedName name="OSRRefH22x_0" localSheetId="91">'450'!$H$23:$H$32,'450'!$H$34:$H$43,'450'!$H$45,'450'!$H$47,'450'!$H$49,'450'!$H$51,'450'!$H$53,'450'!$H$55,'450'!$H$57,'450'!$H$59,'450'!$H$61,'450'!$H$63,'450'!$H$65,'450'!$H$67:$H$69,'450'!$H$71:$H$77,'450'!$H$79:$H$80,'450'!$H$82</definedName>
    <definedName name="OSRRefH22x_0" localSheetId="72">'491'!$H$29:$H$37,'491'!$H$39:$H$48,'491'!$H$50,'491'!$H$52,'491'!$H$54,'491'!$H$56:$H$58,'491'!$H$60,'491'!$H$62,'491'!$H$64,'491'!$H$66,'491'!$H$68,'491'!$H$70,'491'!$H$72,'491'!$H$74:$H$77,'491'!$H$79:$H$80,'491'!$H$82:$H$86,'491'!$H$88,'491'!$H$90:$H$100,'491'!$H$102:$H$103,'491'!$H$105,'491'!$H$107:$H$109,'491'!$H$111</definedName>
    <definedName name="OSRRefH22x_0" localSheetId="86">'492'!$H$27:$H$36,'492'!$H$38:$H$47,'492'!$H$49,'492'!$H$51,'492'!$H$53,'492'!$H$55,'492'!$H$57,'492'!$H$59,'492'!$H$61,'492'!$H$63,'492'!$H$65,'492'!$H$67,'492'!$H$69:$H$71,'492'!$H$73:$H$76,'492'!$H$78:$H$87,'492'!$H$89:$H$90,'492'!$H$92,'492'!$H$94</definedName>
    <definedName name="OSRRefH22x_0" localSheetId="93">'501'!$H$21:$H$30,'501'!$H$32:$H$41,'501'!$H$43,'501'!$H$45,'501'!$H$47,'501'!$H$49:$H$50,'501'!$H$52,'501'!$H$54,'501'!$H$56,'501'!$H$58:$H$61,'501'!$H$63:$H$64,'501'!$H$66</definedName>
    <definedName name="OSRRefH22x_0" localSheetId="39">'Div 2'!$H$21:$H$31,'Div 2'!$H$33:$H$42,'Div 2'!$H$44,'Div 2'!$H$46,'Div 2'!$H$48,'Div 2'!$H$50:$H$51,'Div 2'!$H$53,'Div 2'!$H$55,'Div 2'!$H$57,'Div 2'!$H$59:$H$60,'Div 2'!$H$62,'Div 2'!$H$64:$H$65,'Div 2'!$H$67:$H$70,'Div 2'!$H$72:$H$75,'Div 2'!$H$77:$H$78,'Div 2'!$H$80:$H$81,'Div 2'!$H$83:$H$87,'Div 2'!$H$89:$H$90,'Div 2'!$H$92,'Div 2'!$H$94:$H$95</definedName>
    <definedName name="OSRRefH22x_0" localSheetId="47">'Div 3'!$H$116:$H$125,'Div 3'!$H$127:$H$136,'Div 3'!$H$138,'Div 3'!$H$140:$H$141,'Div 3'!$H$143,'Div 3'!$H$145:$H$146,'Div 3'!$H$148:$H$149,'Div 3'!$H$151:$H$152,'Div 3'!$H$154,'Div 3'!$H$156,'Div 3'!$H$158:$H$159,'Div 3'!$H$161:$H$163,'Div 3'!$H$165,'Div 3'!$H$167,'Div 3'!$H$169,'Div 3'!$H$171,'Div 3'!$H$173,'Div 3'!$H$175:$H$178,'Div 3'!$H$180:$H$183,'Div 3'!$H$185:$H$189,'Div 3'!$H$191:$H$192,'Div 3'!$H$194:$H$202,'Div 3'!$H$204:$H$205,'Div 3'!$H$207,'Div 3'!$H$209:$H$211,'Div 3'!$H$213</definedName>
    <definedName name="OSRRefH22x_0" localSheetId="70">'Div 4'!$H$31:$H$40,'Div 4'!$H$42:$H$51,'Div 4'!$H$53,'Div 4'!$H$55,'Div 4'!$H$57,'Div 4'!$H$59:$H$61,'Div 4'!$H$63,'Div 4'!$H$65,'Div 4'!$H$67,'Div 4'!$H$69,'Div 4'!$H$71,'Div 4'!$H$73,'Div 4'!$H$75,'Div 4'!$H$77,'Div 4'!$H$79,'Div 4'!$H$81:$H$84,'Div 4'!$H$86:$H$87,'Div 4'!$H$89:$H$93,'Div 4'!$H$95,'Div 4'!$H$97:$H$107,'Div 4'!$H$109:$H$110,'Div 4'!$H$112,'Div 4'!$H$114:$H$116,'Div 4'!$H$118</definedName>
    <definedName name="OSRRefH22x_0" localSheetId="92">'Div 5'!$H$21:$H$30,'Div 5'!$H$32:$H$41,'Div 5'!$H$43,'Div 5'!$H$45,'Div 5'!$H$47,'Div 5'!$H$49:$H$50,'Div 5'!$H$52,'Div 5'!$H$54,'Div 5'!$H$56,'Div 5'!$H$58:$H$61,'Div 5'!$H$63:$H$64,'Div 5'!$H$66</definedName>
    <definedName name="OSRRefH22x_0" localSheetId="61">'Div 6'!$H$49:$H$58,'Div 6'!$H$60:$H$69,'Div 6'!$H$71,'Div 6'!$H$73,'Div 6'!$H$75,'Div 6'!$H$77,'Div 6'!$H$79:$H$80,'Div 6'!$H$82,'Div 6'!$H$84,'Div 6'!$H$86,'Div 6'!$H$88:$H$90,'Div 6'!$H$92,'Div 6'!$H$94</definedName>
    <definedName name="OSRRefH22x_0" localSheetId="2">Summary!$H$143:$H$152,Summary!$H$154:$H$163,Summary!$H$165,Summary!$H$167:$H$168,Summary!$H$170,Summary!$H$172:$H$174,Summary!$H$176:$H$177,Summary!$H$179:$H$180,Summary!$H$182,Summary!$H$184,Summary!$H$186:$H$187,Summary!$H$189:$H$191,Summary!$H$193,Summary!$H$195,Summary!$H$197,Summary!$H$199,Summary!$H$201,Summary!$H$203,Summary!$H$205:$H$208,Summary!$H$210:$H$213,Summary!$H$215:$H$219,Summary!$H$221:$H$222,Summary!$H$224:$H$234,Summary!$H$236:$H$237,Summary!$H$239,Summary!$H$241:$H$243,Summary!$H$245</definedName>
    <definedName name="OSRRefH25x_0" localSheetId="42">'202'!$H$69:$H$71</definedName>
    <definedName name="OSRRefH25x_0" localSheetId="48">'300'!$H$209:$H$212</definedName>
    <definedName name="OSRRefH25x_0" localSheetId="49">'300 &amp; 317'!$H$231:$H$235</definedName>
    <definedName name="OSRRefH25x_0" localSheetId="50">'301'!$H$93:$H$94</definedName>
    <definedName name="OSRRefH25x_0" localSheetId="53">'308'!$H$106:$H$108</definedName>
    <definedName name="OSRRefH25x_0" localSheetId="71">'310 &amp; 491'!$H$118:$H$121</definedName>
    <definedName name="OSRRefH25x_0" localSheetId="54">'311'!$H$105:$H$107</definedName>
    <definedName name="OSRRefH25x_0" localSheetId="57">'315'!$H$140:$H$142</definedName>
    <definedName name="OSRRefH25x_0" localSheetId="60">'316'!$H$78</definedName>
    <definedName name="OSRRefH25x_0" localSheetId="62">'317'!$H$97:$H$98</definedName>
    <definedName name="OSRRefH25x_0" localSheetId="56">'331'!$H$158:$H$160</definedName>
    <definedName name="OSRRefH25x_0" localSheetId="59">'332'!$H$78</definedName>
    <definedName name="OSRRefH25x_0" localSheetId="75">'411'!$H$79:$H$80</definedName>
    <definedName name="OSRRefH25x_0" localSheetId="80">'418'!$H$82</definedName>
    <definedName name="OSRRefH25x_0" localSheetId="82">'423'!$H$52:$H$54</definedName>
    <definedName name="OSRRefH25x_0" localSheetId="85">'455'!$H$21:$H$22</definedName>
    <definedName name="OSRRefH25x_0" localSheetId="72">'491'!$H$114:$H$117</definedName>
    <definedName name="OSRRefH25x_0" localSheetId="93">'501'!$H$69</definedName>
    <definedName name="OSRRefH25x_0" localSheetId="39">'Div 2'!$H$98:$H$100</definedName>
    <definedName name="OSRRefH25x_0" localSheetId="47">'Div 3'!$H$216:$H$219</definedName>
    <definedName name="OSRRefH25x_0" localSheetId="70">'Div 4'!$H$121:$H$124</definedName>
    <definedName name="OSRRefH25x_0" localSheetId="92">'Div 5'!$H$69</definedName>
    <definedName name="OSRRefH25x_0" localSheetId="61">'Div 6'!$H$97:$H$98</definedName>
    <definedName name="OSRRefH25x_0" localSheetId="2">Summary!$H$248:$H$254</definedName>
    <definedName name="OSRRefP13x_0" localSheetId="41">'201'!$P$13</definedName>
    <definedName name="OSRRefP13x_0" localSheetId="42">'202'!$P$13</definedName>
    <definedName name="OSRRefP13x_0" localSheetId="48">'300'!$P$13:$P$73</definedName>
    <definedName name="OSRRefP13x_0" localSheetId="49">'300 &amp; 317'!$P$13:$P$87</definedName>
    <definedName name="OSRRefP13x_0" localSheetId="52">'307'!$P$13:$P$23</definedName>
    <definedName name="OSRRefP13x_0" localSheetId="53">'308'!$P$13:$P$33</definedName>
    <definedName name="OSRRefP13x_0" localSheetId="64">'309'!$P$13</definedName>
    <definedName name="OSRRefP13x_0" localSheetId="63">'310'!$P$13:$P$17</definedName>
    <definedName name="OSRRefP13x_0" localSheetId="71">'310 &amp; 491'!$P$13:$P$21</definedName>
    <definedName name="OSRRefP13x_0" localSheetId="54">'311'!$P$13:$P$32</definedName>
    <definedName name="OSRRefP13x_0" localSheetId="65">'313'!$P$13</definedName>
    <definedName name="OSRRefP13x_0" localSheetId="57">'315'!$P$13:$P$48</definedName>
    <definedName name="OSRRefP13x_0" localSheetId="60">'316'!$P$13:$P$22</definedName>
    <definedName name="OSRRefP13x_0" localSheetId="62">'317'!$P$13:$P$30</definedName>
    <definedName name="OSRRefP13x_0" localSheetId="66">'321'!$P$13:$P$15</definedName>
    <definedName name="OSRRefP13x_0" localSheetId="67">'322'!$P$13</definedName>
    <definedName name="OSRRefP13x_0" localSheetId="55">'324'!$P$13:$P$16</definedName>
    <definedName name="OSRRefP13x_0" localSheetId="68">'325'!$P$13:$P$14</definedName>
    <definedName name="OSRRefP13x_0" localSheetId="58">'326'!$P$13:$P$31</definedName>
    <definedName name="OSRRefP13x_0" localSheetId="69">'327'!$P$13:$P$14</definedName>
    <definedName name="OSRRefP13x_0" localSheetId="51">'330'!$P$13:$P$23</definedName>
    <definedName name="OSRRefP13x_0" localSheetId="56">'331'!$P$13:$P$48</definedName>
    <definedName name="OSRRefP13x_0" localSheetId="59">'332'!$P$13:$P$22</definedName>
    <definedName name="OSRRefP13x_0" localSheetId="73">'405'!$P$13:$P$14</definedName>
    <definedName name="OSRRefP13x_0" localSheetId="76">'412'!$P$13</definedName>
    <definedName name="OSRRefP13x_0" localSheetId="77">'413'!$P$13:$P$14</definedName>
    <definedName name="OSRRefP13x_0" localSheetId="78">'414'!$P$13:$P$15</definedName>
    <definedName name="OSRRefP13x_0" localSheetId="79">'415'!$P$13:$P$16</definedName>
    <definedName name="OSRRefP13x_0" localSheetId="80">'418'!$P$13:$P$14</definedName>
    <definedName name="OSRRefP13x_0" localSheetId="81">'420'!$P$13</definedName>
    <definedName name="OSRRefP13x_0" localSheetId="88">'433'!$P$13:$P$16</definedName>
    <definedName name="OSRRefP13x_0" localSheetId="90">'444'!$P$13:$P$16</definedName>
    <definedName name="OSRRefP13x_0" localSheetId="91">'450'!$P$13:$P$14</definedName>
    <definedName name="OSRRefP13x_0" localSheetId="72">'491'!$P$13:$P$18</definedName>
    <definedName name="OSRRefP13x_0" localSheetId="86">'492'!$P$13:$P$16</definedName>
    <definedName name="OSRRefP13x_0" localSheetId="93">'501'!$P$13</definedName>
    <definedName name="OSRRefP13x_0" localSheetId="39">'Div 2'!$P$13</definedName>
    <definedName name="OSRRefP13x_0" localSheetId="47">'Div 3'!$P$13:$P$75</definedName>
    <definedName name="OSRRefP13x_0" localSheetId="70">'Div 4'!$P$13:$P$20</definedName>
    <definedName name="OSRRefP13x_0" localSheetId="92">'Div 5'!$P$13</definedName>
    <definedName name="OSRRefP13x_0" localSheetId="61">'Div 6'!$P$13:$P$30</definedName>
    <definedName name="OSRRefP13x_0" localSheetId="2">Summary!$P$13:$P$94</definedName>
    <definedName name="OSRRefP16x_0" localSheetId="48">'300'!$P$76:$P$106</definedName>
    <definedName name="OSRRefP16x_0" localSheetId="49">'300 &amp; 317'!$P$90:$P$128</definedName>
    <definedName name="OSRRefP16x_0" localSheetId="52">'307'!$P$26:$P$33</definedName>
    <definedName name="OSRRefP16x_0" localSheetId="53">'308'!$P$36:$P$48</definedName>
    <definedName name="OSRRefP16x_0" localSheetId="64">'309'!$P$16</definedName>
    <definedName name="OSRRefP16x_0" localSheetId="63">'310'!$P$20:$P$22</definedName>
    <definedName name="OSRRefP16x_0" localSheetId="71">'310 &amp; 491'!$P$24:$P$26</definedName>
    <definedName name="OSRRefP16x_0" localSheetId="54">'311'!$P$35:$P$47</definedName>
    <definedName name="OSRRefP16x_0" localSheetId="65">'313'!$P$16:$P$17</definedName>
    <definedName name="OSRRefP16x_0" localSheetId="57">'315'!$P$51:$P$71</definedName>
    <definedName name="OSRRefP16x_0" localSheetId="62">'317'!$P$33:$P$43</definedName>
    <definedName name="OSRRefP16x_0" localSheetId="66">'321'!$P$18:$P$19</definedName>
    <definedName name="OSRRefP16x_0" localSheetId="67">'322'!$P$16:$P$17</definedName>
    <definedName name="OSRRefP16x_0" localSheetId="55">'324'!$P$19:$P$21</definedName>
    <definedName name="OSRRefP16x_0" localSheetId="68">'325'!$P$17:$P$19</definedName>
    <definedName name="OSRRefP16x_0" localSheetId="58">'326'!$P$34:$P$38</definedName>
    <definedName name="OSRRefP16x_0" localSheetId="69">'327'!$P$17:$P$18</definedName>
    <definedName name="OSRRefP16x_0" localSheetId="51">'330'!$P$26:$P$33</definedName>
    <definedName name="OSRRefP16x_0" localSheetId="56">'331'!$P$51:$P$71</definedName>
    <definedName name="OSRRefP16x_0" localSheetId="73">'405'!$P$17</definedName>
    <definedName name="OSRRefP16x_0" localSheetId="76">'412'!$P$16</definedName>
    <definedName name="OSRRefP16x_0" localSheetId="77">'413'!$P$17</definedName>
    <definedName name="OSRRefP16x_0" localSheetId="78">'414'!$P$18</definedName>
    <definedName name="OSRRefP16x_0" localSheetId="79">'415'!$P$19:$P$21</definedName>
    <definedName name="OSRRefP16x_0" localSheetId="80">'418'!$P$17</definedName>
    <definedName name="OSRRefP16x_0" localSheetId="88">'433'!$P$19:$P$21</definedName>
    <definedName name="OSRRefP16x_0" localSheetId="90">'444'!$P$19:$P$21</definedName>
    <definedName name="OSRRefP16x_0" localSheetId="91">'450'!$P$17</definedName>
    <definedName name="OSRRefP16x_0" localSheetId="72">'491'!$P$21:$P$23</definedName>
    <definedName name="OSRRefP16x_0" localSheetId="86">'492'!$P$19:$P$21</definedName>
    <definedName name="OSRRefP16x_0" localSheetId="47">'Div 3'!$P$78:$P$110</definedName>
    <definedName name="OSRRefP16x_0" localSheetId="70">'Div 4'!$P$23:$P$25</definedName>
    <definedName name="OSRRefP16x_0" localSheetId="61">'Div 6'!$P$33:$P$43</definedName>
    <definedName name="OSRRefP16x_0" localSheetId="2">Summary!$P$97:$P$137</definedName>
    <definedName name="OSRRefP22_0x_0" localSheetId="40">'200'!$P$20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'300'!$P$112:$P$121</definedName>
    <definedName name="OSRRefP22_0x_0" localSheetId="49">'300 &amp; 317'!$P$134:$P$143</definedName>
    <definedName name="OSRRefP22_0x_0" localSheetId="50">'301'!$P$20:$P$28</definedName>
    <definedName name="OSRRefP22_0x_0" localSheetId="52">'307'!$P$39:$P$46</definedName>
    <definedName name="OSRRefP22_0x_0" localSheetId="53">'308'!$P$54:$P$63</definedName>
    <definedName name="OSRRefP22_0x_0" localSheetId="64">'309'!$P$22:$P$29</definedName>
    <definedName name="OSRRefP22_0x_0" localSheetId="63">'310'!$P$28:$P$36</definedName>
    <definedName name="OSRRefP22_0x_0" localSheetId="71">'310 &amp; 491'!$P$32:$P$40</definedName>
    <definedName name="OSRRefP22_0x_0" localSheetId="54">'311'!$P$53:$P$62</definedName>
    <definedName name="OSRRefP22_0x_0" localSheetId="65">'313'!$P$23:$P$31</definedName>
    <definedName name="OSRRefP22_0x_0" localSheetId="57">'315'!$P$77:$P$85</definedName>
    <definedName name="OSRRefP22_0x_0" localSheetId="60">'316'!$P$30:$P$38</definedName>
    <definedName name="OSRRefP22_0x_0" localSheetId="62">'317'!$P$49:$P$58</definedName>
    <definedName name="OSRRefP22_0x_0" localSheetId="66">'321'!$P$25:$P$33</definedName>
    <definedName name="OSRRefP22_0x_0" localSheetId="67">'322'!$P$23:$P$30</definedName>
    <definedName name="OSRRefP22_0x_0" localSheetId="55">'324'!$P$27:$P$34</definedName>
    <definedName name="OSRRefP22_0x_0" localSheetId="68">'325'!$P$25:$P$32</definedName>
    <definedName name="OSRRefP22_0x_0" localSheetId="58">'326'!$P$44:$P$52</definedName>
    <definedName name="OSRRefP22_0x_0" localSheetId="69">'327'!$P$24</definedName>
    <definedName name="OSRRefP22_0x_0" localSheetId="51">'330'!$P$39:$P$46</definedName>
    <definedName name="OSRRefP22_0x_0" localSheetId="56">'331'!$P$77:$P$85</definedName>
    <definedName name="OSRRefP22_0x_0" localSheetId="59">'332'!$P$30:$P$38</definedName>
    <definedName name="OSRRefP22_0x_0" localSheetId="73">'405'!$P$23:$P$30</definedName>
    <definedName name="OSRRefP22_0x_0" localSheetId="74">'406'!$P$20</definedName>
    <definedName name="OSRRefP22_0x_0" localSheetId="75">'411'!$P$20:$P$28</definedName>
    <definedName name="OSRRefP22_0x_0" localSheetId="76">'412'!$P$22:$P$29</definedName>
    <definedName name="OSRRefP22_0x_0" localSheetId="77">'413'!$P$23:$P$31</definedName>
    <definedName name="OSRRefP22_0x_0" localSheetId="78">'414'!$P$24:$P$32</definedName>
    <definedName name="OSRRefP22_0x_0" localSheetId="79">'415'!$P$27:$P$35</definedName>
    <definedName name="OSRRefP22_0x_0" localSheetId="80">'418'!$P$23:$P$30</definedName>
    <definedName name="OSRRefP22_0x_0" localSheetId="82">'423'!$P$20:$P$27</definedName>
    <definedName name="OSRRefP22_0x_0" localSheetId="83">'424'!$P$20</definedName>
    <definedName name="OSRRefP22_0x_0" localSheetId="84">'425'!$P$20:$P$24</definedName>
    <definedName name="OSRRefP22_0x_0" localSheetId="87">'430'!$P$20:$P$28</definedName>
    <definedName name="OSRRefP22_0x_0" localSheetId="88">'433'!$P$27:$P$36</definedName>
    <definedName name="OSRRefP22_0x_0" localSheetId="89">'435'!$P$20</definedName>
    <definedName name="OSRRefP22_0x_0" localSheetId="90">'444'!$P$27:$P$36</definedName>
    <definedName name="OSRRefP22_0x_0" localSheetId="91">'450'!$P$23:$P$32</definedName>
    <definedName name="OSRRefP22_0x_0" localSheetId="72">'491'!$P$29:$P$37</definedName>
    <definedName name="OSRRefP22_0x_0" localSheetId="86">'492'!$P$27:$P$36</definedName>
    <definedName name="OSRRefP22_0x_0" localSheetId="93">'501'!$P$21:$P$30</definedName>
    <definedName name="OSRRefP22_0x_0" localSheetId="39">'Div 2'!$P$21:$P$31</definedName>
    <definedName name="OSRRefP22_0x_0" localSheetId="47">'Div 3'!$P$116:$P$125</definedName>
    <definedName name="OSRRefP22_0x_0" localSheetId="70">'Div 4'!$P$31:$P$40</definedName>
    <definedName name="OSRRefP22_0x_0" localSheetId="92">'Div 5'!$P$21:$P$30</definedName>
    <definedName name="OSRRefP22_0x_0" localSheetId="61">'Div 6'!$P$49:$P$58</definedName>
    <definedName name="OSRRefP22_0x_0" localSheetId="2">Summary!$P$143:$P$152</definedName>
    <definedName name="OSRRefP22_10x_0" localSheetId="41">'201'!$P$58:$P$59</definedName>
    <definedName name="OSRRefP22_10x_0" localSheetId="42">'202'!$P$62</definedName>
    <definedName name="OSRRefP22_10x_0" localSheetId="43">'203'!$P$61</definedName>
    <definedName name="OSRRefP22_10x_0" localSheetId="44">'204'!$P$63</definedName>
    <definedName name="OSRRefP22_10x_0" localSheetId="48">'300'!$P$154:$P$155</definedName>
    <definedName name="OSRRefP22_10x_0" localSheetId="49">'300 &amp; 317'!$P$176:$P$177</definedName>
    <definedName name="OSRRefP22_10x_0" localSheetId="50">'301'!$P$59</definedName>
    <definedName name="OSRRefP22_10x_0" localSheetId="52">'307'!$P$77:$P$78</definedName>
    <definedName name="OSRRefP22_10x_0" localSheetId="53">'308'!$P$94</definedName>
    <definedName name="OSRRefP22_10x_0" localSheetId="63">'310'!$P$66</definedName>
    <definedName name="OSRRefP22_10x_0" localSheetId="71">'310 &amp; 491'!$P$72</definedName>
    <definedName name="OSRRefP22_10x_0" localSheetId="54">'311'!$P$93</definedName>
    <definedName name="OSRRefP22_10x_0" localSheetId="65">'313'!$P$64</definedName>
    <definedName name="OSRRefP22_10x_0" localSheetId="57">'315'!$P$115</definedName>
    <definedName name="OSRRefP22_10x_0" localSheetId="60">'316'!$P$73</definedName>
    <definedName name="OSRRefP22_10x_0" localSheetId="62">'317'!$P$88:$P$90</definedName>
    <definedName name="OSRRefP22_10x_0" localSheetId="66">'321'!$P$65:$P$67</definedName>
    <definedName name="OSRRefP22_10x_0" localSheetId="67">'322'!$P$64</definedName>
    <definedName name="OSRRefP22_10x_0" localSheetId="68">'325'!$P$62:$P$65</definedName>
    <definedName name="OSRRefP22_10x_0" localSheetId="58">'326'!$P$82</definedName>
    <definedName name="OSRRefP22_10x_0" localSheetId="51">'330'!$P$77:$P$78</definedName>
    <definedName name="OSRRefP22_10x_0" localSheetId="56">'331'!$P$116</definedName>
    <definedName name="OSRRefP22_10x_0" localSheetId="59">'332'!$P$73</definedName>
    <definedName name="OSRRefP22_10x_0" localSheetId="73">'405'!$P$61:$P$64</definedName>
    <definedName name="OSRRefP22_10x_0" localSheetId="75">'411'!$P$59:$P$62</definedName>
    <definedName name="OSRRefP22_10x_0" localSheetId="76">'412'!$P$60:$P$63</definedName>
    <definedName name="OSRRefP22_10x_0" localSheetId="77">'413'!$P$63:$P$70</definedName>
    <definedName name="OSRRefP22_10x_0" localSheetId="78">'414'!$P$62</definedName>
    <definedName name="OSRRefP22_10x_0" localSheetId="79">'415'!$P$65:$P$66</definedName>
    <definedName name="OSRRefP22_10x_0" localSheetId="80">'418'!$P$63</definedName>
    <definedName name="OSRRefP22_10x_0" localSheetId="88">'433'!$P$65</definedName>
    <definedName name="OSRRefP22_10x_0" localSheetId="90">'444'!$P$65</definedName>
    <definedName name="OSRRefP22_10x_0" localSheetId="91">'450'!$P$61</definedName>
    <definedName name="OSRRefP22_10x_0" localSheetId="72">'491'!$P$68</definedName>
    <definedName name="OSRRefP22_10x_0" localSheetId="86">'492'!$P$65</definedName>
    <definedName name="OSRRefP22_10x_0" localSheetId="93">'501'!$P$63:$P$64</definedName>
    <definedName name="OSRRefP22_10x_0" localSheetId="39">'Div 2'!$P$62</definedName>
    <definedName name="OSRRefP22_10x_0" localSheetId="47">'Div 3'!$P$158:$P$159</definedName>
    <definedName name="OSRRefP22_10x_0" localSheetId="70">'Div 4'!$P$71</definedName>
    <definedName name="OSRRefP22_10x_0" localSheetId="92">'Div 5'!$P$63:$P$64</definedName>
    <definedName name="OSRRefP22_10x_0" localSheetId="61">'Div 6'!$P$88:$P$90</definedName>
    <definedName name="OSRRefP22_10x_0" localSheetId="2">Summary!$P$186:$P$187</definedName>
    <definedName name="OSRRefP22_11x_0" localSheetId="41">'201'!$P$61</definedName>
    <definedName name="OSRRefP22_11x_0" localSheetId="42">'202'!$P$64</definedName>
    <definedName name="OSRRefP22_11x_0" localSheetId="43">'203'!$P$63:$P$65</definedName>
    <definedName name="OSRRefP22_11x_0" localSheetId="48">'300'!$P$157:$P$159</definedName>
    <definedName name="OSRRefP22_11x_0" localSheetId="49">'300 &amp; 317'!$P$179:$P$181</definedName>
    <definedName name="OSRRefP22_11x_0" localSheetId="50">'301'!$P$61</definedName>
    <definedName name="OSRRefP22_11x_0" localSheetId="52">'307'!$P$80:$P$83</definedName>
    <definedName name="OSRRefP22_11x_0" localSheetId="53">'308'!$P$96:$P$98</definedName>
    <definedName name="OSRRefP22_11x_0" localSheetId="63">'310'!$P$68</definedName>
    <definedName name="OSRRefP22_11x_0" localSheetId="71">'310 &amp; 491'!$P$74</definedName>
    <definedName name="OSRRefP22_11x_0" localSheetId="54">'311'!$P$95:$P$97</definedName>
    <definedName name="OSRRefP22_11x_0" localSheetId="65">'313'!$P$66</definedName>
    <definedName name="OSRRefP22_11x_0" localSheetId="57">'315'!$P$117</definedName>
    <definedName name="OSRRefP22_11x_0" localSheetId="60">'316'!$P$75</definedName>
    <definedName name="OSRRefP22_11x_0" localSheetId="62">'317'!$P$92</definedName>
    <definedName name="OSRRefP22_11x_0" localSheetId="66">'321'!$P$69:$P$70</definedName>
    <definedName name="OSRRefP22_11x_0" localSheetId="67">'322'!$P$66</definedName>
    <definedName name="OSRRefP22_11x_0" localSheetId="68">'325'!$P$67:$P$69</definedName>
    <definedName name="OSRRefP22_11x_0" localSheetId="58">'326'!$P$84</definedName>
    <definedName name="OSRRefP22_11x_0" localSheetId="51">'330'!$P$80:$P$83</definedName>
    <definedName name="OSRRefP22_11x_0" localSheetId="56">'331'!$P$118</definedName>
    <definedName name="OSRRefP22_11x_0" localSheetId="59">'332'!$P$75</definedName>
    <definedName name="OSRRefP22_11x_0" localSheetId="73">'405'!$P$66</definedName>
    <definedName name="OSRRefP22_11x_0" localSheetId="75">'411'!$P$64:$P$70</definedName>
    <definedName name="OSRRefP22_11x_0" localSheetId="76">'412'!$P$65:$P$69</definedName>
    <definedName name="OSRRefP22_11x_0" localSheetId="77">'413'!$P$72:$P$73</definedName>
    <definedName name="OSRRefP22_11x_0" localSheetId="78">'414'!$P$64</definedName>
    <definedName name="OSRRefP22_11x_0" localSheetId="79">'415'!$P$68:$P$72</definedName>
    <definedName name="OSRRefP22_11x_0" localSheetId="80">'418'!$P$65:$P$74</definedName>
    <definedName name="OSRRefP22_11x_0" localSheetId="88">'433'!$P$67:$P$68</definedName>
    <definedName name="OSRRefP22_11x_0" localSheetId="90">'444'!$P$67:$P$69</definedName>
    <definedName name="OSRRefP22_11x_0" localSheetId="91">'450'!$P$63</definedName>
    <definedName name="OSRRefP22_11x_0" localSheetId="72">'491'!$P$70</definedName>
    <definedName name="OSRRefP22_11x_0" localSheetId="86">'492'!$P$67</definedName>
    <definedName name="OSRRefP22_11x_0" localSheetId="93">'501'!$P$66</definedName>
    <definedName name="OSRRefP22_11x_0" localSheetId="39">'Div 2'!$P$64:$P$65</definedName>
    <definedName name="OSRRefP22_11x_0" localSheetId="47">'Div 3'!$P$161:$P$163</definedName>
    <definedName name="OSRRefP22_11x_0" localSheetId="70">'Div 4'!$P$73</definedName>
    <definedName name="OSRRefP22_11x_0" localSheetId="92">'Div 5'!$P$66</definedName>
    <definedName name="OSRRefP22_11x_0" localSheetId="61">'Div 6'!$P$92</definedName>
    <definedName name="OSRRefP22_11x_0" localSheetId="2">Summary!$P$189:$P$191</definedName>
    <definedName name="OSRRefP22_12x_0" localSheetId="41">'201'!$P$63</definedName>
    <definedName name="OSRRefP22_12x_0" localSheetId="42">'202'!$P$66</definedName>
    <definedName name="OSRRefP22_12x_0" localSheetId="43">'203'!$P$67</definedName>
    <definedName name="OSRRefP22_12x_0" localSheetId="48">'300'!$P$161</definedName>
    <definedName name="OSRRefP22_12x_0" localSheetId="49">'300 &amp; 317'!$P$183</definedName>
    <definedName name="OSRRefP22_12x_0" localSheetId="50">'301'!$P$63</definedName>
    <definedName name="OSRRefP22_12x_0" localSheetId="52">'307'!$P$85:$P$86</definedName>
    <definedName name="OSRRefP22_12x_0" localSheetId="53">'308'!$P$100:$P$101</definedName>
    <definedName name="OSRRefP22_12x_0" localSheetId="63">'310'!$P$70:$P$73</definedName>
    <definedName name="OSRRefP22_12x_0" localSheetId="71">'310 &amp; 491'!$P$76</definedName>
    <definedName name="OSRRefP22_12x_0" localSheetId="54">'311'!$P$99:$P$100</definedName>
    <definedName name="OSRRefP22_12x_0" localSheetId="57">'315'!$P$119:$P$121</definedName>
    <definedName name="OSRRefP22_12x_0" localSheetId="62">'317'!$P$94</definedName>
    <definedName name="OSRRefP22_12x_0" localSheetId="66">'321'!$P$72</definedName>
    <definedName name="OSRRefP22_12x_0" localSheetId="68">'325'!$P$71</definedName>
    <definedName name="OSRRefP22_12x_0" localSheetId="58">'326'!$P$86</definedName>
    <definedName name="OSRRefP22_12x_0" localSheetId="51">'330'!$P$85:$P$86</definedName>
    <definedName name="OSRRefP22_12x_0" localSheetId="56">'331'!$P$120</definedName>
    <definedName name="OSRRefP22_12x_0" localSheetId="73">'405'!$P$68:$P$76</definedName>
    <definedName name="OSRRefP22_12x_0" localSheetId="75">'411'!$P$72</definedName>
    <definedName name="OSRRefP22_12x_0" localSheetId="76">'412'!$P$71:$P$72</definedName>
    <definedName name="OSRRefP22_12x_0" localSheetId="77">'413'!$P$75</definedName>
    <definedName name="OSRRefP22_12x_0" localSheetId="78">'414'!$P$66:$P$68</definedName>
    <definedName name="OSRRefP22_12x_0" localSheetId="79">'415'!$P$74</definedName>
    <definedName name="OSRRefP22_12x_0" localSheetId="80">'418'!$P$76:$P$77</definedName>
    <definedName name="OSRRefP22_12x_0" localSheetId="88">'433'!$P$70:$P$73</definedName>
    <definedName name="OSRRefP22_12x_0" localSheetId="90">'444'!$P$71:$P$73</definedName>
    <definedName name="OSRRefP22_12x_0" localSheetId="91">'450'!$P$65</definedName>
    <definedName name="OSRRefP22_12x_0" localSheetId="72">'491'!$P$72</definedName>
    <definedName name="OSRRefP22_12x_0" localSheetId="86">'492'!$P$69:$P$71</definedName>
    <definedName name="OSRRefP22_12x_0" localSheetId="39">'Div 2'!$P$67:$P$70</definedName>
    <definedName name="OSRRefP22_12x_0" localSheetId="47">'Div 3'!$P$165</definedName>
    <definedName name="OSRRefP22_12x_0" localSheetId="70">'Div 4'!$P$75</definedName>
    <definedName name="OSRRefP22_12x_0" localSheetId="61">'Div 6'!$P$94</definedName>
    <definedName name="OSRRefP22_12x_0" localSheetId="2">Summary!$P$193</definedName>
    <definedName name="OSRRefP22_13x_0" localSheetId="41">'201'!$P$65:$P$67</definedName>
    <definedName name="OSRRefP22_13x_0" localSheetId="43">'203'!$P$69</definedName>
    <definedName name="OSRRefP22_13x_0" localSheetId="48">'300'!$P$163</definedName>
    <definedName name="OSRRefP22_13x_0" localSheetId="49">'300 &amp; 317'!$P$185</definedName>
    <definedName name="OSRRefP22_13x_0" localSheetId="50">'301'!$P$65:$P$68</definedName>
    <definedName name="OSRRefP22_13x_0" localSheetId="52">'307'!$P$88</definedName>
    <definedName name="OSRRefP22_13x_0" localSheetId="53">'308'!$P$103</definedName>
    <definedName name="OSRRefP22_13x_0" localSheetId="63">'310'!$P$75:$P$76</definedName>
    <definedName name="OSRRefP22_13x_0" localSheetId="71">'310 &amp; 491'!$P$78:$P$81</definedName>
    <definedName name="OSRRefP22_13x_0" localSheetId="54">'311'!$P$102</definedName>
    <definedName name="OSRRefP22_13x_0" localSheetId="57">'315'!$P$123:$P$124</definedName>
    <definedName name="OSRRefP22_13x_0" localSheetId="66">'321'!$P$74</definedName>
    <definedName name="OSRRefP22_13x_0" localSheetId="68">'325'!$P$73:$P$77</definedName>
    <definedName name="OSRRefP22_13x_0" localSheetId="58">'326'!$P$88:$P$89</definedName>
    <definedName name="OSRRefP22_13x_0" localSheetId="51">'330'!$P$88</definedName>
    <definedName name="OSRRefP22_13x_0" localSheetId="56">'331'!$P$122</definedName>
    <definedName name="OSRRefP22_13x_0" localSheetId="73">'405'!$P$78</definedName>
    <definedName name="OSRRefP22_13x_0" localSheetId="75">'411'!$P$74</definedName>
    <definedName name="OSRRefP22_13x_0" localSheetId="76">'412'!$P$74</definedName>
    <definedName name="OSRRefP22_13x_0" localSheetId="78">'414'!$P$70</definedName>
    <definedName name="OSRRefP22_13x_0" localSheetId="79">'415'!$P$76:$P$82</definedName>
    <definedName name="OSRRefP22_13x_0" localSheetId="80">'418'!$P$79</definedName>
    <definedName name="OSRRefP22_13x_0" localSheetId="88">'433'!$P$75:$P$82</definedName>
    <definedName name="OSRRefP22_13x_0" localSheetId="90">'444'!$P$75:$P$83</definedName>
    <definedName name="OSRRefP22_13x_0" localSheetId="91">'450'!$P$67:$P$69</definedName>
    <definedName name="OSRRefP22_13x_0" localSheetId="72">'491'!$P$74:$P$77</definedName>
    <definedName name="OSRRefP22_13x_0" localSheetId="86">'492'!$P$73:$P$76</definedName>
    <definedName name="OSRRefP22_13x_0" localSheetId="39">'Div 2'!$P$72:$P$75</definedName>
    <definedName name="OSRRefP22_13x_0" localSheetId="47">'Div 3'!$P$167</definedName>
    <definedName name="OSRRefP22_13x_0" localSheetId="70">'Div 4'!$P$77</definedName>
    <definedName name="OSRRefP22_13x_0" localSheetId="2">Summary!$P$195</definedName>
    <definedName name="OSRRefP22_14x_0" localSheetId="41">'201'!$P$69</definedName>
    <definedName name="OSRRefP22_14x_0" localSheetId="48">'300'!$P$165</definedName>
    <definedName name="OSRRefP22_14x_0" localSheetId="49">'300 &amp; 317'!$P$187</definedName>
    <definedName name="OSRRefP22_14x_0" localSheetId="50">'301'!$P$70:$P$72</definedName>
    <definedName name="OSRRefP22_14x_0" localSheetId="63">'310'!$P$78:$P$81</definedName>
    <definedName name="OSRRefP22_14x_0" localSheetId="71">'310 &amp; 491'!$P$83:$P$84</definedName>
    <definedName name="OSRRefP22_14x_0" localSheetId="57">'315'!$P$126:$P$132</definedName>
    <definedName name="OSRRefP22_14x_0" localSheetId="68">'325'!$P$79:$P$80</definedName>
    <definedName name="OSRRefP22_14x_0" localSheetId="58">'326'!$P$91:$P$93</definedName>
    <definedName name="OSRRefP22_14x_0" localSheetId="56">'331'!$P$124:$P$125</definedName>
    <definedName name="OSRRefP22_14x_0" localSheetId="73">'405'!$P$80</definedName>
    <definedName name="OSRRefP22_14x_0" localSheetId="75">'411'!$P$76</definedName>
    <definedName name="OSRRefP22_14x_0" localSheetId="78">'414'!$P$72</definedName>
    <definedName name="OSRRefP22_14x_0" localSheetId="79">'415'!$P$84:$P$85</definedName>
    <definedName name="OSRRefP22_14x_0" localSheetId="88">'433'!$P$84</definedName>
    <definedName name="OSRRefP22_14x_0" localSheetId="90">'444'!$P$85:$P$86</definedName>
    <definedName name="OSRRefP22_14x_0" localSheetId="91">'450'!$P$71:$P$77</definedName>
    <definedName name="OSRRefP22_14x_0" localSheetId="72">'491'!$P$79:$P$80</definedName>
    <definedName name="OSRRefP22_14x_0" localSheetId="86">'492'!$P$78:$P$87</definedName>
    <definedName name="OSRRefP22_14x_0" localSheetId="39">'Div 2'!$P$77:$P$78</definedName>
    <definedName name="OSRRefP22_14x_0" localSheetId="47">'Div 3'!$P$169</definedName>
    <definedName name="OSRRefP22_14x_0" localSheetId="70">'Div 4'!$P$79</definedName>
    <definedName name="OSRRefP22_14x_0" localSheetId="2">Summary!$P$197</definedName>
    <definedName name="OSRRefP22_15x_0" localSheetId="41">'201'!$P$71</definedName>
    <definedName name="OSRRefP22_15x_0" localSheetId="48">'300'!$P$167</definedName>
    <definedName name="OSRRefP22_15x_0" localSheetId="49">'300 &amp; 317'!$P$189</definedName>
    <definedName name="OSRRefP22_15x_0" localSheetId="50">'301'!$P$74</definedName>
    <definedName name="OSRRefP22_15x_0" localSheetId="63">'310'!$P$83</definedName>
    <definedName name="OSRRefP22_15x_0" localSheetId="71">'310 &amp; 491'!$P$86:$P$90</definedName>
    <definedName name="OSRRefP22_15x_0" localSheetId="57">'315'!$P$134</definedName>
    <definedName name="OSRRefP22_15x_0" localSheetId="68">'325'!$P$82</definedName>
    <definedName name="OSRRefP22_15x_0" localSheetId="58">'326'!$P$95:$P$96</definedName>
    <definedName name="OSRRefP22_15x_0" localSheetId="56">'331'!$P$127:$P$129</definedName>
    <definedName name="OSRRefP22_15x_0" localSheetId="73">'405'!$P$82</definedName>
    <definedName name="OSRRefP22_15x_0" localSheetId="78">'414'!$P$74</definedName>
    <definedName name="OSRRefP22_15x_0" localSheetId="79">'415'!$P$87:$P$88</definedName>
    <definedName name="OSRRefP22_15x_0" localSheetId="90">'444'!$P$88</definedName>
    <definedName name="OSRRefP22_15x_0" localSheetId="91">'450'!$P$79:$P$80</definedName>
    <definedName name="OSRRefP22_15x_0" localSheetId="72">'491'!$P$82:$P$86</definedName>
    <definedName name="OSRRefP22_15x_0" localSheetId="86">'492'!$P$89:$P$90</definedName>
    <definedName name="OSRRefP22_15x_0" localSheetId="39">'Div 2'!$P$80:$P$81</definedName>
    <definedName name="OSRRefP22_15x_0" localSheetId="47">'Div 3'!$P$171</definedName>
    <definedName name="OSRRefP22_15x_0" localSheetId="70">'Div 4'!$P$81:$P$84</definedName>
    <definedName name="OSRRefP22_15x_0" localSheetId="2">Summary!$P$199</definedName>
    <definedName name="OSRRefP22_16x_0" localSheetId="48">'300'!$P$169:$P$172</definedName>
    <definedName name="OSRRefP22_16x_0" localSheetId="49">'300 &amp; 317'!$P$191:$P$194</definedName>
    <definedName name="OSRRefP22_16x_0" localSheetId="50">'301'!$P$76:$P$82</definedName>
    <definedName name="OSRRefP22_16x_0" localSheetId="63">'310'!$P$85:$P$91</definedName>
    <definedName name="OSRRefP22_16x_0" localSheetId="71">'310 &amp; 491'!$P$92</definedName>
    <definedName name="OSRRefP22_16x_0" localSheetId="57">'315'!$P$136:$P$137</definedName>
    <definedName name="OSRRefP22_16x_0" localSheetId="68">'325'!$P$84</definedName>
    <definedName name="OSRRefP22_16x_0" localSheetId="58">'326'!$P$98:$P$103</definedName>
    <definedName name="OSRRefP22_16x_0" localSheetId="56">'331'!$P$131:$P$133</definedName>
    <definedName name="OSRRefP22_16x_0" localSheetId="79">'415'!$P$90</definedName>
    <definedName name="OSRRefP22_16x_0" localSheetId="91">'450'!$P$82</definedName>
    <definedName name="OSRRefP22_16x_0" localSheetId="72">'491'!$P$88</definedName>
    <definedName name="OSRRefP22_16x_0" localSheetId="86">'492'!$P$92</definedName>
    <definedName name="OSRRefP22_16x_0" localSheetId="39">'Div 2'!$P$83:$P$87</definedName>
    <definedName name="OSRRefP22_16x_0" localSheetId="47">'Div 3'!$P$173</definedName>
    <definedName name="OSRRefP22_16x_0" localSheetId="70">'Div 4'!$P$86:$P$87</definedName>
    <definedName name="OSRRefP22_16x_0" localSheetId="2">Summary!$P$201</definedName>
    <definedName name="OSRRefP22_17x_0" localSheetId="48">'300'!$P$174:$P$177</definedName>
    <definedName name="OSRRefP22_17x_0" localSheetId="49">'300 &amp; 317'!$P$196:$P$199</definedName>
    <definedName name="OSRRefP22_17x_0" localSheetId="50">'301'!$P$84</definedName>
    <definedName name="OSRRefP22_17x_0" localSheetId="63">'310'!$P$93:$P$94</definedName>
    <definedName name="OSRRefP22_17x_0" localSheetId="71">'310 &amp; 491'!$P$94:$P$104</definedName>
    <definedName name="OSRRefP22_17x_0" localSheetId="58">'326'!$P$105:$P$106</definedName>
    <definedName name="OSRRefP22_17x_0" localSheetId="56">'331'!$P$135:$P$136</definedName>
    <definedName name="OSRRefP22_17x_0" localSheetId="72">'491'!$P$90:$P$100</definedName>
    <definedName name="OSRRefP22_17x_0" localSheetId="86">'492'!$P$94</definedName>
    <definedName name="OSRRefP22_17x_0" localSheetId="39">'Div 2'!$P$89:$P$90</definedName>
    <definedName name="OSRRefP22_17x_0" localSheetId="47">'Div 3'!$P$175:$P$178</definedName>
    <definedName name="OSRRefP22_17x_0" localSheetId="70">'Div 4'!$P$89:$P$93</definedName>
    <definedName name="OSRRefP22_17x_0" localSheetId="2">Summary!$P$203</definedName>
    <definedName name="OSRRefP22_18x_0" localSheetId="48">'300'!$P$179:$P$182</definedName>
    <definedName name="OSRRefP22_18x_0" localSheetId="49">'300 &amp; 317'!$P$201:$P$204</definedName>
    <definedName name="OSRRefP22_18x_0" localSheetId="50">'301'!$P$86</definedName>
    <definedName name="OSRRefP22_18x_0" localSheetId="63">'310'!$P$96</definedName>
    <definedName name="OSRRefP22_18x_0" localSheetId="71">'310 &amp; 491'!$P$106:$P$107</definedName>
    <definedName name="OSRRefP22_18x_0" localSheetId="58">'326'!$P$108</definedName>
    <definedName name="OSRRefP22_18x_0" localSheetId="56">'331'!$P$138:$P$145</definedName>
    <definedName name="OSRRefP22_18x_0" localSheetId="72">'491'!$P$102:$P$103</definedName>
    <definedName name="OSRRefP22_18x_0" localSheetId="39">'Div 2'!$P$92</definedName>
    <definedName name="OSRRefP22_18x_0" localSheetId="47">'Div 3'!$P$180:$P$183</definedName>
    <definedName name="OSRRefP22_18x_0" localSheetId="70">'Div 4'!$P$95</definedName>
    <definedName name="OSRRefP22_18x_0" localSheetId="2">Summary!$P$205:$P$208</definedName>
    <definedName name="OSRRefP22_19x_0" localSheetId="48">'300'!$P$184:$P$185</definedName>
    <definedName name="OSRRefP22_19x_0" localSheetId="49">'300 &amp; 317'!$P$206:$P$207</definedName>
    <definedName name="OSRRefP22_19x_0" localSheetId="50">'301'!$P$88</definedName>
    <definedName name="OSRRefP22_19x_0" localSheetId="63">'310'!$P$98</definedName>
    <definedName name="OSRRefP22_19x_0" localSheetId="71">'310 &amp; 491'!$P$109</definedName>
    <definedName name="OSRRefP22_19x_0" localSheetId="58">'326'!$P$110:$P$111</definedName>
    <definedName name="OSRRefP22_19x_0" localSheetId="56">'331'!$P$147:$P$148</definedName>
    <definedName name="OSRRefP22_19x_0" localSheetId="72">'491'!$P$105</definedName>
    <definedName name="OSRRefP22_19x_0" localSheetId="39">'Div 2'!$P$94:$P$95</definedName>
    <definedName name="OSRRefP22_19x_0" localSheetId="47">'Div 3'!$P$185:$P$189</definedName>
    <definedName name="OSRRefP22_19x_0" localSheetId="70">'Div 4'!$P$97:$P$107</definedName>
    <definedName name="OSRRefP22_19x_0" localSheetId="2">Summary!$P$210:$P$213</definedName>
    <definedName name="OSRRefP22_1x_0" localSheetId="40">'200'!$P$22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'300'!$P$123:$P$132</definedName>
    <definedName name="OSRRefP22_1x_0" localSheetId="49">'300 &amp; 317'!$P$145:$P$154</definedName>
    <definedName name="OSRRefP22_1x_0" localSheetId="50">'301'!$P$30:$P$39</definedName>
    <definedName name="OSRRefP22_1x_0" localSheetId="52">'307'!$P$48:$P$57</definedName>
    <definedName name="OSRRefP22_1x_0" localSheetId="53">'308'!$P$65:$P$74</definedName>
    <definedName name="OSRRefP22_1x_0" localSheetId="64">'309'!$P$31:$P$40</definedName>
    <definedName name="OSRRefP22_1x_0" localSheetId="63">'310'!$P$38:$P$47</definedName>
    <definedName name="OSRRefP22_1x_0" localSheetId="71">'310 &amp; 491'!$P$42:$P$51</definedName>
    <definedName name="OSRRefP22_1x_0" localSheetId="54">'311'!$P$64:$P$73</definedName>
    <definedName name="OSRRefP22_1x_0" localSheetId="65">'313'!$P$33:$P$42</definedName>
    <definedName name="OSRRefP22_1x_0" localSheetId="57">'315'!$P$87:$P$96</definedName>
    <definedName name="OSRRefP22_1x_0" localSheetId="60">'316'!$P$40:$P$49</definedName>
    <definedName name="OSRRefP22_1x_0" localSheetId="62">'317'!$P$60:$P$69</definedName>
    <definedName name="OSRRefP22_1x_0" localSheetId="66">'321'!$P$35:$P$44</definedName>
    <definedName name="OSRRefP22_1x_0" localSheetId="67">'322'!$P$32:$P$41</definedName>
    <definedName name="OSRRefP22_1x_0" localSheetId="55">'324'!$P$36:$P$45</definedName>
    <definedName name="OSRRefP22_1x_0" localSheetId="68">'325'!$P$34:$P$43</definedName>
    <definedName name="OSRRefP22_1x_0" localSheetId="58">'326'!$P$54:$P$63</definedName>
    <definedName name="OSRRefP22_1x_0" localSheetId="51">'330'!$P$48:$P$57</definedName>
    <definedName name="OSRRefP22_1x_0" localSheetId="56">'331'!$P$87:$P$96</definedName>
    <definedName name="OSRRefP22_1x_0" localSheetId="59">'332'!$P$40:$P$49</definedName>
    <definedName name="OSRRefP22_1x_0" localSheetId="73">'405'!$P$32:$P$41</definedName>
    <definedName name="OSRRefP22_1x_0" localSheetId="74">'406'!$P$22</definedName>
    <definedName name="OSRRefP22_1x_0" localSheetId="75">'411'!$P$30:$P$39</definedName>
    <definedName name="OSRRefP22_1x_0" localSheetId="76">'412'!$P$31:$P$40</definedName>
    <definedName name="OSRRefP22_1x_0" localSheetId="77">'413'!$P$33:$P$42</definedName>
    <definedName name="OSRRefP22_1x_0" localSheetId="78">'414'!$P$34:$P$43</definedName>
    <definedName name="OSRRefP22_1x_0" localSheetId="79">'415'!$P$37:$P$46</definedName>
    <definedName name="OSRRefP22_1x_0" localSheetId="80">'418'!$P$32:$P$41</definedName>
    <definedName name="OSRRefP22_1x_0" localSheetId="82">'423'!$P$29:$P$38</definedName>
    <definedName name="OSRRefP22_1x_0" localSheetId="83">'424'!$P$22</definedName>
    <definedName name="OSRRefP22_1x_0" localSheetId="84">'425'!$P$26</definedName>
    <definedName name="OSRRefP22_1x_0" localSheetId="87">'430'!$P$30:$P$39</definedName>
    <definedName name="OSRRefP22_1x_0" localSheetId="88">'433'!$P$38:$P$47</definedName>
    <definedName name="OSRRefP22_1x_0" localSheetId="90">'444'!$P$38:$P$47</definedName>
    <definedName name="OSRRefP22_1x_0" localSheetId="91">'450'!$P$34:$P$43</definedName>
    <definedName name="OSRRefP22_1x_0" localSheetId="72">'491'!$P$39:$P$48</definedName>
    <definedName name="OSRRefP22_1x_0" localSheetId="86">'492'!$P$38:$P$47</definedName>
    <definedName name="OSRRefP22_1x_0" localSheetId="93">'501'!$P$32:$P$41</definedName>
    <definedName name="OSRRefP22_1x_0" localSheetId="39">'Div 2'!$P$33:$P$42</definedName>
    <definedName name="OSRRefP22_1x_0" localSheetId="47">'Div 3'!$P$127:$P$136</definedName>
    <definedName name="OSRRefP22_1x_0" localSheetId="70">'Div 4'!$P$42:$P$51</definedName>
    <definedName name="OSRRefP22_1x_0" localSheetId="92">'Div 5'!$P$32:$P$41</definedName>
    <definedName name="OSRRefP22_1x_0" localSheetId="61">'Div 6'!$P$60:$P$69</definedName>
    <definedName name="OSRRefP22_1x_0" localSheetId="2">Summary!$P$154:$P$163</definedName>
    <definedName name="OSRRefP22_20x_0" localSheetId="48">'300'!$P$187:$P$195</definedName>
    <definedName name="OSRRefP22_20x_0" localSheetId="49">'300 &amp; 317'!$P$209:$P$217</definedName>
    <definedName name="OSRRefP22_20x_0" localSheetId="50">'301'!$P$90</definedName>
    <definedName name="OSRRefP22_20x_0" localSheetId="63">'310'!$P$100</definedName>
    <definedName name="OSRRefP22_20x_0" localSheetId="71">'310 &amp; 491'!$P$111:$P$113</definedName>
    <definedName name="OSRRefP22_20x_0" localSheetId="58">'326'!$P$113</definedName>
    <definedName name="OSRRefP22_20x_0" localSheetId="56">'331'!$P$150</definedName>
    <definedName name="OSRRefP22_20x_0" localSheetId="72">'491'!$P$107:$P$109</definedName>
    <definedName name="OSRRefP22_20x_0" localSheetId="47">'Div 3'!$P$191:$P$192</definedName>
    <definedName name="OSRRefP22_20x_0" localSheetId="70">'Div 4'!$P$109:$P$110</definedName>
    <definedName name="OSRRefP22_20x_0" localSheetId="2">Summary!$P$215:$P$219</definedName>
    <definedName name="OSRRefP22_21x_0" localSheetId="48">'300'!$P$197:$P$198</definedName>
    <definedName name="OSRRefP22_21x_0" localSheetId="49">'300 &amp; 317'!$P$219:$P$220</definedName>
    <definedName name="OSRRefP22_21x_0" localSheetId="71">'310 &amp; 491'!$P$115</definedName>
    <definedName name="OSRRefP22_21x_0" localSheetId="56">'331'!$P$152:$P$153</definedName>
    <definedName name="OSRRefP22_21x_0" localSheetId="72">'491'!$P$111</definedName>
    <definedName name="OSRRefP22_21x_0" localSheetId="47">'Div 3'!$P$194:$P$202</definedName>
    <definedName name="OSRRefP22_21x_0" localSheetId="70">'Div 4'!$P$112</definedName>
    <definedName name="OSRRefP22_21x_0" localSheetId="2">Summary!$P$221:$P$222</definedName>
    <definedName name="OSRRefP22_22x_0" localSheetId="48">'300'!$P$200</definedName>
    <definedName name="OSRRefP22_22x_0" localSheetId="49">'300 &amp; 317'!$P$222</definedName>
    <definedName name="OSRRefP22_22x_0" localSheetId="56">'331'!$P$155</definedName>
    <definedName name="OSRRefP22_22x_0" localSheetId="47">'Div 3'!$P$204:$P$205</definedName>
    <definedName name="OSRRefP22_22x_0" localSheetId="70">'Div 4'!$P$114:$P$116</definedName>
    <definedName name="OSRRefP22_22x_0" localSheetId="2">Summary!$P$224:$P$234</definedName>
    <definedName name="OSRRefP22_23x_0" localSheetId="48">'300'!$P$202:$P$204</definedName>
    <definedName name="OSRRefP22_23x_0" localSheetId="49">'300 &amp; 317'!$P$224:$P$226</definedName>
    <definedName name="OSRRefP22_23x_0" localSheetId="47">'Div 3'!$P$207</definedName>
    <definedName name="OSRRefP22_23x_0" localSheetId="70">'Div 4'!$P$118</definedName>
    <definedName name="OSRRefP22_23x_0" localSheetId="2">Summary!$P$236:$P$237</definedName>
    <definedName name="OSRRefP22_24x_0" localSheetId="48">'300'!$P$206</definedName>
    <definedName name="OSRRefP22_24x_0" localSheetId="49">'300 &amp; 317'!$P$228</definedName>
    <definedName name="OSRRefP22_24x_0" localSheetId="47">'Div 3'!$P$209:$P$211</definedName>
    <definedName name="OSRRefP22_24x_0" localSheetId="2">Summary!$P$239</definedName>
    <definedName name="OSRRefP22_25x_0" localSheetId="47">'Div 3'!$P$213</definedName>
    <definedName name="OSRRefP22_25x_0" localSheetId="2">Summary!$P$241:$P$243</definedName>
    <definedName name="OSRRefP22_26x_0" localSheetId="2">Summary!$P$245</definedName>
    <definedName name="OSRRefP22_2x_0" localSheetId="40">'200'!$P$24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'300'!$P$134</definedName>
    <definedName name="OSRRefP22_2x_0" localSheetId="49">'300 &amp; 317'!$P$156</definedName>
    <definedName name="OSRRefP22_2x_0" localSheetId="50">'301'!$P$41:$P$42</definedName>
    <definedName name="OSRRefP22_2x_0" localSheetId="52">'307'!$P$59</definedName>
    <definedName name="OSRRefP22_2x_0" localSheetId="53">'308'!$P$76</definedName>
    <definedName name="OSRRefP22_2x_0" localSheetId="64">'309'!$P$42</definedName>
    <definedName name="OSRRefP22_2x_0" localSheetId="63">'310'!$P$49</definedName>
    <definedName name="OSRRefP22_2x_0" localSheetId="71">'310 &amp; 491'!$P$53</definedName>
    <definedName name="OSRRefP22_2x_0" localSheetId="54">'311'!$P$75</definedName>
    <definedName name="OSRRefP22_2x_0" localSheetId="65">'313'!$P$44</definedName>
    <definedName name="OSRRefP22_2x_0" localSheetId="57">'315'!$P$98</definedName>
    <definedName name="OSRRefP22_2x_0" localSheetId="60">'316'!$P$51</definedName>
    <definedName name="OSRRefP22_2x_0" localSheetId="62">'317'!$P$71</definedName>
    <definedName name="OSRRefP22_2x_0" localSheetId="66">'321'!$P$46</definedName>
    <definedName name="OSRRefP22_2x_0" localSheetId="67">'322'!$P$43</definedName>
    <definedName name="OSRRefP22_2x_0" localSheetId="68">'325'!$P$45</definedName>
    <definedName name="OSRRefP22_2x_0" localSheetId="58">'326'!$P$65</definedName>
    <definedName name="OSRRefP22_2x_0" localSheetId="51">'330'!$P$59</definedName>
    <definedName name="OSRRefP22_2x_0" localSheetId="56">'331'!$P$98</definedName>
    <definedName name="OSRRefP22_2x_0" localSheetId="59">'332'!$P$51</definedName>
    <definedName name="OSRRefP22_2x_0" localSheetId="73">'405'!$P$43</definedName>
    <definedName name="OSRRefP22_2x_0" localSheetId="74">'406'!$P$24</definedName>
    <definedName name="OSRRefP22_2x_0" localSheetId="75">'411'!$P$41</definedName>
    <definedName name="OSRRefP22_2x_0" localSheetId="76">'412'!$P$42</definedName>
    <definedName name="OSRRefP22_2x_0" localSheetId="77">'413'!$P$44</definedName>
    <definedName name="OSRRefP22_2x_0" localSheetId="78">'414'!$P$45</definedName>
    <definedName name="OSRRefP22_2x_0" localSheetId="79">'415'!$P$48</definedName>
    <definedName name="OSRRefP22_2x_0" localSheetId="80">'418'!$P$43</definedName>
    <definedName name="OSRRefP22_2x_0" localSheetId="82">'423'!$P$40</definedName>
    <definedName name="OSRRefP22_2x_0" localSheetId="83">'424'!$P$24</definedName>
    <definedName name="OSRRefP22_2x_0" localSheetId="84">'425'!$P$28</definedName>
    <definedName name="OSRRefP22_2x_0" localSheetId="87">'430'!$P$41</definedName>
    <definedName name="OSRRefP22_2x_0" localSheetId="88">'433'!$P$49</definedName>
    <definedName name="OSRRefP22_2x_0" localSheetId="90">'444'!$P$49</definedName>
    <definedName name="OSRRefP22_2x_0" localSheetId="91">'450'!$P$45</definedName>
    <definedName name="OSRRefP22_2x_0" localSheetId="72">'491'!$P$50</definedName>
    <definedName name="OSRRefP22_2x_0" localSheetId="86">'492'!$P$49</definedName>
    <definedName name="OSRRefP22_2x_0" localSheetId="93">'501'!$P$43</definedName>
    <definedName name="OSRRefP22_2x_0" localSheetId="39">'Div 2'!$P$44</definedName>
    <definedName name="OSRRefP22_2x_0" localSheetId="47">'Div 3'!$P$138</definedName>
    <definedName name="OSRRefP22_2x_0" localSheetId="70">'Div 4'!$P$53</definedName>
    <definedName name="OSRRefP22_2x_0" localSheetId="92">'Div 5'!$P$43</definedName>
    <definedName name="OSRRefP22_2x_0" localSheetId="61">'Div 6'!$P$71</definedName>
    <definedName name="OSRRefP22_2x_0" localSheetId="2">Summary!$P$165</definedName>
    <definedName name="OSRRefP22_3x_0" localSheetId="40">'200'!$P$26:$P$27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</definedName>
    <definedName name="OSRRefP22_3x_0" localSheetId="46">'206'!$P$43</definedName>
    <definedName name="OSRRefP22_3x_0" localSheetId="48">'300'!$P$136:$P$137</definedName>
    <definedName name="OSRRefP22_3x_0" localSheetId="49">'300 &amp; 317'!$P$158:$P$159</definedName>
    <definedName name="OSRRefP22_3x_0" localSheetId="50">'301'!$P$44</definedName>
    <definedName name="OSRRefP22_3x_0" localSheetId="52">'307'!$P$61</definedName>
    <definedName name="OSRRefP22_3x_0" localSheetId="53">'308'!$P$78</definedName>
    <definedName name="OSRRefP22_3x_0" localSheetId="64">'309'!$P$44</definedName>
    <definedName name="OSRRefP22_3x_0" localSheetId="63">'310'!$P$51</definedName>
    <definedName name="OSRRefP22_3x_0" localSheetId="71">'310 &amp; 491'!$P$55</definedName>
    <definedName name="OSRRefP22_3x_0" localSheetId="54">'311'!$P$77</definedName>
    <definedName name="OSRRefP22_3x_0" localSheetId="65">'313'!$P$46</definedName>
    <definedName name="OSRRefP22_3x_0" localSheetId="57">'315'!$P$100</definedName>
    <definedName name="OSRRefP22_3x_0" localSheetId="60">'316'!$P$53</definedName>
    <definedName name="OSRRefP22_3x_0" localSheetId="62">'317'!$P$73</definedName>
    <definedName name="OSRRefP22_3x_0" localSheetId="66">'321'!$P$48</definedName>
    <definedName name="OSRRefP22_3x_0" localSheetId="67">'322'!$P$45</definedName>
    <definedName name="OSRRefP22_3x_0" localSheetId="68">'325'!$P$47</definedName>
    <definedName name="OSRRefP22_3x_0" localSheetId="58">'326'!$P$67</definedName>
    <definedName name="OSRRefP22_3x_0" localSheetId="51">'330'!$P$61</definedName>
    <definedName name="OSRRefP22_3x_0" localSheetId="56">'331'!$P$100</definedName>
    <definedName name="OSRRefP22_3x_0" localSheetId="59">'332'!$P$53</definedName>
    <definedName name="OSRRefP22_3x_0" localSheetId="73">'405'!$P$45</definedName>
    <definedName name="OSRRefP22_3x_0" localSheetId="74">'406'!$P$26</definedName>
    <definedName name="OSRRefP22_3x_0" localSheetId="75">'411'!$P$43</definedName>
    <definedName name="OSRRefP22_3x_0" localSheetId="76">'412'!$P$44</definedName>
    <definedName name="OSRRefP22_3x_0" localSheetId="77">'413'!$P$46</definedName>
    <definedName name="OSRRefP22_3x_0" localSheetId="78">'414'!$P$47</definedName>
    <definedName name="OSRRefP22_3x_0" localSheetId="79">'415'!$P$50</definedName>
    <definedName name="OSRRefP22_3x_0" localSheetId="80">'418'!$P$45</definedName>
    <definedName name="OSRRefP22_3x_0" localSheetId="82">'423'!$P$42:$P$43</definedName>
    <definedName name="OSRRefP22_3x_0" localSheetId="83">'424'!$P$26</definedName>
    <definedName name="OSRRefP22_3x_0" localSheetId="84">'425'!$P$30</definedName>
    <definedName name="OSRRefP22_3x_0" localSheetId="87">'430'!$P$43:$P$45</definedName>
    <definedName name="OSRRefP22_3x_0" localSheetId="88">'433'!$P$51</definedName>
    <definedName name="OSRRefP22_3x_0" localSheetId="90">'444'!$P$51</definedName>
    <definedName name="OSRRefP22_3x_0" localSheetId="91">'450'!$P$47</definedName>
    <definedName name="OSRRefP22_3x_0" localSheetId="72">'491'!$P$52</definedName>
    <definedName name="OSRRefP22_3x_0" localSheetId="86">'492'!$P$51</definedName>
    <definedName name="OSRRefP22_3x_0" localSheetId="93">'501'!$P$45</definedName>
    <definedName name="OSRRefP22_3x_0" localSheetId="39">'Div 2'!$P$46</definedName>
    <definedName name="OSRRefP22_3x_0" localSheetId="47">'Div 3'!$P$140:$P$141</definedName>
    <definedName name="OSRRefP22_3x_0" localSheetId="70">'Div 4'!$P$55</definedName>
    <definedName name="OSRRefP22_3x_0" localSheetId="92">'Div 5'!$P$45</definedName>
    <definedName name="OSRRefP22_3x_0" localSheetId="61">'Div 6'!$P$73</definedName>
    <definedName name="OSRRefP22_3x_0" localSheetId="2">Summary!$P$167:$P$168</definedName>
    <definedName name="OSRRefP22_4x_0" localSheetId="41">'201'!$P$46</definedName>
    <definedName name="OSRRefP22_4x_0" localSheetId="42">'202'!$P$46:$P$47</definedName>
    <definedName name="OSRRefP22_4x_0" localSheetId="43">'203'!$P$46</definedName>
    <definedName name="OSRRefP22_4x_0" localSheetId="44">'204'!$P$47</definedName>
    <definedName name="OSRRefP22_4x_0" localSheetId="45">'205'!$P$45:$P$46</definedName>
    <definedName name="OSRRefP22_4x_0" localSheetId="46">'206'!$P$45</definedName>
    <definedName name="OSRRefP22_4x_0" localSheetId="48">'300'!$P$139</definedName>
    <definedName name="OSRRefP22_4x_0" localSheetId="49">'300 &amp; 317'!$P$161</definedName>
    <definedName name="OSRRefP22_4x_0" localSheetId="50">'301'!$P$46:$P$47</definedName>
    <definedName name="OSRRefP22_4x_0" localSheetId="52">'307'!$P$63</definedName>
    <definedName name="OSRRefP22_4x_0" localSheetId="53">'308'!$P$80</definedName>
    <definedName name="OSRRefP22_4x_0" localSheetId="64">'309'!$P$46</definedName>
    <definedName name="OSRRefP22_4x_0" localSheetId="63">'310'!$P$53</definedName>
    <definedName name="OSRRefP22_4x_0" localSheetId="71">'310 &amp; 491'!$P$57</definedName>
    <definedName name="OSRRefP22_4x_0" localSheetId="54">'311'!$P$79</definedName>
    <definedName name="OSRRefP22_4x_0" localSheetId="65">'313'!$P$48</definedName>
    <definedName name="OSRRefP22_4x_0" localSheetId="57">'315'!$P$102</definedName>
    <definedName name="OSRRefP22_4x_0" localSheetId="60">'316'!$P$55</definedName>
    <definedName name="OSRRefP22_4x_0" localSheetId="62">'317'!$P$75</definedName>
    <definedName name="OSRRefP22_4x_0" localSheetId="66">'321'!$P$50</definedName>
    <definedName name="OSRRefP22_4x_0" localSheetId="67">'322'!$P$47</definedName>
    <definedName name="OSRRefP22_4x_0" localSheetId="68">'325'!$P$49</definedName>
    <definedName name="OSRRefP22_4x_0" localSheetId="58">'326'!$P$69</definedName>
    <definedName name="OSRRefP22_4x_0" localSheetId="51">'330'!$P$63</definedName>
    <definedName name="OSRRefP22_4x_0" localSheetId="56">'331'!$P$102</definedName>
    <definedName name="OSRRefP22_4x_0" localSheetId="59">'332'!$P$55</definedName>
    <definedName name="OSRRefP22_4x_0" localSheetId="73">'405'!$P$47:$P$48</definedName>
    <definedName name="OSRRefP22_4x_0" localSheetId="74">'406'!$P$28</definedName>
    <definedName name="OSRRefP22_4x_0" localSheetId="75">'411'!$P$45:$P$46</definedName>
    <definedName name="OSRRefP22_4x_0" localSheetId="76">'412'!$P$46:$P$47</definedName>
    <definedName name="OSRRefP22_4x_0" localSheetId="77">'413'!$P$48</definedName>
    <definedName name="OSRRefP22_4x_0" localSheetId="78">'414'!$P$49</definedName>
    <definedName name="OSRRefP22_4x_0" localSheetId="79">'415'!$P$52</definedName>
    <definedName name="OSRRefP22_4x_0" localSheetId="80">'418'!$P$47:$P$48</definedName>
    <definedName name="OSRRefP22_4x_0" localSheetId="82">'423'!$P$45</definedName>
    <definedName name="OSRRefP22_4x_0" localSheetId="84">'425'!$P$32</definedName>
    <definedName name="OSRRefP22_4x_0" localSheetId="87">'430'!$P$47:$P$48</definedName>
    <definedName name="OSRRefP22_4x_0" localSheetId="88">'433'!$P$53</definedName>
    <definedName name="OSRRefP22_4x_0" localSheetId="90">'444'!$P$53</definedName>
    <definedName name="OSRRefP22_4x_0" localSheetId="91">'450'!$P$49</definedName>
    <definedName name="OSRRefP22_4x_0" localSheetId="72">'491'!$P$54</definedName>
    <definedName name="OSRRefP22_4x_0" localSheetId="86">'492'!$P$53</definedName>
    <definedName name="OSRRefP22_4x_0" localSheetId="93">'501'!$P$47</definedName>
    <definedName name="OSRRefP22_4x_0" localSheetId="39">'Div 2'!$P$48</definedName>
    <definedName name="OSRRefP22_4x_0" localSheetId="47">'Div 3'!$P$143</definedName>
    <definedName name="OSRRefP22_4x_0" localSheetId="70">'Div 4'!$P$57</definedName>
    <definedName name="OSRRefP22_4x_0" localSheetId="92">'Div 5'!$P$47</definedName>
    <definedName name="OSRRefP22_4x_0" localSheetId="61">'Div 6'!$P$75</definedName>
    <definedName name="OSRRefP22_4x_0" localSheetId="2">Summary!$P$170</definedName>
    <definedName name="OSRRefP22_5x_0" localSheetId="41">'201'!$P$48</definedName>
    <definedName name="OSRRefP22_5x_0" localSheetId="42">'202'!$P$49</definedName>
    <definedName name="OSRRefP22_5x_0" localSheetId="43">'203'!$P$48</definedName>
    <definedName name="OSRRefP22_5x_0" localSheetId="44">'204'!$P$49</definedName>
    <definedName name="OSRRefP22_5x_0" localSheetId="45">'205'!$P$48</definedName>
    <definedName name="OSRRefP22_5x_0" localSheetId="46">'206'!$P$47</definedName>
    <definedName name="OSRRefP22_5x_0" localSheetId="48">'300'!$P$141:$P$142</definedName>
    <definedName name="OSRRefP22_5x_0" localSheetId="49">'300 &amp; 317'!$P$163:$P$164</definedName>
    <definedName name="OSRRefP22_5x_0" localSheetId="50">'301'!$P$49</definedName>
    <definedName name="OSRRefP22_5x_0" localSheetId="52">'307'!$P$65:$P$66</definedName>
    <definedName name="OSRRefP22_5x_0" localSheetId="53">'308'!$P$82</definedName>
    <definedName name="OSRRefP22_5x_0" localSheetId="64">'309'!$P$48</definedName>
    <definedName name="OSRRefP22_5x_0" localSheetId="63">'310'!$P$55:$P$56</definedName>
    <definedName name="OSRRefP22_5x_0" localSheetId="71">'310 &amp; 491'!$P$59:$P$61</definedName>
    <definedName name="OSRRefP22_5x_0" localSheetId="54">'311'!$P$81</definedName>
    <definedName name="OSRRefP22_5x_0" localSheetId="65">'313'!$P$50</definedName>
    <definedName name="OSRRefP22_5x_0" localSheetId="57">'315'!$P$104</definedName>
    <definedName name="OSRRefP22_5x_0" localSheetId="60">'316'!$P$57</definedName>
    <definedName name="OSRRefP22_5x_0" localSheetId="62">'317'!$P$77</definedName>
    <definedName name="OSRRefP22_5x_0" localSheetId="66">'321'!$P$52</definedName>
    <definedName name="OSRRefP22_5x_0" localSheetId="67">'322'!$P$49</definedName>
    <definedName name="OSRRefP22_5x_0" localSheetId="68">'325'!$P$51:$P$52</definedName>
    <definedName name="OSRRefP22_5x_0" localSheetId="58">'326'!$P$71</definedName>
    <definedName name="OSRRefP22_5x_0" localSheetId="51">'330'!$P$65:$P$66</definedName>
    <definedName name="OSRRefP22_5x_0" localSheetId="56">'331'!$P$104</definedName>
    <definedName name="OSRRefP22_5x_0" localSheetId="59">'332'!$P$57</definedName>
    <definedName name="OSRRefP22_5x_0" localSheetId="73">'405'!$P$50</definedName>
    <definedName name="OSRRefP22_5x_0" localSheetId="75">'411'!$P$48</definedName>
    <definedName name="OSRRefP22_5x_0" localSheetId="76">'412'!$P$49</definedName>
    <definedName name="OSRRefP22_5x_0" localSheetId="77">'413'!$P$50</definedName>
    <definedName name="OSRRefP22_5x_0" localSheetId="78">'414'!$P$51</definedName>
    <definedName name="OSRRefP22_5x_0" localSheetId="79">'415'!$P$54:$P$55</definedName>
    <definedName name="OSRRefP22_5x_0" localSheetId="80">'418'!$P$50</definedName>
    <definedName name="OSRRefP22_5x_0" localSheetId="82">'423'!$P$47</definedName>
    <definedName name="OSRRefP22_5x_0" localSheetId="87">'430'!$P$50</definedName>
    <definedName name="OSRRefP22_5x_0" localSheetId="88">'433'!$P$55</definedName>
    <definedName name="OSRRefP22_5x_0" localSheetId="90">'444'!$P$55</definedName>
    <definedName name="OSRRefP22_5x_0" localSheetId="91">'450'!$P$51</definedName>
    <definedName name="OSRRefP22_5x_0" localSheetId="72">'491'!$P$56:$P$58</definedName>
    <definedName name="OSRRefP22_5x_0" localSheetId="86">'492'!$P$55</definedName>
    <definedName name="OSRRefP22_5x_0" localSheetId="93">'501'!$P$49:$P$50</definedName>
    <definedName name="OSRRefP22_5x_0" localSheetId="39">'Div 2'!$P$50:$P$51</definedName>
    <definedName name="OSRRefP22_5x_0" localSheetId="47">'Div 3'!$P$145:$P$146</definedName>
    <definedName name="OSRRefP22_5x_0" localSheetId="70">'Div 4'!$P$59:$P$61</definedName>
    <definedName name="OSRRefP22_5x_0" localSheetId="92">'Div 5'!$P$49:$P$50</definedName>
    <definedName name="OSRRefP22_5x_0" localSheetId="61">'Div 6'!$P$77</definedName>
    <definedName name="OSRRefP22_5x_0" localSheetId="2">Summary!$P$172:$P$174</definedName>
    <definedName name="OSRRefP22_6x_0" localSheetId="41">'201'!$P$50</definedName>
    <definedName name="OSRRefP22_6x_0" localSheetId="42">'202'!$P$51</definedName>
    <definedName name="OSRRefP22_6x_0" localSheetId="43">'203'!$P$50</definedName>
    <definedName name="OSRRefP22_6x_0" localSheetId="44">'204'!$P$51:$P$53</definedName>
    <definedName name="OSRRefP22_6x_0" localSheetId="45">'205'!$P$50:$P$51</definedName>
    <definedName name="OSRRefP22_6x_0" localSheetId="46">'206'!$P$49</definedName>
    <definedName name="OSRRefP22_6x_0" localSheetId="48">'300'!$P$144:$P$145</definedName>
    <definedName name="OSRRefP22_6x_0" localSheetId="49">'300 &amp; 317'!$P$166:$P$167</definedName>
    <definedName name="OSRRefP22_6x_0" localSheetId="50">'301'!$P$51</definedName>
    <definedName name="OSRRefP22_6x_0" localSheetId="52">'307'!$P$68</definedName>
    <definedName name="OSRRefP22_6x_0" localSheetId="53">'308'!$P$84</definedName>
    <definedName name="OSRRefP22_6x_0" localSheetId="64">'309'!$P$50:$P$51</definedName>
    <definedName name="OSRRefP22_6x_0" localSheetId="63">'310'!$P$58</definedName>
    <definedName name="OSRRefP22_6x_0" localSheetId="71">'310 &amp; 491'!$P$63</definedName>
    <definedName name="OSRRefP22_6x_0" localSheetId="54">'311'!$P$83</definedName>
    <definedName name="OSRRefP22_6x_0" localSheetId="65">'313'!$P$52:$P$53</definedName>
    <definedName name="OSRRefP22_6x_0" localSheetId="57">'315'!$P$106</definedName>
    <definedName name="OSRRefP22_6x_0" localSheetId="60">'316'!$P$59:$P$60</definedName>
    <definedName name="OSRRefP22_6x_0" localSheetId="62">'317'!$P$79:$P$80</definedName>
    <definedName name="OSRRefP22_6x_0" localSheetId="66">'321'!$P$54</definedName>
    <definedName name="OSRRefP22_6x_0" localSheetId="67">'322'!$P$51</definedName>
    <definedName name="OSRRefP22_6x_0" localSheetId="68">'325'!$P$54</definedName>
    <definedName name="OSRRefP22_6x_0" localSheetId="58">'326'!$P$73</definedName>
    <definedName name="OSRRefP22_6x_0" localSheetId="51">'330'!$P$68</definedName>
    <definedName name="OSRRefP22_6x_0" localSheetId="56">'331'!$P$106</definedName>
    <definedName name="OSRRefP22_6x_0" localSheetId="59">'332'!$P$59:$P$60</definedName>
    <definedName name="OSRRefP22_6x_0" localSheetId="73">'405'!$P$52</definedName>
    <definedName name="OSRRefP22_6x_0" localSheetId="75">'411'!$P$50</definedName>
    <definedName name="OSRRefP22_6x_0" localSheetId="76">'412'!$P$51</definedName>
    <definedName name="OSRRefP22_6x_0" localSheetId="77">'413'!$P$52</definedName>
    <definedName name="OSRRefP22_6x_0" localSheetId="78">'414'!$P$53</definedName>
    <definedName name="OSRRefP22_6x_0" localSheetId="79">'415'!$P$57</definedName>
    <definedName name="OSRRefP22_6x_0" localSheetId="80">'418'!$P$52</definedName>
    <definedName name="OSRRefP22_6x_0" localSheetId="82">'423'!$P$49</definedName>
    <definedName name="OSRRefP22_6x_0" localSheetId="87">'430'!$P$52</definedName>
    <definedName name="OSRRefP22_6x_0" localSheetId="88">'433'!$P$57</definedName>
    <definedName name="OSRRefP22_6x_0" localSheetId="90">'444'!$P$57</definedName>
    <definedName name="OSRRefP22_6x_0" localSheetId="91">'450'!$P$53</definedName>
    <definedName name="OSRRefP22_6x_0" localSheetId="72">'491'!$P$60</definedName>
    <definedName name="OSRRefP22_6x_0" localSheetId="86">'492'!$P$57</definedName>
    <definedName name="OSRRefP22_6x_0" localSheetId="93">'501'!$P$52</definedName>
    <definedName name="OSRRefP22_6x_0" localSheetId="39">'Div 2'!$P$53</definedName>
    <definedName name="OSRRefP22_6x_0" localSheetId="47">'Div 3'!$P$148:$P$149</definedName>
    <definedName name="OSRRefP22_6x_0" localSheetId="70">'Div 4'!$P$63</definedName>
    <definedName name="OSRRefP22_6x_0" localSheetId="92">'Div 5'!$P$52</definedName>
    <definedName name="OSRRefP22_6x_0" localSheetId="61">'Div 6'!$P$79:$P$80</definedName>
    <definedName name="OSRRefP22_6x_0" localSheetId="2">Summary!$P$176:$P$177</definedName>
    <definedName name="OSRRefP22_7x_0" localSheetId="41">'201'!$P$52</definedName>
    <definedName name="OSRRefP22_7x_0" localSheetId="42">'202'!$P$53:$P$54</definedName>
    <definedName name="OSRRefP22_7x_0" localSheetId="43">'203'!$P$52:$P$53</definedName>
    <definedName name="OSRRefP22_7x_0" localSheetId="44">'204'!$P$55:$P$56</definedName>
    <definedName name="OSRRefP22_7x_0" localSheetId="45">'205'!$P$53</definedName>
    <definedName name="OSRRefP22_7x_0" localSheetId="46">'206'!$P$51</definedName>
    <definedName name="OSRRefP22_7x_0" localSheetId="48">'300'!$P$147:$P$148</definedName>
    <definedName name="OSRRefP22_7x_0" localSheetId="49">'300 &amp; 317'!$P$169:$P$170</definedName>
    <definedName name="OSRRefP22_7x_0" localSheetId="50">'301'!$P$53</definedName>
    <definedName name="OSRRefP22_7x_0" localSheetId="52">'307'!$P$70</definedName>
    <definedName name="OSRRefP22_7x_0" localSheetId="53">'308'!$P$86:$P$87</definedName>
    <definedName name="OSRRefP22_7x_0" localSheetId="64">'309'!$P$53:$P$54</definedName>
    <definedName name="OSRRefP22_7x_0" localSheetId="63">'310'!$P$60</definedName>
    <definedName name="OSRRefP22_7x_0" localSheetId="71">'310 &amp; 491'!$P$65</definedName>
    <definedName name="OSRRefP22_7x_0" localSheetId="54">'311'!$P$85:$P$86</definedName>
    <definedName name="OSRRefP22_7x_0" localSheetId="65">'313'!$P$55</definedName>
    <definedName name="OSRRefP22_7x_0" localSheetId="57">'315'!$P$108:$P$109</definedName>
    <definedName name="OSRRefP22_7x_0" localSheetId="60">'316'!$P$62:$P$63</definedName>
    <definedName name="OSRRefP22_7x_0" localSheetId="62">'317'!$P$82</definedName>
    <definedName name="OSRRefP22_7x_0" localSheetId="66">'321'!$P$56:$P$57</definedName>
    <definedName name="OSRRefP22_7x_0" localSheetId="67">'322'!$P$53:$P$54</definedName>
    <definedName name="OSRRefP22_7x_0" localSheetId="68">'325'!$P$56</definedName>
    <definedName name="OSRRefP22_7x_0" localSheetId="58">'326'!$P$75</definedName>
    <definedName name="OSRRefP22_7x_0" localSheetId="51">'330'!$P$70</definedName>
    <definedName name="OSRRefP22_7x_0" localSheetId="56">'331'!$P$108</definedName>
    <definedName name="OSRRefP22_7x_0" localSheetId="59">'332'!$P$62:$P$63</definedName>
    <definedName name="OSRRefP22_7x_0" localSheetId="73">'405'!$P$54</definedName>
    <definedName name="OSRRefP22_7x_0" localSheetId="75">'411'!$P$52</definedName>
    <definedName name="OSRRefP22_7x_0" localSheetId="76">'412'!$P$53</definedName>
    <definedName name="OSRRefP22_7x_0" localSheetId="77">'413'!$P$54</definedName>
    <definedName name="OSRRefP22_7x_0" localSheetId="78">'414'!$P$55</definedName>
    <definedName name="OSRRefP22_7x_0" localSheetId="79">'415'!$P$59</definedName>
    <definedName name="OSRRefP22_7x_0" localSheetId="80">'418'!$P$54</definedName>
    <definedName name="OSRRefP22_7x_0" localSheetId="88">'433'!$P$59</definedName>
    <definedName name="OSRRefP22_7x_0" localSheetId="90">'444'!$P$59</definedName>
    <definedName name="OSRRefP22_7x_0" localSheetId="91">'450'!$P$55</definedName>
    <definedName name="OSRRefP22_7x_0" localSheetId="72">'491'!$P$62</definedName>
    <definedName name="OSRRefP22_7x_0" localSheetId="86">'492'!$P$59</definedName>
    <definedName name="OSRRefP22_7x_0" localSheetId="93">'501'!$P$54</definedName>
    <definedName name="OSRRefP22_7x_0" localSheetId="39">'Div 2'!$P$55</definedName>
    <definedName name="OSRRefP22_7x_0" localSheetId="47">'Div 3'!$P$151:$P$152</definedName>
    <definedName name="OSRRefP22_7x_0" localSheetId="70">'Div 4'!$P$65</definedName>
    <definedName name="OSRRefP22_7x_0" localSheetId="92">'Div 5'!$P$54</definedName>
    <definedName name="OSRRefP22_7x_0" localSheetId="61">'Div 6'!$P$82</definedName>
    <definedName name="OSRRefP22_7x_0" localSheetId="2">Summary!$P$179:$P$180</definedName>
    <definedName name="OSRRefP22_8x_0" localSheetId="41">'201'!$P$54</definedName>
    <definedName name="OSRRefP22_8x_0" localSheetId="42">'202'!$P$56</definedName>
    <definedName name="OSRRefP22_8x_0" localSheetId="43">'203'!$P$55:$P$57</definedName>
    <definedName name="OSRRefP22_8x_0" localSheetId="44">'204'!$P$58</definedName>
    <definedName name="OSRRefP22_8x_0" localSheetId="46">'206'!$P$53:$P$54</definedName>
    <definedName name="OSRRefP22_8x_0" localSheetId="48">'300'!$P$150</definedName>
    <definedName name="OSRRefP22_8x_0" localSheetId="49">'300 &amp; 317'!$P$172</definedName>
    <definedName name="OSRRefP22_8x_0" localSheetId="50">'301'!$P$55</definedName>
    <definedName name="OSRRefP22_8x_0" localSheetId="52">'307'!$P$72</definedName>
    <definedName name="OSRRefP22_8x_0" localSheetId="53">'308'!$P$89</definedName>
    <definedName name="OSRRefP22_8x_0" localSheetId="64">'309'!$P$56:$P$57</definedName>
    <definedName name="OSRRefP22_8x_0" localSheetId="63">'310'!$P$62</definedName>
    <definedName name="OSRRefP22_8x_0" localSheetId="71">'310 &amp; 491'!$P$67:$P$68</definedName>
    <definedName name="OSRRefP22_8x_0" localSheetId="54">'311'!$P$88</definedName>
    <definedName name="OSRRefP22_8x_0" localSheetId="65">'313'!$P$57:$P$59</definedName>
    <definedName name="OSRRefP22_8x_0" localSheetId="57">'315'!$P$111</definedName>
    <definedName name="OSRRefP22_8x_0" localSheetId="60">'316'!$P$65</definedName>
    <definedName name="OSRRefP22_8x_0" localSheetId="62">'317'!$P$84</definedName>
    <definedName name="OSRRefP22_8x_0" localSheetId="66">'321'!$P$59:$P$60</definedName>
    <definedName name="OSRRefP22_8x_0" localSheetId="67">'322'!$P$56:$P$57</definedName>
    <definedName name="OSRRefP22_8x_0" localSheetId="68">'325'!$P$58</definedName>
    <definedName name="OSRRefP22_8x_0" localSheetId="58">'326'!$P$77:$P$78</definedName>
    <definedName name="OSRRefP22_8x_0" localSheetId="51">'330'!$P$72</definedName>
    <definedName name="OSRRefP22_8x_0" localSheetId="56">'331'!$P$110:$P$111</definedName>
    <definedName name="OSRRefP22_8x_0" localSheetId="59">'332'!$P$65</definedName>
    <definedName name="OSRRefP22_8x_0" localSheetId="73">'405'!$P$56:$P$57</definedName>
    <definedName name="OSRRefP22_8x_0" localSheetId="75">'411'!$P$54</definedName>
    <definedName name="OSRRefP22_8x_0" localSheetId="76">'412'!$P$55:$P$56</definedName>
    <definedName name="OSRRefP22_8x_0" localSheetId="77">'413'!$P$56:$P$58</definedName>
    <definedName name="OSRRefP22_8x_0" localSheetId="78">'414'!$P$57:$P$58</definedName>
    <definedName name="OSRRefP22_8x_0" localSheetId="79">'415'!$P$61</definedName>
    <definedName name="OSRRefP22_8x_0" localSheetId="80">'418'!$P$56:$P$58</definedName>
    <definedName name="OSRRefP22_8x_0" localSheetId="88">'433'!$P$61</definedName>
    <definedName name="OSRRefP22_8x_0" localSheetId="90">'444'!$P$61</definedName>
    <definedName name="OSRRefP22_8x_0" localSheetId="91">'450'!$P$57</definedName>
    <definedName name="OSRRefP22_8x_0" localSheetId="72">'491'!$P$64</definedName>
    <definedName name="OSRRefP22_8x_0" localSheetId="86">'492'!$P$61</definedName>
    <definedName name="OSRRefP22_8x_0" localSheetId="93">'501'!$P$56</definedName>
    <definedName name="OSRRefP22_8x_0" localSheetId="39">'Div 2'!$P$57</definedName>
    <definedName name="OSRRefP22_8x_0" localSheetId="47">'Div 3'!$P$154</definedName>
    <definedName name="OSRRefP22_8x_0" localSheetId="70">'Div 4'!$P$67</definedName>
    <definedName name="OSRRefP22_8x_0" localSheetId="92">'Div 5'!$P$56</definedName>
    <definedName name="OSRRefP22_8x_0" localSheetId="61">'Div 6'!$P$84</definedName>
    <definedName name="OSRRefP22_8x_0" localSheetId="2">Summary!$P$182</definedName>
    <definedName name="OSRRefP22_9x_0" localSheetId="41">'201'!$P$56</definedName>
    <definedName name="OSRRefP22_9x_0" localSheetId="42">'202'!$P$58:$P$60</definedName>
    <definedName name="OSRRefP22_9x_0" localSheetId="43">'203'!$P$59</definedName>
    <definedName name="OSRRefP22_9x_0" localSheetId="44">'204'!$P$60:$P$61</definedName>
    <definedName name="OSRRefP22_9x_0" localSheetId="46">'206'!$P$56</definedName>
    <definedName name="OSRRefP22_9x_0" localSheetId="48">'300'!$P$152</definedName>
    <definedName name="OSRRefP22_9x_0" localSheetId="49">'300 &amp; 317'!$P$174</definedName>
    <definedName name="OSRRefP22_9x_0" localSheetId="50">'301'!$P$57</definedName>
    <definedName name="OSRRefP22_9x_0" localSheetId="52">'307'!$P$74:$P$75</definedName>
    <definedName name="OSRRefP22_9x_0" localSheetId="53">'308'!$P$91:$P$92</definedName>
    <definedName name="OSRRefP22_9x_0" localSheetId="64">'309'!$P$59</definedName>
    <definedName name="OSRRefP22_9x_0" localSheetId="63">'310'!$P$64</definedName>
    <definedName name="OSRRefP22_9x_0" localSheetId="71">'310 &amp; 491'!$P$70</definedName>
    <definedName name="OSRRefP22_9x_0" localSheetId="54">'311'!$P$90:$P$91</definedName>
    <definedName name="OSRRefP22_9x_0" localSheetId="65">'313'!$P$61:$P$62</definedName>
    <definedName name="OSRRefP22_9x_0" localSheetId="57">'315'!$P$113</definedName>
    <definedName name="OSRRefP22_9x_0" localSheetId="60">'316'!$P$67:$P$71</definedName>
    <definedName name="OSRRefP22_9x_0" localSheetId="62">'317'!$P$86</definedName>
    <definedName name="OSRRefP22_9x_0" localSheetId="66">'321'!$P$62:$P$63</definedName>
    <definedName name="OSRRefP22_9x_0" localSheetId="67">'322'!$P$59:$P$62</definedName>
    <definedName name="OSRRefP22_9x_0" localSheetId="68">'325'!$P$60</definedName>
    <definedName name="OSRRefP22_9x_0" localSheetId="58">'326'!$P$80</definedName>
    <definedName name="OSRRefP22_9x_0" localSheetId="51">'330'!$P$74:$P$75</definedName>
    <definedName name="OSRRefP22_9x_0" localSheetId="56">'331'!$P$113:$P$114</definedName>
    <definedName name="OSRRefP22_9x_0" localSheetId="59">'332'!$P$67:$P$71</definedName>
    <definedName name="OSRRefP22_9x_0" localSheetId="73">'405'!$P$59</definedName>
    <definedName name="OSRRefP22_9x_0" localSheetId="75">'411'!$P$56:$P$57</definedName>
    <definedName name="OSRRefP22_9x_0" localSheetId="76">'412'!$P$58</definedName>
    <definedName name="OSRRefP22_9x_0" localSheetId="77">'413'!$P$60:$P$61</definedName>
    <definedName name="OSRRefP22_9x_0" localSheetId="78">'414'!$P$60</definedName>
    <definedName name="OSRRefP22_9x_0" localSheetId="79">'415'!$P$63</definedName>
    <definedName name="OSRRefP22_9x_0" localSheetId="80">'418'!$P$60:$P$61</definedName>
    <definedName name="OSRRefP22_9x_0" localSheetId="88">'433'!$P$63</definedName>
    <definedName name="OSRRefP22_9x_0" localSheetId="90">'444'!$P$63</definedName>
    <definedName name="OSRRefP22_9x_0" localSheetId="91">'450'!$P$59</definedName>
    <definedName name="OSRRefP22_9x_0" localSheetId="72">'491'!$P$66</definedName>
    <definedName name="OSRRefP22_9x_0" localSheetId="86">'492'!$P$63</definedName>
    <definedName name="OSRRefP22_9x_0" localSheetId="93">'501'!$P$58:$P$61</definedName>
    <definedName name="OSRRefP22_9x_0" localSheetId="39">'Div 2'!$P$59:$P$60</definedName>
    <definedName name="OSRRefP22_9x_0" localSheetId="47">'Div 3'!$P$156</definedName>
    <definedName name="OSRRefP22_9x_0" localSheetId="70">'Div 4'!$P$69</definedName>
    <definedName name="OSRRefP22_9x_0" localSheetId="92">'Div 5'!$P$58:$P$61</definedName>
    <definedName name="OSRRefP22_9x_0" localSheetId="61">'Div 6'!$P$86</definedName>
    <definedName name="OSRRefP22_9x_0" localSheetId="2">Summary!$P$184</definedName>
    <definedName name="OSRRefP22x_0" localSheetId="40">'200'!$P$20,'200'!$P$22,'200'!$P$24,'200'!$P$26:$P$27</definedName>
    <definedName name="OSRRefP22x_0" localSheetId="41">'201'!$P$21:$P$29,'201'!$P$31:$P$40,'201'!$P$42,'201'!$P$44,'201'!$P$46,'201'!$P$48,'201'!$P$50,'201'!$P$52,'201'!$P$54,'201'!$P$56,'201'!$P$58:$P$59,'201'!$P$61,'201'!$P$63,'201'!$P$65:$P$67,'201'!$P$69,'201'!$P$71</definedName>
    <definedName name="OSRRefP22x_0" localSheetId="42">'202'!$P$21:$P$29,'202'!$P$31:$P$40,'202'!$P$42,'202'!$P$44,'202'!$P$46:$P$47,'202'!$P$49,'202'!$P$51,'202'!$P$53:$P$54,'202'!$P$56,'202'!$P$58:$P$60,'202'!$P$62,'202'!$P$64,'202'!$P$66</definedName>
    <definedName name="OSRRefP22x_0" localSheetId="43">'203'!$P$20:$P$29,'203'!$P$31:$P$40,'203'!$P$42,'203'!$P$44,'203'!$P$46,'203'!$P$48,'203'!$P$50,'203'!$P$52:$P$53,'203'!$P$55:$P$57,'203'!$P$59,'203'!$P$61,'203'!$P$63:$P$65,'203'!$P$67,'203'!$P$69</definedName>
    <definedName name="OSRRefP22x_0" localSheetId="44">'204'!$P$20:$P$29,'204'!$P$31:$P$40,'204'!$P$42,'204'!$P$44:$P$45,'204'!$P$47,'204'!$P$49,'204'!$P$51:$P$53,'204'!$P$55:$P$56,'204'!$P$58,'204'!$P$60:$P$61,'204'!$P$63</definedName>
    <definedName name="OSRRefP22x_0" localSheetId="45">'205'!$P$20:$P$28,'205'!$P$30:$P$39,'205'!$P$41,'205'!$P$43,'205'!$P$45:$P$46,'205'!$P$48,'205'!$P$50:$P$51,'205'!$P$53</definedName>
    <definedName name="OSRRefP22x_0" localSheetId="46">'206'!$P$20:$P$28,'206'!$P$30:$P$39,'206'!$P$41,'206'!$P$43,'206'!$P$45,'206'!$P$47,'206'!$P$49,'206'!$P$51,'206'!$P$53:$P$54,'206'!$P$56</definedName>
    <definedName name="OSRRefP22x_0" localSheetId="48">'300'!$P$112:$P$121,'300'!$P$123:$P$132,'300'!$P$134,'300'!$P$136:$P$137,'300'!$P$139,'300'!$P$141:$P$142,'300'!$P$144:$P$145,'300'!$P$147:$P$148,'300'!$P$150,'300'!$P$152,'300'!$P$154:$P$155,'300'!$P$157:$P$159,'300'!$P$161,'300'!$P$163,'300'!$P$165,'300'!$P$167,'300'!$P$169:$P$172,'300'!$P$174:$P$177,'300'!$P$179:$P$182,'300'!$P$184:$P$185,'300'!$P$187:$P$195,'300'!$P$197:$P$198,'300'!$P$200,'300'!$P$202:$P$204,'300'!$P$206</definedName>
    <definedName name="OSRRefP22x_0" localSheetId="49">'300 &amp; 317'!$P$134:$P$143,'300 &amp; 317'!$P$145:$P$154,'300 &amp; 317'!$P$156,'300 &amp; 317'!$P$158:$P$159,'300 &amp; 317'!$P$161,'300 &amp; 317'!$P$163:$P$164,'300 &amp; 317'!$P$166:$P$167,'300 &amp; 317'!$P$169:$P$170,'300 &amp; 317'!$P$172,'300 &amp; 317'!$P$174,'300 &amp; 317'!$P$176:$P$177,'300 &amp; 317'!$P$179:$P$181,'300 &amp; 317'!$P$183,'300 &amp; 317'!$P$185,'300 &amp; 317'!$P$187,'300 &amp; 317'!$P$189,'300 &amp; 317'!$P$191:$P$194,'300 &amp; 317'!$P$196:$P$199,'300 &amp; 317'!$P$201:$P$204,'300 &amp; 317'!$P$206:$P$207,'300 &amp; 317'!$P$209:$P$217,'300 &amp; 317'!$P$219:$P$220,'300 &amp; 317'!$P$222,'300 &amp; 317'!$P$224:$P$226,'300 &amp; 317'!$P$228</definedName>
    <definedName name="OSRRefP22x_0" localSheetId="50">'301'!$P$20:$P$28,'301'!$P$30:$P$39,'301'!$P$41:$P$42,'301'!$P$44,'301'!$P$46:$P$47,'301'!$P$49,'301'!$P$51,'301'!$P$53,'301'!$P$55,'301'!$P$57,'301'!$P$59,'301'!$P$61,'301'!$P$63,'301'!$P$65:$P$68,'301'!$P$70:$P$72,'301'!$P$74,'301'!$P$76:$P$82,'301'!$P$84,'301'!$P$86,'301'!$P$88,'301'!$P$90</definedName>
    <definedName name="OSRRefP22x_0" localSheetId="52">'307'!$P$39:$P$46,'307'!$P$48:$P$57,'307'!$P$59,'307'!$P$61,'307'!$P$63,'307'!$P$65:$P$66,'307'!$P$68,'307'!$P$70,'307'!$P$72,'307'!$P$74:$P$75,'307'!$P$77:$P$78,'307'!$P$80:$P$83,'307'!$P$85:$P$86,'307'!$P$88</definedName>
    <definedName name="OSRRefP22x_0" localSheetId="53">'308'!$P$54:$P$63,'308'!$P$65:$P$74,'308'!$P$76,'308'!$P$78,'308'!$P$80,'308'!$P$82,'308'!$P$84,'308'!$P$86:$P$87,'308'!$P$89,'308'!$P$91:$P$92,'308'!$P$94,'308'!$P$96:$P$98,'308'!$P$100:$P$101,'308'!$P$103</definedName>
    <definedName name="OSRRefP22x_0" localSheetId="64">'309'!$P$22:$P$29,'309'!$P$31:$P$40,'309'!$P$42,'309'!$P$44,'309'!$P$46,'309'!$P$48,'309'!$P$50:$P$51,'309'!$P$53:$P$54,'309'!$P$56:$P$57,'309'!$P$59</definedName>
    <definedName name="OSRRefP22x_0" localSheetId="63">'310'!$P$28:$P$36,'310'!$P$38:$P$47,'310'!$P$49,'310'!$P$51,'310'!$P$53,'310'!$P$55:$P$56,'310'!$P$58,'310'!$P$60,'310'!$P$62,'310'!$P$64,'310'!$P$66,'310'!$P$68,'310'!$P$70:$P$73,'310'!$P$75:$P$76,'310'!$P$78:$P$81,'310'!$P$83,'310'!$P$85:$P$91,'310'!$P$93:$P$94,'310'!$P$96,'310'!$P$98,'310'!$P$100</definedName>
    <definedName name="OSRRefP22x_0" localSheetId="71">'310 &amp; 491'!$P$32:$P$40,'310 &amp; 491'!$P$42:$P$51,'310 &amp; 491'!$P$53,'310 &amp; 491'!$P$55,'310 &amp; 491'!$P$57,'310 &amp; 491'!$P$59:$P$61,'310 &amp; 491'!$P$63,'310 &amp; 491'!$P$65,'310 &amp; 491'!$P$67:$P$68,'310 &amp; 491'!$P$70,'310 &amp; 491'!$P$72,'310 &amp; 491'!$P$74,'310 &amp; 491'!$P$76,'310 &amp; 491'!$P$78:$P$81,'310 &amp; 491'!$P$83:$P$84,'310 &amp; 491'!$P$86:$P$90,'310 &amp; 491'!$P$92,'310 &amp; 491'!$P$94:$P$104,'310 &amp; 491'!$P$106:$P$107,'310 &amp; 491'!$P$109,'310 &amp; 491'!$P$111:$P$113,'310 &amp; 491'!$P$115</definedName>
    <definedName name="OSRRefP22x_0" localSheetId="54">'311'!$P$53:$P$62,'311'!$P$64:$P$73,'311'!$P$75,'311'!$P$77,'311'!$P$79,'311'!$P$81,'311'!$P$83,'311'!$P$85:$P$86,'311'!$P$88,'311'!$P$90:$P$91,'311'!$P$93,'311'!$P$95:$P$97,'311'!$P$99:$P$100,'311'!$P$102</definedName>
    <definedName name="OSRRefP22x_0" localSheetId="65">'313'!$P$23:$P$31,'313'!$P$33:$P$42,'313'!$P$44,'313'!$P$46,'313'!$P$48,'313'!$P$50,'313'!$P$52:$P$53,'313'!$P$55,'313'!$P$57:$P$59,'313'!$P$61:$P$62,'313'!$P$64,'313'!$P$66</definedName>
    <definedName name="OSRRefP22x_0" localSheetId="57">'315'!$P$77:$P$85,'315'!$P$87:$P$96,'315'!$P$98,'315'!$P$100,'315'!$P$102,'315'!$P$104,'315'!$P$106,'315'!$P$108:$P$109,'315'!$P$111,'315'!$P$113,'315'!$P$115,'315'!$P$117,'315'!$P$119:$P$121,'315'!$P$123:$P$124,'315'!$P$126:$P$132,'315'!$P$134,'315'!$P$136:$P$137</definedName>
    <definedName name="OSRRefP22x_0" localSheetId="60">'316'!$P$30:$P$38,'316'!$P$40:$P$49,'316'!$P$51,'316'!$P$53,'316'!$P$55,'316'!$P$57,'316'!$P$59:$P$60,'316'!$P$62:$P$63,'316'!$P$65,'316'!$P$67:$P$71,'316'!$P$73,'316'!$P$75</definedName>
    <definedName name="OSRRefP22x_0" localSheetId="62">'317'!$P$49:$P$58,'317'!$P$60:$P$69,'317'!$P$71,'317'!$P$73,'317'!$P$75,'317'!$P$77,'317'!$P$79:$P$80,'317'!$P$82,'317'!$P$84,'317'!$P$86,'317'!$P$88:$P$90,'317'!$P$92,'317'!$P$94</definedName>
    <definedName name="OSRRefP22x_0" localSheetId="66">'321'!$P$25:$P$33,'321'!$P$35:$P$44,'321'!$P$46,'321'!$P$48,'321'!$P$50,'321'!$P$52,'321'!$P$54,'321'!$P$56:$P$57,'321'!$P$59:$P$60,'321'!$P$62:$P$63,'321'!$P$65:$P$67,'321'!$P$69:$P$70,'321'!$P$72,'321'!$P$74</definedName>
    <definedName name="OSRRefP22x_0" localSheetId="67">'322'!$P$23:$P$30,'322'!$P$32:$P$41,'322'!$P$43,'322'!$P$45,'322'!$P$47,'322'!$P$49,'322'!$P$51,'322'!$P$53:$P$54,'322'!$P$56:$P$57,'322'!$P$59:$P$62,'322'!$P$64,'322'!$P$66</definedName>
    <definedName name="OSRRefP22x_0" localSheetId="55">'324'!$P$27:$P$34,'324'!$P$36:$P$45</definedName>
    <definedName name="OSRRefP22x_0" localSheetId="68">'325'!$P$25:$P$32,'325'!$P$34:$P$43,'325'!$P$45,'325'!$P$47,'325'!$P$49,'325'!$P$51:$P$52,'325'!$P$54,'325'!$P$56,'325'!$P$58,'325'!$P$60,'325'!$P$62:$P$65,'325'!$P$67:$P$69,'325'!$P$71,'325'!$P$73:$P$77,'325'!$P$79:$P$80,'325'!$P$82,'325'!$P$84</definedName>
    <definedName name="OSRRefP22x_0" localSheetId="58">'326'!$P$44:$P$52,'326'!$P$54:$P$63,'326'!$P$65,'326'!$P$67,'326'!$P$69,'326'!$P$71,'326'!$P$73,'326'!$P$75,'326'!$P$77:$P$78,'326'!$P$80,'326'!$P$82,'326'!$P$84,'326'!$P$86,'326'!$P$88:$P$89,'326'!$P$91:$P$93,'326'!$P$95:$P$96,'326'!$P$98:$P$103,'326'!$P$105:$P$106,'326'!$P$108,'326'!$P$110:$P$111,'326'!$P$113</definedName>
    <definedName name="OSRRefP22x_0" localSheetId="69">'327'!$P$24</definedName>
    <definedName name="OSRRefP22x_0" localSheetId="51">'330'!$P$39:$P$46,'330'!$P$48:$P$57,'330'!$P$59,'330'!$P$61,'330'!$P$63,'330'!$P$65:$P$66,'330'!$P$68,'330'!$P$70,'330'!$P$72,'330'!$P$74:$P$75,'330'!$P$77:$P$78,'330'!$P$80:$P$83,'330'!$P$85:$P$86,'330'!$P$88</definedName>
    <definedName name="OSRRefP22x_0" localSheetId="56">'331'!$P$77:$P$85,'331'!$P$87:$P$96,'331'!$P$98,'331'!$P$100,'331'!$P$102,'331'!$P$104,'331'!$P$106,'331'!$P$108,'331'!$P$110:$P$111,'331'!$P$113:$P$114,'331'!$P$116,'331'!$P$118,'331'!$P$120,'331'!$P$122,'331'!$P$124:$P$125,'331'!$P$127:$P$129,'331'!$P$131:$P$133,'331'!$P$135:$P$136,'331'!$P$138:$P$145,'331'!$P$147:$P$148,'331'!$P$150,'331'!$P$152:$P$153,'331'!$P$155</definedName>
    <definedName name="OSRRefP22x_0" localSheetId="59">'332'!$P$30:$P$38,'332'!$P$40:$P$49,'332'!$P$51,'332'!$P$53,'332'!$P$55,'332'!$P$57,'332'!$P$59:$P$60,'332'!$P$62:$P$63,'332'!$P$65,'332'!$P$67:$P$71,'332'!$P$73,'332'!$P$75</definedName>
    <definedName name="OSRRefP22x_0" localSheetId="73">'405'!$P$23:$P$30,'405'!$P$32:$P$41,'405'!$P$43,'405'!$P$45,'405'!$P$47:$P$48,'405'!$P$50,'405'!$P$52,'405'!$P$54,'405'!$P$56:$P$57,'405'!$P$59,'405'!$P$61:$P$64,'405'!$P$66,'405'!$P$68:$P$76,'405'!$P$78,'405'!$P$80,'405'!$P$82</definedName>
    <definedName name="OSRRefP22x_0" localSheetId="74">'406'!$P$20,'406'!$P$22,'406'!$P$24,'406'!$P$26,'406'!$P$28</definedName>
    <definedName name="OSRRefP22x_0" localSheetId="75">'411'!$P$20:$P$28,'411'!$P$30:$P$39,'411'!$P$41,'411'!$P$43,'411'!$P$45:$P$46,'411'!$P$48,'411'!$P$50,'411'!$P$52,'411'!$P$54,'411'!$P$56:$P$57,'411'!$P$59:$P$62,'411'!$P$64:$P$70,'411'!$P$72,'411'!$P$74,'411'!$P$76</definedName>
    <definedName name="OSRRefP22x_0" localSheetId="76">'412'!$P$22:$P$29,'412'!$P$31:$P$40,'412'!$P$42,'412'!$P$44,'412'!$P$46:$P$47,'412'!$P$49,'412'!$P$51,'412'!$P$53,'412'!$P$55:$P$56,'412'!$P$58,'412'!$P$60:$P$63,'412'!$P$65:$P$69,'412'!$P$71:$P$72,'412'!$P$74</definedName>
    <definedName name="OSRRefP22x_0" localSheetId="77">'413'!$P$23:$P$31,'413'!$P$33:$P$42,'413'!$P$44,'413'!$P$46,'413'!$P$48,'413'!$P$50,'413'!$P$52,'413'!$P$54,'413'!$P$56:$P$58,'413'!$P$60:$P$61,'413'!$P$63:$P$70,'413'!$P$72:$P$73,'413'!$P$75</definedName>
    <definedName name="OSRRefP22x_0" localSheetId="78">'414'!$P$24:$P$32,'414'!$P$34:$P$43,'414'!$P$45,'414'!$P$47,'414'!$P$49,'414'!$P$51,'414'!$P$53,'414'!$P$55,'414'!$P$57:$P$58,'414'!$P$60,'414'!$P$62,'414'!$P$64,'414'!$P$66:$P$68,'414'!$P$70,'414'!$P$72,'414'!$P$74</definedName>
    <definedName name="OSRRefP22x_0" localSheetId="79">'415'!$P$27:$P$35,'415'!$P$37:$P$46,'415'!$P$48,'415'!$P$50,'415'!$P$52,'415'!$P$54:$P$55,'415'!$P$57,'415'!$P$59,'415'!$P$61,'415'!$P$63,'415'!$P$65:$P$66,'415'!$P$68:$P$72,'415'!$P$74,'415'!$P$76:$P$82,'415'!$P$84:$P$85,'415'!$P$87:$P$88,'415'!$P$90</definedName>
    <definedName name="OSRRefP22x_0" localSheetId="80">'418'!$P$23:$P$30,'418'!$P$32:$P$41,'418'!$P$43,'418'!$P$45,'418'!$P$47:$P$48,'418'!$P$50,'418'!$P$52,'418'!$P$54,'418'!$P$56:$P$58,'418'!$P$60:$P$61,'418'!$P$63,'418'!$P$65:$P$74,'418'!$P$76:$P$77,'418'!$P$79</definedName>
    <definedName name="OSRRefP22x_0" localSheetId="82">'423'!$P$20:$P$27,'423'!$P$29:$P$38,'423'!$P$40,'423'!$P$42:$P$43,'423'!$P$45,'423'!$P$47,'423'!$P$49</definedName>
    <definedName name="OSRRefP22x_0" localSheetId="83">'424'!$P$20,'424'!$P$22,'424'!$P$24,'424'!$P$26</definedName>
    <definedName name="OSRRefP22x_0" localSheetId="84">'425'!$P$20:$P$24,'425'!$P$26,'425'!$P$28,'425'!$P$30,'425'!$P$32</definedName>
    <definedName name="OSRRefP22x_0" localSheetId="87">'430'!$P$20:$P$28,'430'!$P$30:$P$39,'430'!$P$41,'430'!$P$43:$P$45,'430'!$P$47:$P$48,'430'!$P$50,'430'!$P$52</definedName>
    <definedName name="OSRRefP22x_0" localSheetId="88">'433'!$P$27:$P$36,'433'!$P$38:$P$47,'433'!$P$49,'433'!$P$51,'433'!$P$53,'433'!$P$55,'433'!$P$57,'433'!$P$59,'433'!$P$61,'433'!$P$63,'433'!$P$65,'433'!$P$67:$P$68,'433'!$P$70:$P$73,'433'!$P$75:$P$82,'433'!$P$84</definedName>
    <definedName name="OSRRefP22x_0" localSheetId="89">'435'!$P$20</definedName>
    <definedName name="OSRRefP22x_0" localSheetId="90">'444'!$P$27:$P$36,'444'!$P$38:$P$47,'444'!$P$49,'444'!$P$51,'444'!$P$53,'444'!$P$55,'444'!$P$57,'444'!$P$59,'444'!$P$61,'444'!$P$63,'444'!$P$65,'444'!$P$67:$P$69,'444'!$P$71:$P$73,'444'!$P$75:$P$83,'444'!$P$85:$P$86,'444'!$P$88</definedName>
    <definedName name="OSRRefP22x_0" localSheetId="91">'450'!$P$23:$P$32,'450'!$P$34:$P$43,'450'!$P$45,'450'!$P$47,'450'!$P$49,'450'!$P$51,'450'!$P$53,'450'!$P$55,'450'!$P$57,'450'!$P$59,'450'!$P$61,'450'!$P$63,'450'!$P$65,'450'!$P$67:$P$69,'450'!$P$71:$P$77,'450'!$P$79:$P$80,'450'!$P$82</definedName>
    <definedName name="OSRRefP22x_0" localSheetId="72">'491'!$P$29:$P$37,'491'!$P$39:$P$48,'491'!$P$50,'491'!$P$52,'491'!$P$54,'491'!$P$56:$P$58,'491'!$P$60,'491'!$P$62,'491'!$P$64,'491'!$P$66,'491'!$P$68,'491'!$P$70,'491'!$P$72,'491'!$P$74:$P$77,'491'!$P$79:$P$80,'491'!$P$82:$P$86,'491'!$P$88,'491'!$P$90:$P$100,'491'!$P$102:$P$103,'491'!$P$105,'491'!$P$107:$P$109,'491'!$P$111</definedName>
    <definedName name="OSRRefP22x_0" localSheetId="86">'492'!$P$27:$P$36,'492'!$P$38:$P$47,'492'!$P$49,'492'!$P$51,'492'!$P$53,'492'!$P$55,'492'!$P$57,'492'!$P$59,'492'!$P$61,'492'!$P$63,'492'!$P$65,'492'!$P$67,'492'!$P$69:$P$71,'492'!$P$73:$P$76,'492'!$P$78:$P$87,'492'!$P$89:$P$90,'492'!$P$92,'492'!$P$94</definedName>
    <definedName name="OSRRefP22x_0" localSheetId="93">'501'!$P$21:$P$30,'501'!$P$32:$P$41,'501'!$P$43,'501'!$P$45,'501'!$P$47,'501'!$P$49:$P$50,'501'!$P$52,'501'!$P$54,'501'!$P$56,'501'!$P$58:$P$61,'501'!$P$63:$P$64,'501'!$P$66</definedName>
    <definedName name="OSRRefP22x_0" localSheetId="39">'Div 2'!$P$21:$P$31,'Div 2'!$P$33:$P$42,'Div 2'!$P$44,'Div 2'!$P$46,'Div 2'!$P$48,'Div 2'!$P$50:$P$51,'Div 2'!$P$53,'Div 2'!$P$55,'Div 2'!$P$57,'Div 2'!$P$59:$P$60,'Div 2'!$P$62,'Div 2'!$P$64:$P$65,'Div 2'!$P$67:$P$70,'Div 2'!$P$72:$P$75,'Div 2'!$P$77:$P$78,'Div 2'!$P$80:$P$81,'Div 2'!$P$83:$P$87,'Div 2'!$P$89:$P$90,'Div 2'!$P$92,'Div 2'!$P$94:$P$95</definedName>
    <definedName name="OSRRefP22x_0" localSheetId="47">'Div 3'!$P$116:$P$125,'Div 3'!$P$127:$P$136,'Div 3'!$P$138,'Div 3'!$P$140:$P$141,'Div 3'!$P$143,'Div 3'!$P$145:$P$146,'Div 3'!$P$148:$P$149,'Div 3'!$P$151:$P$152,'Div 3'!$P$154,'Div 3'!$P$156,'Div 3'!$P$158:$P$159,'Div 3'!$P$161:$P$163,'Div 3'!$P$165,'Div 3'!$P$167,'Div 3'!$P$169,'Div 3'!$P$171,'Div 3'!$P$173,'Div 3'!$P$175:$P$178,'Div 3'!$P$180:$P$183,'Div 3'!$P$185:$P$189,'Div 3'!$P$191:$P$192,'Div 3'!$P$194:$P$202,'Div 3'!$P$204:$P$205,'Div 3'!$P$207,'Div 3'!$P$209:$P$211,'Div 3'!$P$213</definedName>
    <definedName name="OSRRefP22x_0" localSheetId="70">'Div 4'!$P$31:$P$40,'Div 4'!$P$42:$P$51,'Div 4'!$P$53,'Div 4'!$P$55,'Div 4'!$P$57,'Div 4'!$P$59:$P$61,'Div 4'!$P$63,'Div 4'!$P$65,'Div 4'!$P$67,'Div 4'!$P$69,'Div 4'!$P$71,'Div 4'!$P$73,'Div 4'!$P$75,'Div 4'!$P$77,'Div 4'!$P$79,'Div 4'!$P$81:$P$84,'Div 4'!$P$86:$P$87,'Div 4'!$P$89:$P$93,'Div 4'!$P$95,'Div 4'!$P$97:$P$107,'Div 4'!$P$109:$P$110,'Div 4'!$P$112,'Div 4'!$P$114:$P$116,'Div 4'!$P$118</definedName>
    <definedName name="OSRRefP22x_0" localSheetId="92">'Div 5'!$P$21:$P$30,'Div 5'!$P$32:$P$41,'Div 5'!$P$43,'Div 5'!$P$45,'Div 5'!$P$47,'Div 5'!$P$49:$P$50,'Div 5'!$P$52,'Div 5'!$P$54,'Div 5'!$P$56,'Div 5'!$P$58:$P$61,'Div 5'!$P$63:$P$64,'Div 5'!$P$66</definedName>
    <definedName name="OSRRefP22x_0" localSheetId="61">'Div 6'!$P$49:$P$58,'Div 6'!$P$60:$P$69,'Div 6'!$P$71,'Div 6'!$P$73,'Div 6'!$P$75,'Div 6'!$P$77,'Div 6'!$P$79:$P$80,'Div 6'!$P$82,'Div 6'!$P$84,'Div 6'!$P$86,'Div 6'!$P$88:$P$90,'Div 6'!$P$92,'Div 6'!$P$94</definedName>
    <definedName name="OSRRefP22x_0" localSheetId="2">Summary!$P$143:$P$152,Summary!$P$154:$P$163,Summary!$P$165,Summary!$P$167:$P$168,Summary!$P$170,Summary!$P$172:$P$174,Summary!$P$176:$P$177,Summary!$P$179:$P$180,Summary!$P$182,Summary!$P$184,Summary!$P$186:$P$187,Summary!$P$189:$P$191,Summary!$P$193,Summary!$P$195,Summary!$P$197,Summary!$P$199,Summary!$P$201,Summary!$P$203,Summary!$P$205:$P$208,Summary!$P$210:$P$213,Summary!$P$215:$P$219,Summary!$P$221:$P$222,Summary!$P$224:$P$234,Summary!$P$236:$P$237,Summary!$P$239,Summary!$P$241:$P$243,Summary!$P$245</definedName>
    <definedName name="OSRRefP25x_0" localSheetId="42">'202'!$P$69:$P$71</definedName>
    <definedName name="OSRRefP25x_0" localSheetId="48">'300'!$P$209:$P$212</definedName>
    <definedName name="OSRRefP25x_0" localSheetId="49">'300 &amp; 317'!$P$231:$P$235</definedName>
    <definedName name="OSRRefP25x_0" localSheetId="50">'301'!$P$93:$P$94</definedName>
    <definedName name="OSRRefP25x_0" localSheetId="53">'308'!$P$106:$P$108</definedName>
    <definedName name="OSRRefP25x_0" localSheetId="71">'310 &amp; 491'!$P$118:$P$121</definedName>
    <definedName name="OSRRefP25x_0" localSheetId="54">'311'!$P$105:$P$107</definedName>
    <definedName name="OSRRefP25x_0" localSheetId="57">'315'!$P$140:$P$142</definedName>
    <definedName name="OSRRefP25x_0" localSheetId="60">'316'!$P$78</definedName>
    <definedName name="OSRRefP25x_0" localSheetId="62">'317'!$P$97:$P$98</definedName>
    <definedName name="OSRRefP25x_0" localSheetId="56">'331'!$P$158:$P$160</definedName>
    <definedName name="OSRRefP25x_0" localSheetId="59">'332'!$P$78</definedName>
    <definedName name="OSRRefP25x_0" localSheetId="75">'411'!$P$79:$P$80</definedName>
    <definedName name="OSRRefP25x_0" localSheetId="80">'418'!$P$82</definedName>
    <definedName name="OSRRefP25x_0" localSheetId="82">'423'!$P$52:$P$54</definedName>
    <definedName name="OSRRefP25x_0" localSheetId="85">'455'!$P$21:$P$22</definedName>
    <definedName name="OSRRefP25x_0" localSheetId="72">'491'!$P$114:$P$117</definedName>
    <definedName name="OSRRefP25x_0" localSheetId="93">'501'!$P$69</definedName>
    <definedName name="OSRRefP25x_0" localSheetId="39">'Div 2'!$P$98:$P$100</definedName>
    <definedName name="OSRRefP25x_0" localSheetId="47">'Div 3'!$P$216:$P$219</definedName>
    <definedName name="OSRRefP25x_0" localSheetId="70">'Div 4'!$P$121:$P$124</definedName>
    <definedName name="OSRRefP25x_0" localSheetId="92">'Div 5'!$P$69</definedName>
    <definedName name="OSRRefP25x_0" localSheetId="61">'Div 6'!$P$97:$P$98</definedName>
    <definedName name="OSRRefP25x_0" localSheetId="2">Summary!$P$248:$P$254</definedName>
    <definedName name="OSRRefT13x_0" localSheetId="41">'201'!$T$13</definedName>
    <definedName name="OSRRefT13x_0" localSheetId="42">'202'!$T$13</definedName>
    <definedName name="OSRRefT13x_0" localSheetId="48">'300'!$T$13:$T$73</definedName>
    <definedName name="OSRRefT13x_0" localSheetId="49">'300 &amp; 317'!$T$13:$T$87</definedName>
    <definedName name="OSRRefT13x_0" localSheetId="52">'307'!$T$13:$T$23</definedName>
    <definedName name="OSRRefT13x_0" localSheetId="53">'308'!$T$13:$T$33</definedName>
    <definedName name="OSRRefT13x_0" localSheetId="64">'309'!$T$13</definedName>
    <definedName name="OSRRefT13x_0" localSheetId="63">'310'!$T$13:$T$17</definedName>
    <definedName name="OSRRefT13x_0" localSheetId="71">'310 &amp; 491'!$T$13:$T$21</definedName>
    <definedName name="OSRRefT13x_0" localSheetId="54">'311'!$T$13:$T$32</definedName>
    <definedName name="OSRRefT13x_0" localSheetId="65">'313'!$T$13</definedName>
    <definedName name="OSRRefT13x_0" localSheetId="57">'315'!$T$13:$T$48</definedName>
    <definedName name="OSRRefT13x_0" localSheetId="60">'316'!$T$13:$T$22</definedName>
    <definedName name="OSRRefT13x_0" localSheetId="62">'317'!$T$13:$T$30</definedName>
    <definedName name="OSRRefT13x_0" localSheetId="66">'321'!$T$13:$T$15</definedName>
    <definedName name="OSRRefT13x_0" localSheetId="67">'322'!$T$13</definedName>
    <definedName name="OSRRefT13x_0" localSheetId="55">'324'!$T$13:$T$16</definedName>
    <definedName name="OSRRefT13x_0" localSheetId="68">'325'!$T$13:$T$14</definedName>
    <definedName name="OSRRefT13x_0" localSheetId="58">'326'!$T$13:$T$31</definedName>
    <definedName name="OSRRefT13x_0" localSheetId="69">'327'!$T$13:$T$14</definedName>
    <definedName name="OSRRefT13x_0" localSheetId="51">'330'!$T$13:$T$23</definedName>
    <definedName name="OSRRefT13x_0" localSheetId="56">'331'!$T$13:$T$48</definedName>
    <definedName name="OSRRefT13x_0" localSheetId="59">'332'!$T$13:$T$22</definedName>
    <definedName name="OSRRefT13x_0" localSheetId="73">'405'!$T$13:$T$14</definedName>
    <definedName name="OSRRefT13x_0" localSheetId="76">'412'!$T$13</definedName>
    <definedName name="OSRRefT13x_0" localSheetId="77">'413'!$T$13:$T$14</definedName>
    <definedName name="OSRRefT13x_0" localSheetId="78">'414'!$T$13:$T$15</definedName>
    <definedName name="OSRRefT13x_0" localSheetId="79">'415'!$T$13:$T$16</definedName>
    <definedName name="OSRRefT13x_0" localSheetId="80">'418'!$T$13:$T$14</definedName>
    <definedName name="OSRRefT13x_0" localSheetId="81">'420'!$T$13</definedName>
    <definedName name="OSRRefT13x_0" localSheetId="88">'433'!$T$13:$T$16</definedName>
    <definedName name="OSRRefT13x_0" localSheetId="90">'444'!$T$13:$T$16</definedName>
    <definedName name="OSRRefT13x_0" localSheetId="91">'450'!$T$13:$T$14</definedName>
    <definedName name="OSRRefT13x_0" localSheetId="72">'491'!$T$13:$T$18</definedName>
    <definedName name="OSRRefT13x_0" localSheetId="86">'492'!$T$13:$T$16</definedName>
    <definedName name="OSRRefT13x_0" localSheetId="93">'501'!$T$13</definedName>
    <definedName name="OSRRefT13x_0" localSheetId="39">'Div 2'!$T$13</definedName>
    <definedName name="OSRRefT13x_0" localSheetId="47">'Div 3'!$T$13:$T$75</definedName>
    <definedName name="OSRRefT13x_0" localSheetId="70">'Div 4'!$T$13:$T$20</definedName>
    <definedName name="OSRRefT13x_0" localSheetId="92">'Div 5'!$T$13</definedName>
    <definedName name="OSRRefT13x_0" localSheetId="61">'Div 6'!$T$13:$T$30</definedName>
    <definedName name="OSRRefT13x_0" localSheetId="2">Summary!$T$13:$T$94</definedName>
    <definedName name="OSRRefT16x_0" localSheetId="48">'300'!$T$76:$T$106</definedName>
    <definedName name="OSRRefT16x_0" localSheetId="49">'300 &amp; 317'!$T$90:$T$128</definedName>
    <definedName name="OSRRefT16x_0" localSheetId="52">'307'!$T$26:$T$33</definedName>
    <definedName name="OSRRefT16x_0" localSheetId="53">'308'!$T$36:$T$48</definedName>
    <definedName name="OSRRefT16x_0" localSheetId="64">'309'!$T$16</definedName>
    <definedName name="OSRRefT16x_0" localSheetId="63">'310'!$T$20:$T$22</definedName>
    <definedName name="OSRRefT16x_0" localSheetId="71">'310 &amp; 491'!$T$24:$T$26</definedName>
    <definedName name="OSRRefT16x_0" localSheetId="54">'311'!$T$35:$T$47</definedName>
    <definedName name="OSRRefT16x_0" localSheetId="65">'313'!$T$16:$T$17</definedName>
    <definedName name="OSRRefT16x_0" localSheetId="57">'315'!$T$51:$T$71</definedName>
    <definedName name="OSRRefT16x_0" localSheetId="62">'317'!$T$33:$T$43</definedName>
    <definedName name="OSRRefT16x_0" localSheetId="66">'321'!$T$18:$T$19</definedName>
    <definedName name="OSRRefT16x_0" localSheetId="67">'322'!$T$16:$T$17</definedName>
    <definedName name="OSRRefT16x_0" localSheetId="55">'324'!$T$19:$T$21</definedName>
    <definedName name="OSRRefT16x_0" localSheetId="68">'325'!$T$17:$T$19</definedName>
    <definedName name="OSRRefT16x_0" localSheetId="58">'326'!$T$34:$T$38</definedName>
    <definedName name="OSRRefT16x_0" localSheetId="69">'327'!$T$17:$T$18</definedName>
    <definedName name="OSRRefT16x_0" localSheetId="51">'330'!$T$26:$T$33</definedName>
    <definedName name="OSRRefT16x_0" localSheetId="56">'331'!$T$51:$T$71</definedName>
    <definedName name="OSRRefT16x_0" localSheetId="73">'405'!$T$17</definedName>
    <definedName name="OSRRefT16x_0" localSheetId="76">'412'!$T$16</definedName>
    <definedName name="OSRRefT16x_0" localSheetId="77">'413'!$T$17</definedName>
    <definedName name="OSRRefT16x_0" localSheetId="78">'414'!$T$18</definedName>
    <definedName name="OSRRefT16x_0" localSheetId="79">'415'!$T$19:$T$21</definedName>
    <definedName name="OSRRefT16x_0" localSheetId="80">'418'!$T$17</definedName>
    <definedName name="OSRRefT16x_0" localSheetId="88">'433'!$T$19:$T$21</definedName>
    <definedName name="OSRRefT16x_0" localSheetId="90">'444'!$T$19:$T$21</definedName>
    <definedName name="OSRRefT16x_0" localSheetId="91">'450'!$T$17</definedName>
    <definedName name="OSRRefT16x_0" localSheetId="72">'491'!$T$21:$T$23</definedName>
    <definedName name="OSRRefT16x_0" localSheetId="86">'492'!$T$19:$T$21</definedName>
    <definedName name="OSRRefT16x_0" localSheetId="47">'Div 3'!$T$78:$T$110</definedName>
    <definedName name="OSRRefT16x_0" localSheetId="70">'Div 4'!$T$23:$T$25</definedName>
    <definedName name="OSRRefT16x_0" localSheetId="61">'Div 6'!$T$33:$T$43</definedName>
    <definedName name="OSRRefT16x_0" localSheetId="2">Summary!$T$97:$T$137</definedName>
    <definedName name="OSRRefT22_0x_0" localSheetId="40">'200'!$T$20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'300'!$T$112:$T$121</definedName>
    <definedName name="OSRRefT22_0x_0" localSheetId="49">'300 &amp; 317'!$T$134:$T$143</definedName>
    <definedName name="OSRRefT22_0x_0" localSheetId="50">'301'!$T$20:$T$28</definedName>
    <definedName name="OSRRefT22_0x_0" localSheetId="52">'307'!$T$39:$T$46</definedName>
    <definedName name="OSRRefT22_0x_0" localSheetId="53">'308'!$T$54:$T$63</definedName>
    <definedName name="OSRRefT22_0x_0" localSheetId="64">'309'!$T$22:$T$29</definedName>
    <definedName name="OSRRefT22_0x_0" localSheetId="63">'310'!$T$28:$T$36</definedName>
    <definedName name="OSRRefT22_0x_0" localSheetId="71">'310 &amp; 491'!$T$32:$T$40</definedName>
    <definedName name="OSRRefT22_0x_0" localSheetId="54">'311'!$T$53:$T$62</definedName>
    <definedName name="OSRRefT22_0x_0" localSheetId="65">'313'!$T$23:$T$31</definedName>
    <definedName name="OSRRefT22_0x_0" localSheetId="57">'315'!$T$77:$T$85</definedName>
    <definedName name="OSRRefT22_0x_0" localSheetId="60">'316'!$T$30:$T$38</definedName>
    <definedName name="OSRRefT22_0x_0" localSheetId="62">'317'!$T$49:$T$58</definedName>
    <definedName name="OSRRefT22_0x_0" localSheetId="66">'321'!$T$25:$T$33</definedName>
    <definedName name="OSRRefT22_0x_0" localSheetId="67">'322'!$T$23:$T$30</definedName>
    <definedName name="OSRRefT22_0x_0" localSheetId="55">'324'!$T$27:$T$34</definedName>
    <definedName name="OSRRefT22_0x_0" localSheetId="68">'325'!$T$25:$T$32</definedName>
    <definedName name="OSRRefT22_0x_0" localSheetId="58">'326'!$T$44:$T$52</definedName>
    <definedName name="OSRRefT22_0x_0" localSheetId="69">'327'!$T$24</definedName>
    <definedName name="OSRRefT22_0x_0" localSheetId="51">'330'!$T$39:$T$46</definedName>
    <definedName name="OSRRefT22_0x_0" localSheetId="56">'331'!$T$77:$T$85</definedName>
    <definedName name="OSRRefT22_0x_0" localSheetId="59">'332'!$T$30:$T$38</definedName>
    <definedName name="OSRRefT22_0x_0" localSheetId="73">'405'!$T$23:$T$30</definedName>
    <definedName name="OSRRefT22_0x_0" localSheetId="74">'406'!$T$20</definedName>
    <definedName name="OSRRefT22_0x_0" localSheetId="75">'411'!$T$20:$T$28</definedName>
    <definedName name="OSRRefT22_0x_0" localSheetId="76">'412'!$T$22:$T$29</definedName>
    <definedName name="OSRRefT22_0x_0" localSheetId="77">'413'!$T$23:$T$31</definedName>
    <definedName name="OSRRefT22_0x_0" localSheetId="78">'414'!$T$24:$T$32</definedName>
    <definedName name="OSRRefT22_0x_0" localSheetId="79">'415'!$T$27:$T$35</definedName>
    <definedName name="OSRRefT22_0x_0" localSheetId="80">'418'!$T$23:$T$30</definedName>
    <definedName name="OSRRefT22_0x_0" localSheetId="82">'423'!$T$20:$T$27</definedName>
    <definedName name="OSRRefT22_0x_0" localSheetId="83">'424'!$T$20</definedName>
    <definedName name="OSRRefT22_0x_0" localSheetId="84">'425'!$T$20:$T$24</definedName>
    <definedName name="OSRRefT22_0x_0" localSheetId="87">'430'!$T$20:$T$28</definedName>
    <definedName name="OSRRefT22_0x_0" localSheetId="88">'433'!$T$27:$T$36</definedName>
    <definedName name="OSRRefT22_0x_0" localSheetId="89">'435'!$T$20</definedName>
    <definedName name="OSRRefT22_0x_0" localSheetId="90">'444'!$T$27:$T$36</definedName>
    <definedName name="OSRRefT22_0x_0" localSheetId="91">'450'!$T$23:$T$32</definedName>
    <definedName name="OSRRefT22_0x_0" localSheetId="72">'491'!$T$29:$T$37</definedName>
    <definedName name="OSRRefT22_0x_0" localSheetId="86">'492'!$T$27:$T$36</definedName>
    <definedName name="OSRRefT22_0x_0" localSheetId="93">'501'!$T$21:$T$30</definedName>
    <definedName name="OSRRefT22_0x_0" localSheetId="39">'Div 2'!$T$21:$T$31</definedName>
    <definedName name="OSRRefT22_0x_0" localSheetId="47">'Div 3'!$T$116:$T$125</definedName>
    <definedName name="OSRRefT22_0x_0" localSheetId="70">'Div 4'!$T$31:$T$40</definedName>
    <definedName name="OSRRefT22_0x_0" localSheetId="92">'Div 5'!$T$21:$T$30</definedName>
    <definedName name="OSRRefT22_0x_0" localSheetId="61">'Div 6'!$T$49:$T$58</definedName>
    <definedName name="OSRRefT22_0x_0" localSheetId="2">Summary!$T$143:$T$152</definedName>
    <definedName name="OSRRefT22_10x_0" localSheetId="41">'201'!$T$58:$T$59</definedName>
    <definedName name="OSRRefT22_10x_0" localSheetId="42">'202'!$T$62</definedName>
    <definedName name="OSRRefT22_10x_0" localSheetId="43">'203'!$T$61</definedName>
    <definedName name="OSRRefT22_10x_0" localSheetId="44">'204'!$T$63</definedName>
    <definedName name="OSRRefT22_10x_0" localSheetId="48">'300'!$T$154:$T$155</definedName>
    <definedName name="OSRRefT22_10x_0" localSheetId="49">'300 &amp; 317'!$T$176:$T$177</definedName>
    <definedName name="OSRRefT22_10x_0" localSheetId="50">'301'!$T$59</definedName>
    <definedName name="OSRRefT22_10x_0" localSheetId="52">'307'!$T$77:$T$78</definedName>
    <definedName name="OSRRefT22_10x_0" localSheetId="53">'308'!$T$94</definedName>
    <definedName name="OSRRefT22_10x_0" localSheetId="63">'310'!$T$66</definedName>
    <definedName name="OSRRefT22_10x_0" localSheetId="71">'310 &amp; 491'!$T$72</definedName>
    <definedName name="OSRRefT22_10x_0" localSheetId="54">'311'!$T$93</definedName>
    <definedName name="OSRRefT22_10x_0" localSheetId="65">'313'!$T$64</definedName>
    <definedName name="OSRRefT22_10x_0" localSheetId="57">'315'!$T$115</definedName>
    <definedName name="OSRRefT22_10x_0" localSheetId="60">'316'!$T$73</definedName>
    <definedName name="OSRRefT22_10x_0" localSheetId="62">'317'!$T$88:$T$90</definedName>
    <definedName name="OSRRefT22_10x_0" localSheetId="66">'321'!$T$65:$T$67</definedName>
    <definedName name="OSRRefT22_10x_0" localSheetId="67">'322'!$T$64</definedName>
    <definedName name="OSRRefT22_10x_0" localSheetId="68">'325'!$T$62:$T$65</definedName>
    <definedName name="OSRRefT22_10x_0" localSheetId="58">'326'!$T$82</definedName>
    <definedName name="OSRRefT22_10x_0" localSheetId="51">'330'!$T$77:$T$78</definedName>
    <definedName name="OSRRefT22_10x_0" localSheetId="56">'331'!$T$116</definedName>
    <definedName name="OSRRefT22_10x_0" localSheetId="59">'332'!$T$73</definedName>
    <definedName name="OSRRefT22_10x_0" localSheetId="73">'405'!$T$61:$T$64</definedName>
    <definedName name="OSRRefT22_10x_0" localSheetId="75">'411'!$T$59:$T$62</definedName>
    <definedName name="OSRRefT22_10x_0" localSheetId="76">'412'!$T$60:$T$63</definedName>
    <definedName name="OSRRefT22_10x_0" localSheetId="77">'413'!$T$63:$T$70</definedName>
    <definedName name="OSRRefT22_10x_0" localSheetId="78">'414'!$T$62</definedName>
    <definedName name="OSRRefT22_10x_0" localSheetId="79">'415'!$T$65:$T$66</definedName>
    <definedName name="OSRRefT22_10x_0" localSheetId="80">'418'!$T$63</definedName>
    <definedName name="OSRRefT22_10x_0" localSheetId="88">'433'!$T$65</definedName>
    <definedName name="OSRRefT22_10x_0" localSheetId="90">'444'!$T$65</definedName>
    <definedName name="OSRRefT22_10x_0" localSheetId="91">'450'!$T$61</definedName>
    <definedName name="OSRRefT22_10x_0" localSheetId="72">'491'!$T$68</definedName>
    <definedName name="OSRRefT22_10x_0" localSheetId="86">'492'!$T$65</definedName>
    <definedName name="OSRRefT22_10x_0" localSheetId="93">'501'!$T$63:$T$64</definedName>
    <definedName name="OSRRefT22_10x_0" localSheetId="39">'Div 2'!$T$62</definedName>
    <definedName name="OSRRefT22_10x_0" localSheetId="47">'Div 3'!$T$158:$T$159</definedName>
    <definedName name="OSRRefT22_10x_0" localSheetId="70">'Div 4'!$T$71</definedName>
    <definedName name="OSRRefT22_10x_0" localSheetId="92">'Div 5'!$T$63:$T$64</definedName>
    <definedName name="OSRRefT22_10x_0" localSheetId="61">'Div 6'!$T$88:$T$90</definedName>
    <definedName name="OSRRefT22_10x_0" localSheetId="2">Summary!$T$186:$T$187</definedName>
    <definedName name="OSRRefT22_11x_0" localSheetId="41">'201'!$T$61</definedName>
    <definedName name="OSRRefT22_11x_0" localSheetId="42">'202'!$T$64</definedName>
    <definedName name="OSRRefT22_11x_0" localSheetId="43">'203'!$T$63:$T$65</definedName>
    <definedName name="OSRRefT22_11x_0" localSheetId="48">'300'!$T$157:$T$159</definedName>
    <definedName name="OSRRefT22_11x_0" localSheetId="49">'300 &amp; 317'!$T$179:$T$181</definedName>
    <definedName name="OSRRefT22_11x_0" localSheetId="50">'301'!$T$61</definedName>
    <definedName name="OSRRefT22_11x_0" localSheetId="52">'307'!$T$80:$T$83</definedName>
    <definedName name="OSRRefT22_11x_0" localSheetId="53">'308'!$T$96:$T$98</definedName>
    <definedName name="OSRRefT22_11x_0" localSheetId="63">'310'!$T$68</definedName>
    <definedName name="OSRRefT22_11x_0" localSheetId="71">'310 &amp; 491'!$T$74</definedName>
    <definedName name="OSRRefT22_11x_0" localSheetId="54">'311'!$T$95:$T$97</definedName>
    <definedName name="OSRRefT22_11x_0" localSheetId="65">'313'!$T$66</definedName>
    <definedName name="OSRRefT22_11x_0" localSheetId="57">'315'!$T$117</definedName>
    <definedName name="OSRRefT22_11x_0" localSheetId="60">'316'!$T$75</definedName>
    <definedName name="OSRRefT22_11x_0" localSheetId="62">'317'!$T$92</definedName>
    <definedName name="OSRRefT22_11x_0" localSheetId="66">'321'!$T$69:$T$70</definedName>
    <definedName name="OSRRefT22_11x_0" localSheetId="67">'322'!$T$66</definedName>
    <definedName name="OSRRefT22_11x_0" localSheetId="68">'325'!$T$67:$T$69</definedName>
    <definedName name="OSRRefT22_11x_0" localSheetId="58">'326'!$T$84</definedName>
    <definedName name="OSRRefT22_11x_0" localSheetId="51">'330'!$T$80:$T$83</definedName>
    <definedName name="OSRRefT22_11x_0" localSheetId="56">'331'!$T$118</definedName>
    <definedName name="OSRRefT22_11x_0" localSheetId="59">'332'!$T$75</definedName>
    <definedName name="OSRRefT22_11x_0" localSheetId="73">'405'!$T$66</definedName>
    <definedName name="OSRRefT22_11x_0" localSheetId="75">'411'!$T$64:$T$70</definedName>
    <definedName name="OSRRefT22_11x_0" localSheetId="76">'412'!$T$65:$T$69</definedName>
    <definedName name="OSRRefT22_11x_0" localSheetId="77">'413'!$T$72:$T$73</definedName>
    <definedName name="OSRRefT22_11x_0" localSheetId="78">'414'!$T$64</definedName>
    <definedName name="OSRRefT22_11x_0" localSheetId="79">'415'!$T$68:$T$72</definedName>
    <definedName name="OSRRefT22_11x_0" localSheetId="80">'418'!$T$65:$T$74</definedName>
    <definedName name="OSRRefT22_11x_0" localSheetId="88">'433'!$T$67:$T$68</definedName>
    <definedName name="OSRRefT22_11x_0" localSheetId="90">'444'!$T$67:$T$69</definedName>
    <definedName name="OSRRefT22_11x_0" localSheetId="91">'450'!$T$63</definedName>
    <definedName name="OSRRefT22_11x_0" localSheetId="72">'491'!$T$70</definedName>
    <definedName name="OSRRefT22_11x_0" localSheetId="86">'492'!$T$67</definedName>
    <definedName name="OSRRefT22_11x_0" localSheetId="93">'501'!$T$66</definedName>
    <definedName name="OSRRefT22_11x_0" localSheetId="39">'Div 2'!$T$64:$T$65</definedName>
    <definedName name="OSRRefT22_11x_0" localSheetId="47">'Div 3'!$T$161:$T$163</definedName>
    <definedName name="OSRRefT22_11x_0" localSheetId="70">'Div 4'!$T$73</definedName>
    <definedName name="OSRRefT22_11x_0" localSheetId="92">'Div 5'!$T$66</definedName>
    <definedName name="OSRRefT22_11x_0" localSheetId="61">'Div 6'!$T$92</definedName>
    <definedName name="OSRRefT22_11x_0" localSheetId="2">Summary!$T$189:$T$191</definedName>
    <definedName name="OSRRefT22_12x_0" localSheetId="41">'201'!$T$63</definedName>
    <definedName name="OSRRefT22_12x_0" localSheetId="42">'202'!$T$66</definedName>
    <definedName name="OSRRefT22_12x_0" localSheetId="43">'203'!$T$67</definedName>
    <definedName name="OSRRefT22_12x_0" localSheetId="48">'300'!$T$161</definedName>
    <definedName name="OSRRefT22_12x_0" localSheetId="49">'300 &amp; 317'!$T$183</definedName>
    <definedName name="OSRRefT22_12x_0" localSheetId="50">'301'!$T$63</definedName>
    <definedName name="OSRRefT22_12x_0" localSheetId="52">'307'!$T$85:$T$86</definedName>
    <definedName name="OSRRefT22_12x_0" localSheetId="53">'308'!$T$100:$T$101</definedName>
    <definedName name="OSRRefT22_12x_0" localSheetId="63">'310'!$T$70:$T$73</definedName>
    <definedName name="OSRRefT22_12x_0" localSheetId="71">'310 &amp; 491'!$T$76</definedName>
    <definedName name="OSRRefT22_12x_0" localSheetId="54">'311'!$T$99:$T$100</definedName>
    <definedName name="OSRRefT22_12x_0" localSheetId="57">'315'!$T$119:$T$121</definedName>
    <definedName name="OSRRefT22_12x_0" localSheetId="62">'317'!$T$94</definedName>
    <definedName name="OSRRefT22_12x_0" localSheetId="66">'321'!$T$72</definedName>
    <definedName name="OSRRefT22_12x_0" localSheetId="68">'325'!$T$71</definedName>
    <definedName name="OSRRefT22_12x_0" localSheetId="58">'326'!$T$86</definedName>
    <definedName name="OSRRefT22_12x_0" localSheetId="51">'330'!$T$85:$T$86</definedName>
    <definedName name="OSRRefT22_12x_0" localSheetId="56">'331'!$T$120</definedName>
    <definedName name="OSRRefT22_12x_0" localSheetId="73">'405'!$T$68:$T$76</definedName>
    <definedName name="OSRRefT22_12x_0" localSheetId="75">'411'!$T$72</definedName>
    <definedName name="OSRRefT22_12x_0" localSheetId="76">'412'!$T$71:$T$72</definedName>
    <definedName name="OSRRefT22_12x_0" localSheetId="77">'413'!$T$75</definedName>
    <definedName name="OSRRefT22_12x_0" localSheetId="78">'414'!$T$66:$T$68</definedName>
    <definedName name="OSRRefT22_12x_0" localSheetId="79">'415'!$T$74</definedName>
    <definedName name="OSRRefT22_12x_0" localSheetId="80">'418'!$T$76:$T$77</definedName>
    <definedName name="OSRRefT22_12x_0" localSheetId="88">'433'!$T$70:$T$73</definedName>
    <definedName name="OSRRefT22_12x_0" localSheetId="90">'444'!$T$71:$T$73</definedName>
    <definedName name="OSRRefT22_12x_0" localSheetId="91">'450'!$T$65</definedName>
    <definedName name="OSRRefT22_12x_0" localSheetId="72">'491'!$T$72</definedName>
    <definedName name="OSRRefT22_12x_0" localSheetId="86">'492'!$T$69:$T$71</definedName>
    <definedName name="OSRRefT22_12x_0" localSheetId="39">'Div 2'!$T$67:$T$70</definedName>
    <definedName name="OSRRefT22_12x_0" localSheetId="47">'Div 3'!$T$165</definedName>
    <definedName name="OSRRefT22_12x_0" localSheetId="70">'Div 4'!$T$75</definedName>
    <definedName name="OSRRefT22_12x_0" localSheetId="61">'Div 6'!$T$94</definedName>
    <definedName name="OSRRefT22_12x_0" localSheetId="2">Summary!$T$193</definedName>
    <definedName name="OSRRefT22_13x_0" localSheetId="41">'201'!$T$65:$T$67</definedName>
    <definedName name="OSRRefT22_13x_0" localSheetId="43">'203'!$T$69</definedName>
    <definedName name="OSRRefT22_13x_0" localSheetId="48">'300'!$T$163</definedName>
    <definedName name="OSRRefT22_13x_0" localSheetId="49">'300 &amp; 317'!$T$185</definedName>
    <definedName name="OSRRefT22_13x_0" localSheetId="50">'301'!$T$65:$T$68</definedName>
    <definedName name="OSRRefT22_13x_0" localSheetId="52">'307'!$T$88</definedName>
    <definedName name="OSRRefT22_13x_0" localSheetId="53">'308'!$T$103</definedName>
    <definedName name="OSRRefT22_13x_0" localSheetId="63">'310'!$T$75:$T$76</definedName>
    <definedName name="OSRRefT22_13x_0" localSheetId="71">'310 &amp; 491'!$T$78:$T$81</definedName>
    <definedName name="OSRRefT22_13x_0" localSheetId="54">'311'!$T$102</definedName>
    <definedName name="OSRRefT22_13x_0" localSheetId="57">'315'!$T$123:$T$124</definedName>
    <definedName name="OSRRefT22_13x_0" localSheetId="66">'321'!$T$74</definedName>
    <definedName name="OSRRefT22_13x_0" localSheetId="68">'325'!$T$73:$T$77</definedName>
    <definedName name="OSRRefT22_13x_0" localSheetId="58">'326'!$T$88:$T$89</definedName>
    <definedName name="OSRRefT22_13x_0" localSheetId="51">'330'!$T$88</definedName>
    <definedName name="OSRRefT22_13x_0" localSheetId="56">'331'!$T$122</definedName>
    <definedName name="OSRRefT22_13x_0" localSheetId="73">'405'!$T$78</definedName>
    <definedName name="OSRRefT22_13x_0" localSheetId="75">'411'!$T$74</definedName>
    <definedName name="OSRRefT22_13x_0" localSheetId="76">'412'!$T$74</definedName>
    <definedName name="OSRRefT22_13x_0" localSheetId="78">'414'!$T$70</definedName>
    <definedName name="OSRRefT22_13x_0" localSheetId="79">'415'!$T$76:$T$82</definedName>
    <definedName name="OSRRefT22_13x_0" localSheetId="80">'418'!$T$79</definedName>
    <definedName name="OSRRefT22_13x_0" localSheetId="88">'433'!$T$75:$T$82</definedName>
    <definedName name="OSRRefT22_13x_0" localSheetId="90">'444'!$T$75:$T$83</definedName>
    <definedName name="OSRRefT22_13x_0" localSheetId="91">'450'!$T$67:$T$69</definedName>
    <definedName name="OSRRefT22_13x_0" localSheetId="72">'491'!$T$74:$T$77</definedName>
    <definedName name="OSRRefT22_13x_0" localSheetId="86">'492'!$T$73:$T$76</definedName>
    <definedName name="OSRRefT22_13x_0" localSheetId="39">'Div 2'!$T$72:$T$75</definedName>
    <definedName name="OSRRefT22_13x_0" localSheetId="47">'Div 3'!$T$167</definedName>
    <definedName name="OSRRefT22_13x_0" localSheetId="70">'Div 4'!$T$77</definedName>
    <definedName name="OSRRefT22_13x_0" localSheetId="2">Summary!$T$195</definedName>
    <definedName name="OSRRefT22_14x_0" localSheetId="41">'201'!$T$69</definedName>
    <definedName name="OSRRefT22_14x_0" localSheetId="48">'300'!$T$165</definedName>
    <definedName name="OSRRefT22_14x_0" localSheetId="49">'300 &amp; 317'!$T$187</definedName>
    <definedName name="OSRRefT22_14x_0" localSheetId="50">'301'!$T$70:$T$72</definedName>
    <definedName name="OSRRefT22_14x_0" localSheetId="63">'310'!$T$78:$T$81</definedName>
    <definedName name="OSRRefT22_14x_0" localSheetId="71">'310 &amp; 491'!$T$83:$T$84</definedName>
    <definedName name="OSRRefT22_14x_0" localSheetId="57">'315'!$T$126:$T$132</definedName>
    <definedName name="OSRRefT22_14x_0" localSheetId="68">'325'!$T$79:$T$80</definedName>
    <definedName name="OSRRefT22_14x_0" localSheetId="58">'326'!$T$91:$T$93</definedName>
    <definedName name="OSRRefT22_14x_0" localSheetId="56">'331'!$T$124:$T$125</definedName>
    <definedName name="OSRRefT22_14x_0" localSheetId="73">'405'!$T$80</definedName>
    <definedName name="OSRRefT22_14x_0" localSheetId="75">'411'!$T$76</definedName>
    <definedName name="OSRRefT22_14x_0" localSheetId="78">'414'!$T$72</definedName>
    <definedName name="OSRRefT22_14x_0" localSheetId="79">'415'!$T$84:$T$85</definedName>
    <definedName name="OSRRefT22_14x_0" localSheetId="88">'433'!$T$84</definedName>
    <definedName name="OSRRefT22_14x_0" localSheetId="90">'444'!$T$85:$T$86</definedName>
    <definedName name="OSRRefT22_14x_0" localSheetId="91">'450'!$T$71:$T$77</definedName>
    <definedName name="OSRRefT22_14x_0" localSheetId="72">'491'!$T$79:$T$80</definedName>
    <definedName name="OSRRefT22_14x_0" localSheetId="86">'492'!$T$78:$T$87</definedName>
    <definedName name="OSRRefT22_14x_0" localSheetId="39">'Div 2'!$T$77:$T$78</definedName>
    <definedName name="OSRRefT22_14x_0" localSheetId="47">'Div 3'!$T$169</definedName>
    <definedName name="OSRRefT22_14x_0" localSheetId="70">'Div 4'!$T$79</definedName>
    <definedName name="OSRRefT22_14x_0" localSheetId="2">Summary!$T$197</definedName>
    <definedName name="OSRRefT22_15x_0" localSheetId="41">'201'!$T$71</definedName>
    <definedName name="OSRRefT22_15x_0" localSheetId="48">'300'!$T$167</definedName>
    <definedName name="OSRRefT22_15x_0" localSheetId="49">'300 &amp; 317'!$T$189</definedName>
    <definedName name="OSRRefT22_15x_0" localSheetId="50">'301'!$T$74</definedName>
    <definedName name="OSRRefT22_15x_0" localSheetId="63">'310'!$T$83</definedName>
    <definedName name="OSRRefT22_15x_0" localSheetId="71">'310 &amp; 491'!$T$86:$T$90</definedName>
    <definedName name="OSRRefT22_15x_0" localSheetId="57">'315'!$T$134</definedName>
    <definedName name="OSRRefT22_15x_0" localSheetId="68">'325'!$T$82</definedName>
    <definedName name="OSRRefT22_15x_0" localSheetId="58">'326'!$T$95:$T$96</definedName>
    <definedName name="OSRRefT22_15x_0" localSheetId="56">'331'!$T$127:$T$129</definedName>
    <definedName name="OSRRefT22_15x_0" localSheetId="73">'405'!$T$82</definedName>
    <definedName name="OSRRefT22_15x_0" localSheetId="78">'414'!$T$74</definedName>
    <definedName name="OSRRefT22_15x_0" localSheetId="79">'415'!$T$87:$T$88</definedName>
    <definedName name="OSRRefT22_15x_0" localSheetId="90">'444'!$T$88</definedName>
    <definedName name="OSRRefT22_15x_0" localSheetId="91">'450'!$T$79:$T$80</definedName>
    <definedName name="OSRRefT22_15x_0" localSheetId="72">'491'!$T$82:$T$86</definedName>
    <definedName name="OSRRefT22_15x_0" localSheetId="86">'492'!$T$89:$T$90</definedName>
    <definedName name="OSRRefT22_15x_0" localSheetId="39">'Div 2'!$T$80:$T$81</definedName>
    <definedName name="OSRRefT22_15x_0" localSheetId="47">'Div 3'!$T$171</definedName>
    <definedName name="OSRRefT22_15x_0" localSheetId="70">'Div 4'!$T$81:$T$84</definedName>
    <definedName name="OSRRefT22_15x_0" localSheetId="2">Summary!$T$199</definedName>
    <definedName name="OSRRefT22_16x_0" localSheetId="48">'300'!$T$169:$T$172</definedName>
    <definedName name="OSRRefT22_16x_0" localSheetId="49">'300 &amp; 317'!$T$191:$T$194</definedName>
    <definedName name="OSRRefT22_16x_0" localSheetId="50">'301'!$T$76:$T$82</definedName>
    <definedName name="OSRRefT22_16x_0" localSheetId="63">'310'!$T$85:$T$91</definedName>
    <definedName name="OSRRefT22_16x_0" localSheetId="71">'310 &amp; 491'!$T$92</definedName>
    <definedName name="OSRRefT22_16x_0" localSheetId="57">'315'!$T$136:$T$137</definedName>
    <definedName name="OSRRefT22_16x_0" localSheetId="68">'325'!$T$84</definedName>
    <definedName name="OSRRefT22_16x_0" localSheetId="58">'326'!$T$98:$T$103</definedName>
    <definedName name="OSRRefT22_16x_0" localSheetId="56">'331'!$T$131:$T$133</definedName>
    <definedName name="OSRRefT22_16x_0" localSheetId="79">'415'!$T$90</definedName>
    <definedName name="OSRRefT22_16x_0" localSheetId="91">'450'!$T$82</definedName>
    <definedName name="OSRRefT22_16x_0" localSheetId="72">'491'!$T$88</definedName>
    <definedName name="OSRRefT22_16x_0" localSheetId="86">'492'!$T$92</definedName>
    <definedName name="OSRRefT22_16x_0" localSheetId="39">'Div 2'!$T$83:$T$87</definedName>
    <definedName name="OSRRefT22_16x_0" localSheetId="47">'Div 3'!$T$173</definedName>
    <definedName name="OSRRefT22_16x_0" localSheetId="70">'Div 4'!$T$86:$T$87</definedName>
    <definedName name="OSRRefT22_16x_0" localSheetId="2">Summary!$T$201</definedName>
    <definedName name="OSRRefT22_17x_0" localSheetId="48">'300'!$T$174:$T$177</definedName>
    <definedName name="OSRRefT22_17x_0" localSheetId="49">'300 &amp; 317'!$T$196:$T$199</definedName>
    <definedName name="OSRRefT22_17x_0" localSheetId="50">'301'!$T$84</definedName>
    <definedName name="OSRRefT22_17x_0" localSheetId="63">'310'!$T$93:$T$94</definedName>
    <definedName name="OSRRefT22_17x_0" localSheetId="71">'310 &amp; 491'!$T$94:$T$104</definedName>
    <definedName name="OSRRefT22_17x_0" localSheetId="58">'326'!$T$105:$T$106</definedName>
    <definedName name="OSRRefT22_17x_0" localSheetId="56">'331'!$T$135:$T$136</definedName>
    <definedName name="OSRRefT22_17x_0" localSheetId="72">'491'!$T$90:$T$100</definedName>
    <definedName name="OSRRefT22_17x_0" localSheetId="86">'492'!$T$94</definedName>
    <definedName name="OSRRefT22_17x_0" localSheetId="39">'Div 2'!$T$89:$T$90</definedName>
    <definedName name="OSRRefT22_17x_0" localSheetId="47">'Div 3'!$T$175:$T$178</definedName>
    <definedName name="OSRRefT22_17x_0" localSheetId="70">'Div 4'!$T$89:$T$93</definedName>
    <definedName name="OSRRefT22_17x_0" localSheetId="2">Summary!$T$203</definedName>
    <definedName name="OSRRefT22_18x_0" localSheetId="48">'300'!$T$179:$T$182</definedName>
    <definedName name="OSRRefT22_18x_0" localSheetId="49">'300 &amp; 317'!$T$201:$T$204</definedName>
    <definedName name="OSRRefT22_18x_0" localSheetId="50">'301'!$T$86</definedName>
    <definedName name="OSRRefT22_18x_0" localSheetId="63">'310'!$T$96</definedName>
    <definedName name="OSRRefT22_18x_0" localSheetId="71">'310 &amp; 491'!$T$106:$T$107</definedName>
    <definedName name="OSRRefT22_18x_0" localSheetId="58">'326'!$T$108</definedName>
    <definedName name="OSRRefT22_18x_0" localSheetId="56">'331'!$T$138:$T$145</definedName>
    <definedName name="OSRRefT22_18x_0" localSheetId="72">'491'!$T$102:$T$103</definedName>
    <definedName name="OSRRefT22_18x_0" localSheetId="39">'Div 2'!$T$92</definedName>
    <definedName name="OSRRefT22_18x_0" localSheetId="47">'Div 3'!$T$180:$T$183</definedName>
    <definedName name="OSRRefT22_18x_0" localSheetId="70">'Div 4'!$T$95</definedName>
    <definedName name="OSRRefT22_18x_0" localSheetId="2">Summary!$T$205:$T$208</definedName>
    <definedName name="OSRRefT22_19x_0" localSheetId="48">'300'!$T$184:$T$185</definedName>
    <definedName name="OSRRefT22_19x_0" localSheetId="49">'300 &amp; 317'!$T$206:$T$207</definedName>
    <definedName name="OSRRefT22_19x_0" localSheetId="50">'301'!$T$88</definedName>
    <definedName name="OSRRefT22_19x_0" localSheetId="63">'310'!$T$98</definedName>
    <definedName name="OSRRefT22_19x_0" localSheetId="71">'310 &amp; 491'!$T$109</definedName>
    <definedName name="OSRRefT22_19x_0" localSheetId="58">'326'!$T$110:$T$111</definedName>
    <definedName name="OSRRefT22_19x_0" localSheetId="56">'331'!$T$147:$T$148</definedName>
    <definedName name="OSRRefT22_19x_0" localSheetId="72">'491'!$T$105</definedName>
    <definedName name="OSRRefT22_19x_0" localSheetId="39">'Div 2'!$T$94:$T$95</definedName>
    <definedName name="OSRRefT22_19x_0" localSheetId="47">'Div 3'!$T$185:$T$189</definedName>
    <definedName name="OSRRefT22_19x_0" localSheetId="70">'Div 4'!$T$97:$T$107</definedName>
    <definedName name="OSRRefT22_19x_0" localSheetId="2">Summary!$T$210:$T$213</definedName>
    <definedName name="OSRRefT22_1x_0" localSheetId="40">'200'!$T$22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'300'!$T$123:$T$132</definedName>
    <definedName name="OSRRefT22_1x_0" localSheetId="49">'300 &amp; 317'!$T$145:$T$154</definedName>
    <definedName name="OSRRefT22_1x_0" localSheetId="50">'301'!$T$30:$T$39</definedName>
    <definedName name="OSRRefT22_1x_0" localSheetId="52">'307'!$T$48:$T$57</definedName>
    <definedName name="OSRRefT22_1x_0" localSheetId="53">'308'!$T$65:$T$74</definedName>
    <definedName name="OSRRefT22_1x_0" localSheetId="64">'309'!$T$31:$T$40</definedName>
    <definedName name="OSRRefT22_1x_0" localSheetId="63">'310'!$T$38:$T$47</definedName>
    <definedName name="OSRRefT22_1x_0" localSheetId="71">'310 &amp; 491'!$T$42:$T$51</definedName>
    <definedName name="OSRRefT22_1x_0" localSheetId="54">'311'!$T$64:$T$73</definedName>
    <definedName name="OSRRefT22_1x_0" localSheetId="65">'313'!$T$33:$T$42</definedName>
    <definedName name="OSRRefT22_1x_0" localSheetId="57">'315'!$T$87:$T$96</definedName>
    <definedName name="OSRRefT22_1x_0" localSheetId="60">'316'!$T$40:$T$49</definedName>
    <definedName name="OSRRefT22_1x_0" localSheetId="62">'317'!$T$60:$T$69</definedName>
    <definedName name="OSRRefT22_1x_0" localSheetId="66">'321'!$T$35:$T$44</definedName>
    <definedName name="OSRRefT22_1x_0" localSheetId="67">'322'!$T$32:$T$41</definedName>
    <definedName name="OSRRefT22_1x_0" localSheetId="55">'324'!$T$36:$T$45</definedName>
    <definedName name="OSRRefT22_1x_0" localSheetId="68">'325'!$T$34:$T$43</definedName>
    <definedName name="OSRRefT22_1x_0" localSheetId="58">'326'!$T$54:$T$63</definedName>
    <definedName name="OSRRefT22_1x_0" localSheetId="51">'330'!$T$48:$T$57</definedName>
    <definedName name="OSRRefT22_1x_0" localSheetId="56">'331'!$T$87:$T$96</definedName>
    <definedName name="OSRRefT22_1x_0" localSheetId="59">'332'!$T$40:$T$49</definedName>
    <definedName name="OSRRefT22_1x_0" localSheetId="73">'405'!$T$32:$T$41</definedName>
    <definedName name="OSRRefT22_1x_0" localSheetId="74">'406'!$T$22</definedName>
    <definedName name="OSRRefT22_1x_0" localSheetId="75">'411'!$T$30:$T$39</definedName>
    <definedName name="OSRRefT22_1x_0" localSheetId="76">'412'!$T$31:$T$40</definedName>
    <definedName name="OSRRefT22_1x_0" localSheetId="77">'413'!$T$33:$T$42</definedName>
    <definedName name="OSRRefT22_1x_0" localSheetId="78">'414'!$T$34:$T$43</definedName>
    <definedName name="OSRRefT22_1x_0" localSheetId="79">'415'!$T$37:$T$46</definedName>
    <definedName name="OSRRefT22_1x_0" localSheetId="80">'418'!$T$32:$T$41</definedName>
    <definedName name="OSRRefT22_1x_0" localSheetId="82">'423'!$T$29:$T$38</definedName>
    <definedName name="OSRRefT22_1x_0" localSheetId="83">'424'!$T$22</definedName>
    <definedName name="OSRRefT22_1x_0" localSheetId="84">'425'!$T$26</definedName>
    <definedName name="OSRRefT22_1x_0" localSheetId="87">'430'!$T$30:$T$39</definedName>
    <definedName name="OSRRefT22_1x_0" localSheetId="88">'433'!$T$38:$T$47</definedName>
    <definedName name="OSRRefT22_1x_0" localSheetId="90">'444'!$T$38:$T$47</definedName>
    <definedName name="OSRRefT22_1x_0" localSheetId="91">'450'!$T$34:$T$43</definedName>
    <definedName name="OSRRefT22_1x_0" localSheetId="72">'491'!$T$39:$T$48</definedName>
    <definedName name="OSRRefT22_1x_0" localSheetId="86">'492'!$T$38:$T$47</definedName>
    <definedName name="OSRRefT22_1x_0" localSheetId="93">'501'!$T$32:$T$41</definedName>
    <definedName name="OSRRefT22_1x_0" localSheetId="39">'Div 2'!$T$33:$T$42</definedName>
    <definedName name="OSRRefT22_1x_0" localSheetId="47">'Div 3'!$T$127:$T$136</definedName>
    <definedName name="OSRRefT22_1x_0" localSheetId="70">'Div 4'!$T$42:$T$51</definedName>
    <definedName name="OSRRefT22_1x_0" localSheetId="92">'Div 5'!$T$32:$T$41</definedName>
    <definedName name="OSRRefT22_1x_0" localSheetId="61">'Div 6'!$T$60:$T$69</definedName>
    <definedName name="OSRRefT22_1x_0" localSheetId="2">Summary!$T$154:$T$163</definedName>
    <definedName name="OSRRefT22_20x_0" localSheetId="48">'300'!$T$187:$T$195</definedName>
    <definedName name="OSRRefT22_20x_0" localSheetId="49">'300 &amp; 317'!$T$209:$T$217</definedName>
    <definedName name="OSRRefT22_20x_0" localSheetId="50">'301'!$T$90</definedName>
    <definedName name="OSRRefT22_20x_0" localSheetId="63">'310'!$T$100</definedName>
    <definedName name="OSRRefT22_20x_0" localSheetId="71">'310 &amp; 491'!$T$111:$T$113</definedName>
    <definedName name="OSRRefT22_20x_0" localSheetId="58">'326'!$T$113</definedName>
    <definedName name="OSRRefT22_20x_0" localSheetId="56">'331'!$T$150</definedName>
    <definedName name="OSRRefT22_20x_0" localSheetId="72">'491'!$T$107:$T$109</definedName>
    <definedName name="OSRRefT22_20x_0" localSheetId="47">'Div 3'!$T$191:$T$192</definedName>
    <definedName name="OSRRefT22_20x_0" localSheetId="70">'Div 4'!$T$109:$T$110</definedName>
    <definedName name="OSRRefT22_20x_0" localSheetId="2">Summary!$T$215:$T$219</definedName>
    <definedName name="OSRRefT22_21x_0" localSheetId="48">'300'!$T$197:$T$198</definedName>
    <definedName name="OSRRefT22_21x_0" localSheetId="49">'300 &amp; 317'!$T$219:$T$220</definedName>
    <definedName name="OSRRefT22_21x_0" localSheetId="71">'310 &amp; 491'!$T$115</definedName>
    <definedName name="OSRRefT22_21x_0" localSheetId="56">'331'!$T$152:$T$153</definedName>
    <definedName name="OSRRefT22_21x_0" localSheetId="72">'491'!$T$111</definedName>
    <definedName name="OSRRefT22_21x_0" localSheetId="47">'Div 3'!$T$194:$T$202</definedName>
    <definedName name="OSRRefT22_21x_0" localSheetId="70">'Div 4'!$T$112</definedName>
    <definedName name="OSRRefT22_21x_0" localSheetId="2">Summary!$T$221:$T$222</definedName>
    <definedName name="OSRRefT22_22x_0" localSheetId="48">'300'!$T$200</definedName>
    <definedName name="OSRRefT22_22x_0" localSheetId="49">'300 &amp; 317'!$T$222</definedName>
    <definedName name="OSRRefT22_22x_0" localSheetId="56">'331'!$T$155</definedName>
    <definedName name="OSRRefT22_22x_0" localSheetId="47">'Div 3'!$T$204:$T$205</definedName>
    <definedName name="OSRRefT22_22x_0" localSheetId="70">'Div 4'!$T$114:$T$116</definedName>
    <definedName name="OSRRefT22_22x_0" localSheetId="2">Summary!$T$224:$T$234</definedName>
    <definedName name="OSRRefT22_23x_0" localSheetId="48">'300'!$T$202:$T$204</definedName>
    <definedName name="OSRRefT22_23x_0" localSheetId="49">'300 &amp; 317'!$T$224:$T$226</definedName>
    <definedName name="OSRRefT22_23x_0" localSheetId="47">'Div 3'!$T$207</definedName>
    <definedName name="OSRRefT22_23x_0" localSheetId="70">'Div 4'!$T$118</definedName>
    <definedName name="OSRRefT22_23x_0" localSheetId="2">Summary!$T$236:$T$237</definedName>
    <definedName name="OSRRefT22_24x_0" localSheetId="48">'300'!$T$206</definedName>
    <definedName name="OSRRefT22_24x_0" localSheetId="49">'300 &amp; 317'!$T$228</definedName>
    <definedName name="OSRRefT22_24x_0" localSheetId="47">'Div 3'!$T$209:$T$211</definedName>
    <definedName name="OSRRefT22_24x_0" localSheetId="2">Summary!$T$239</definedName>
    <definedName name="OSRRefT22_25x_0" localSheetId="47">'Div 3'!$T$213</definedName>
    <definedName name="OSRRefT22_25x_0" localSheetId="2">Summary!$T$241:$T$243</definedName>
    <definedName name="OSRRefT22_26x_0" localSheetId="2">Summary!$T$245</definedName>
    <definedName name="OSRRefT22_2x_0" localSheetId="40">'200'!$T$24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'300'!$T$134</definedName>
    <definedName name="OSRRefT22_2x_0" localSheetId="49">'300 &amp; 317'!$T$156</definedName>
    <definedName name="OSRRefT22_2x_0" localSheetId="50">'301'!$T$41:$T$42</definedName>
    <definedName name="OSRRefT22_2x_0" localSheetId="52">'307'!$T$59</definedName>
    <definedName name="OSRRefT22_2x_0" localSheetId="53">'308'!$T$76</definedName>
    <definedName name="OSRRefT22_2x_0" localSheetId="64">'309'!$T$42</definedName>
    <definedName name="OSRRefT22_2x_0" localSheetId="63">'310'!$T$49</definedName>
    <definedName name="OSRRefT22_2x_0" localSheetId="71">'310 &amp; 491'!$T$53</definedName>
    <definedName name="OSRRefT22_2x_0" localSheetId="54">'311'!$T$75</definedName>
    <definedName name="OSRRefT22_2x_0" localSheetId="65">'313'!$T$44</definedName>
    <definedName name="OSRRefT22_2x_0" localSheetId="57">'315'!$T$98</definedName>
    <definedName name="OSRRefT22_2x_0" localSheetId="60">'316'!$T$51</definedName>
    <definedName name="OSRRefT22_2x_0" localSheetId="62">'317'!$T$71</definedName>
    <definedName name="OSRRefT22_2x_0" localSheetId="66">'321'!$T$46</definedName>
    <definedName name="OSRRefT22_2x_0" localSheetId="67">'322'!$T$43</definedName>
    <definedName name="OSRRefT22_2x_0" localSheetId="68">'325'!$T$45</definedName>
    <definedName name="OSRRefT22_2x_0" localSheetId="58">'326'!$T$65</definedName>
    <definedName name="OSRRefT22_2x_0" localSheetId="51">'330'!$T$59</definedName>
    <definedName name="OSRRefT22_2x_0" localSheetId="56">'331'!$T$98</definedName>
    <definedName name="OSRRefT22_2x_0" localSheetId="59">'332'!$T$51</definedName>
    <definedName name="OSRRefT22_2x_0" localSheetId="73">'405'!$T$43</definedName>
    <definedName name="OSRRefT22_2x_0" localSheetId="74">'406'!$T$24</definedName>
    <definedName name="OSRRefT22_2x_0" localSheetId="75">'411'!$T$41</definedName>
    <definedName name="OSRRefT22_2x_0" localSheetId="76">'412'!$T$42</definedName>
    <definedName name="OSRRefT22_2x_0" localSheetId="77">'413'!$T$44</definedName>
    <definedName name="OSRRefT22_2x_0" localSheetId="78">'414'!$T$45</definedName>
    <definedName name="OSRRefT22_2x_0" localSheetId="79">'415'!$T$48</definedName>
    <definedName name="OSRRefT22_2x_0" localSheetId="80">'418'!$T$43</definedName>
    <definedName name="OSRRefT22_2x_0" localSheetId="82">'423'!$T$40</definedName>
    <definedName name="OSRRefT22_2x_0" localSheetId="83">'424'!$T$24</definedName>
    <definedName name="OSRRefT22_2x_0" localSheetId="84">'425'!$T$28</definedName>
    <definedName name="OSRRefT22_2x_0" localSheetId="87">'430'!$T$41</definedName>
    <definedName name="OSRRefT22_2x_0" localSheetId="88">'433'!$T$49</definedName>
    <definedName name="OSRRefT22_2x_0" localSheetId="90">'444'!$T$49</definedName>
    <definedName name="OSRRefT22_2x_0" localSheetId="91">'450'!$T$45</definedName>
    <definedName name="OSRRefT22_2x_0" localSheetId="72">'491'!$T$50</definedName>
    <definedName name="OSRRefT22_2x_0" localSheetId="86">'492'!$T$49</definedName>
    <definedName name="OSRRefT22_2x_0" localSheetId="93">'501'!$T$43</definedName>
    <definedName name="OSRRefT22_2x_0" localSheetId="39">'Div 2'!$T$44</definedName>
    <definedName name="OSRRefT22_2x_0" localSheetId="47">'Div 3'!$T$138</definedName>
    <definedName name="OSRRefT22_2x_0" localSheetId="70">'Div 4'!$T$53</definedName>
    <definedName name="OSRRefT22_2x_0" localSheetId="92">'Div 5'!$T$43</definedName>
    <definedName name="OSRRefT22_2x_0" localSheetId="61">'Div 6'!$T$71</definedName>
    <definedName name="OSRRefT22_2x_0" localSheetId="2">Summary!$T$165</definedName>
    <definedName name="OSRRefT22_3x_0" localSheetId="40">'200'!$T$26:$T$27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</definedName>
    <definedName name="OSRRefT22_3x_0" localSheetId="46">'206'!$T$43</definedName>
    <definedName name="OSRRefT22_3x_0" localSheetId="48">'300'!$T$136:$T$137</definedName>
    <definedName name="OSRRefT22_3x_0" localSheetId="49">'300 &amp; 317'!$T$158:$T$159</definedName>
    <definedName name="OSRRefT22_3x_0" localSheetId="50">'301'!$T$44</definedName>
    <definedName name="OSRRefT22_3x_0" localSheetId="52">'307'!$T$61</definedName>
    <definedName name="OSRRefT22_3x_0" localSheetId="53">'308'!$T$78</definedName>
    <definedName name="OSRRefT22_3x_0" localSheetId="64">'309'!$T$44</definedName>
    <definedName name="OSRRefT22_3x_0" localSheetId="63">'310'!$T$51</definedName>
    <definedName name="OSRRefT22_3x_0" localSheetId="71">'310 &amp; 491'!$T$55</definedName>
    <definedName name="OSRRefT22_3x_0" localSheetId="54">'311'!$T$77</definedName>
    <definedName name="OSRRefT22_3x_0" localSheetId="65">'313'!$T$46</definedName>
    <definedName name="OSRRefT22_3x_0" localSheetId="57">'315'!$T$100</definedName>
    <definedName name="OSRRefT22_3x_0" localSheetId="60">'316'!$T$53</definedName>
    <definedName name="OSRRefT22_3x_0" localSheetId="62">'317'!$T$73</definedName>
    <definedName name="OSRRefT22_3x_0" localSheetId="66">'321'!$T$48</definedName>
    <definedName name="OSRRefT22_3x_0" localSheetId="67">'322'!$T$45</definedName>
    <definedName name="OSRRefT22_3x_0" localSheetId="68">'325'!$T$47</definedName>
    <definedName name="OSRRefT22_3x_0" localSheetId="58">'326'!$T$67</definedName>
    <definedName name="OSRRefT22_3x_0" localSheetId="51">'330'!$T$61</definedName>
    <definedName name="OSRRefT22_3x_0" localSheetId="56">'331'!$T$100</definedName>
    <definedName name="OSRRefT22_3x_0" localSheetId="59">'332'!$T$53</definedName>
    <definedName name="OSRRefT22_3x_0" localSheetId="73">'405'!$T$45</definedName>
    <definedName name="OSRRefT22_3x_0" localSheetId="74">'406'!$T$26</definedName>
    <definedName name="OSRRefT22_3x_0" localSheetId="75">'411'!$T$43</definedName>
    <definedName name="OSRRefT22_3x_0" localSheetId="76">'412'!$T$44</definedName>
    <definedName name="OSRRefT22_3x_0" localSheetId="77">'413'!$T$46</definedName>
    <definedName name="OSRRefT22_3x_0" localSheetId="78">'414'!$T$47</definedName>
    <definedName name="OSRRefT22_3x_0" localSheetId="79">'415'!$T$50</definedName>
    <definedName name="OSRRefT22_3x_0" localSheetId="80">'418'!$T$45</definedName>
    <definedName name="OSRRefT22_3x_0" localSheetId="82">'423'!$T$42:$T$43</definedName>
    <definedName name="OSRRefT22_3x_0" localSheetId="83">'424'!$T$26</definedName>
    <definedName name="OSRRefT22_3x_0" localSheetId="84">'425'!$T$30</definedName>
    <definedName name="OSRRefT22_3x_0" localSheetId="87">'430'!$T$43:$T$45</definedName>
    <definedName name="OSRRefT22_3x_0" localSheetId="88">'433'!$T$51</definedName>
    <definedName name="OSRRefT22_3x_0" localSheetId="90">'444'!$T$51</definedName>
    <definedName name="OSRRefT22_3x_0" localSheetId="91">'450'!$T$47</definedName>
    <definedName name="OSRRefT22_3x_0" localSheetId="72">'491'!$T$52</definedName>
    <definedName name="OSRRefT22_3x_0" localSheetId="86">'492'!$T$51</definedName>
    <definedName name="OSRRefT22_3x_0" localSheetId="93">'501'!$T$45</definedName>
    <definedName name="OSRRefT22_3x_0" localSheetId="39">'Div 2'!$T$46</definedName>
    <definedName name="OSRRefT22_3x_0" localSheetId="47">'Div 3'!$T$140:$T$141</definedName>
    <definedName name="OSRRefT22_3x_0" localSheetId="70">'Div 4'!$T$55</definedName>
    <definedName name="OSRRefT22_3x_0" localSheetId="92">'Div 5'!$T$45</definedName>
    <definedName name="OSRRefT22_3x_0" localSheetId="61">'Div 6'!$T$73</definedName>
    <definedName name="OSRRefT22_3x_0" localSheetId="2">Summary!$T$167:$T$168</definedName>
    <definedName name="OSRRefT22_4x_0" localSheetId="41">'201'!$T$46</definedName>
    <definedName name="OSRRefT22_4x_0" localSheetId="42">'202'!$T$46:$T$47</definedName>
    <definedName name="OSRRefT22_4x_0" localSheetId="43">'203'!$T$46</definedName>
    <definedName name="OSRRefT22_4x_0" localSheetId="44">'204'!$T$47</definedName>
    <definedName name="OSRRefT22_4x_0" localSheetId="45">'205'!$T$45:$T$46</definedName>
    <definedName name="OSRRefT22_4x_0" localSheetId="46">'206'!$T$45</definedName>
    <definedName name="OSRRefT22_4x_0" localSheetId="48">'300'!$T$139</definedName>
    <definedName name="OSRRefT22_4x_0" localSheetId="49">'300 &amp; 317'!$T$161</definedName>
    <definedName name="OSRRefT22_4x_0" localSheetId="50">'301'!$T$46:$T$47</definedName>
    <definedName name="OSRRefT22_4x_0" localSheetId="52">'307'!$T$63</definedName>
    <definedName name="OSRRefT22_4x_0" localSheetId="53">'308'!$T$80</definedName>
    <definedName name="OSRRefT22_4x_0" localSheetId="64">'309'!$T$46</definedName>
    <definedName name="OSRRefT22_4x_0" localSheetId="63">'310'!$T$53</definedName>
    <definedName name="OSRRefT22_4x_0" localSheetId="71">'310 &amp; 491'!$T$57</definedName>
    <definedName name="OSRRefT22_4x_0" localSheetId="54">'311'!$T$79</definedName>
    <definedName name="OSRRefT22_4x_0" localSheetId="65">'313'!$T$48</definedName>
    <definedName name="OSRRefT22_4x_0" localSheetId="57">'315'!$T$102</definedName>
    <definedName name="OSRRefT22_4x_0" localSheetId="60">'316'!$T$55</definedName>
    <definedName name="OSRRefT22_4x_0" localSheetId="62">'317'!$T$75</definedName>
    <definedName name="OSRRefT22_4x_0" localSheetId="66">'321'!$T$50</definedName>
    <definedName name="OSRRefT22_4x_0" localSheetId="67">'322'!$T$47</definedName>
    <definedName name="OSRRefT22_4x_0" localSheetId="68">'325'!$T$49</definedName>
    <definedName name="OSRRefT22_4x_0" localSheetId="58">'326'!$T$69</definedName>
    <definedName name="OSRRefT22_4x_0" localSheetId="51">'330'!$T$63</definedName>
    <definedName name="OSRRefT22_4x_0" localSheetId="56">'331'!$T$102</definedName>
    <definedName name="OSRRefT22_4x_0" localSheetId="59">'332'!$T$55</definedName>
    <definedName name="OSRRefT22_4x_0" localSheetId="73">'405'!$T$47:$T$48</definedName>
    <definedName name="OSRRefT22_4x_0" localSheetId="74">'406'!$T$28</definedName>
    <definedName name="OSRRefT22_4x_0" localSheetId="75">'411'!$T$45:$T$46</definedName>
    <definedName name="OSRRefT22_4x_0" localSheetId="76">'412'!$T$46:$T$47</definedName>
    <definedName name="OSRRefT22_4x_0" localSheetId="77">'413'!$T$48</definedName>
    <definedName name="OSRRefT22_4x_0" localSheetId="78">'414'!$T$49</definedName>
    <definedName name="OSRRefT22_4x_0" localSheetId="79">'415'!$T$52</definedName>
    <definedName name="OSRRefT22_4x_0" localSheetId="80">'418'!$T$47:$T$48</definedName>
    <definedName name="OSRRefT22_4x_0" localSheetId="82">'423'!$T$45</definedName>
    <definedName name="OSRRefT22_4x_0" localSheetId="84">'425'!$T$32</definedName>
    <definedName name="OSRRefT22_4x_0" localSheetId="87">'430'!$T$47:$T$48</definedName>
    <definedName name="OSRRefT22_4x_0" localSheetId="88">'433'!$T$53</definedName>
    <definedName name="OSRRefT22_4x_0" localSheetId="90">'444'!$T$53</definedName>
    <definedName name="OSRRefT22_4x_0" localSheetId="91">'450'!$T$49</definedName>
    <definedName name="OSRRefT22_4x_0" localSheetId="72">'491'!$T$54</definedName>
    <definedName name="OSRRefT22_4x_0" localSheetId="86">'492'!$T$53</definedName>
    <definedName name="OSRRefT22_4x_0" localSheetId="93">'501'!$T$47</definedName>
    <definedName name="OSRRefT22_4x_0" localSheetId="39">'Div 2'!$T$48</definedName>
    <definedName name="OSRRefT22_4x_0" localSheetId="47">'Div 3'!$T$143</definedName>
    <definedName name="OSRRefT22_4x_0" localSheetId="70">'Div 4'!$T$57</definedName>
    <definedName name="OSRRefT22_4x_0" localSheetId="92">'Div 5'!$T$47</definedName>
    <definedName name="OSRRefT22_4x_0" localSheetId="61">'Div 6'!$T$75</definedName>
    <definedName name="OSRRefT22_4x_0" localSheetId="2">Summary!$T$170</definedName>
    <definedName name="OSRRefT22_5x_0" localSheetId="41">'201'!$T$48</definedName>
    <definedName name="OSRRefT22_5x_0" localSheetId="42">'202'!$T$49</definedName>
    <definedName name="OSRRefT22_5x_0" localSheetId="43">'203'!$T$48</definedName>
    <definedName name="OSRRefT22_5x_0" localSheetId="44">'204'!$T$49</definedName>
    <definedName name="OSRRefT22_5x_0" localSheetId="45">'205'!$T$48</definedName>
    <definedName name="OSRRefT22_5x_0" localSheetId="46">'206'!$T$47</definedName>
    <definedName name="OSRRefT22_5x_0" localSheetId="48">'300'!$T$141:$T$142</definedName>
    <definedName name="OSRRefT22_5x_0" localSheetId="49">'300 &amp; 317'!$T$163:$T$164</definedName>
    <definedName name="OSRRefT22_5x_0" localSheetId="50">'301'!$T$49</definedName>
    <definedName name="OSRRefT22_5x_0" localSheetId="52">'307'!$T$65:$T$66</definedName>
    <definedName name="OSRRefT22_5x_0" localSheetId="53">'308'!$T$82</definedName>
    <definedName name="OSRRefT22_5x_0" localSheetId="64">'309'!$T$48</definedName>
    <definedName name="OSRRefT22_5x_0" localSheetId="63">'310'!$T$55:$T$56</definedName>
    <definedName name="OSRRefT22_5x_0" localSheetId="71">'310 &amp; 491'!$T$59:$T$61</definedName>
    <definedName name="OSRRefT22_5x_0" localSheetId="54">'311'!$T$81</definedName>
    <definedName name="OSRRefT22_5x_0" localSheetId="65">'313'!$T$50</definedName>
    <definedName name="OSRRefT22_5x_0" localSheetId="57">'315'!$T$104</definedName>
    <definedName name="OSRRefT22_5x_0" localSheetId="60">'316'!$T$57</definedName>
    <definedName name="OSRRefT22_5x_0" localSheetId="62">'317'!$T$77</definedName>
    <definedName name="OSRRefT22_5x_0" localSheetId="66">'321'!$T$52</definedName>
    <definedName name="OSRRefT22_5x_0" localSheetId="67">'322'!$T$49</definedName>
    <definedName name="OSRRefT22_5x_0" localSheetId="68">'325'!$T$51:$T$52</definedName>
    <definedName name="OSRRefT22_5x_0" localSheetId="58">'326'!$T$71</definedName>
    <definedName name="OSRRefT22_5x_0" localSheetId="51">'330'!$T$65:$T$66</definedName>
    <definedName name="OSRRefT22_5x_0" localSheetId="56">'331'!$T$104</definedName>
    <definedName name="OSRRefT22_5x_0" localSheetId="59">'332'!$T$57</definedName>
    <definedName name="OSRRefT22_5x_0" localSheetId="73">'405'!$T$50</definedName>
    <definedName name="OSRRefT22_5x_0" localSheetId="75">'411'!$T$48</definedName>
    <definedName name="OSRRefT22_5x_0" localSheetId="76">'412'!$T$49</definedName>
    <definedName name="OSRRefT22_5x_0" localSheetId="77">'413'!$T$50</definedName>
    <definedName name="OSRRefT22_5x_0" localSheetId="78">'414'!$T$51</definedName>
    <definedName name="OSRRefT22_5x_0" localSheetId="79">'415'!$T$54:$T$55</definedName>
    <definedName name="OSRRefT22_5x_0" localSheetId="80">'418'!$T$50</definedName>
    <definedName name="OSRRefT22_5x_0" localSheetId="82">'423'!$T$47</definedName>
    <definedName name="OSRRefT22_5x_0" localSheetId="87">'430'!$T$50</definedName>
    <definedName name="OSRRefT22_5x_0" localSheetId="88">'433'!$T$55</definedName>
    <definedName name="OSRRefT22_5x_0" localSheetId="90">'444'!$T$55</definedName>
    <definedName name="OSRRefT22_5x_0" localSheetId="91">'450'!$T$51</definedName>
    <definedName name="OSRRefT22_5x_0" localSheetId="72">'491'!$T$56:$T$58</definedName>
    <definedName name="OSRRefT22_5x_0" localSheetId="86">'492'!$T$55</definedName>
    <definedName name="OSRRefT22_5x_0" localSheetId="93">'501'!$T$49:$T$50</definedName>
    <definedName name="OSRRefT22_5x_0" localSheetId="39">'Div 2'!$T$50:$T$51</definedName>
    <definedName name="OSRRefT22_5x_0" localSheetId="47">'Div 3'!$T$145:$T$146</definedName>
    <definedName name="OSRRefT22_5x_0" localSheetId="70">'Div 4'!$T$59:$T$61</definedName>
    <definedName name="OSRRefT22_5x_0" localSheetId="92">'Div 5'!$T$49:$T$50</definedName>
    <definedName name="OSRRefT22_5x_0" localSheetId="61">'Div 6'!$T$77</definedName>
    <definedName name="OSRRefT22_5x_0" localSheetId="2">Summary!$T$172:$T$174</definedName>
    <definedName name="OSRRefT22_6x_0" localSheetId="41">'201'!$T$50</definedName>
    <definedName name="OSRRefT22_6x_0" localSheetId="42">'202'!$T$51</definedName>
    <definedName name="OSRRefT22_6x_0" localSheetId="43">'203'!$T$50</definedName>
    <definedName name="OSRRefT22_6x_0" localSheetId="44">'204'!$T$51:$T$53</definedName>
    <definedName name="OSRRefT22_6x_0" localSheetId="45">'205'!$T$50:$T$51</definedName>
    <definedName name="OSRRefT22_6x_0" localSheetId="46">'206'!$T$49</definedName>
    <definedName name="OSRRefT22_6x_0" localSheetId="48">'300'!$T$144:$T$145</definedName>
    <definedName name="OSRRefT22_6x_0" localSheetId="49">'300 &amp; 317'!$T$166:$T$167</definedName>
    <definedName name="OSRRefT22_6x_0" localSheetId="50">'301'!$T$51</definedName>
    <definedName name="OSRRefT22_6x_0" localSheetId="52">'307'!$T$68</definedName>
    <definedName name="OSRRefT22_6x_0" localSheetId="53">'308'!$T$84</definedName>
    <definedName name="OSRRefT22_6x_0" localSheetId="64">'309'!$T$50:$T$51</definedName>
    <definedName name="OSRRefT22_6x_0" localSheetId="63">'310'!$T$58</definedName>
    <definedName name="OSRRefT22_6x_0" localSheetId="71">'310 &amp; 491'!$T$63</definedName>
    <definedName name="OSRRefT22_6x_0" localSheetId="54">'311'!$T$83</definedName>
    <definedName name="OSRRefT22_6x_0" localSheetId="65">'313'!$T$52:$T$53</definedName>
    <definedName name="OSRRefT22_6x_0" localSheetId="57">'315'!$T$106</definedName>
    <definedName name="OSRRefT22_6x_0" localSheetId="60">'316'!$T$59:$T$60</definedName>
    <definedName name="OSRRefT22_6x_0" localSheetId="62">'317'!$T$79:$T$80</definedName>
    <definedName name="OSRRefT22_6x_0" localSheetId="66">'321'!$T$54</definedName>
    <definedName name="OSRRefT22_6x_0" localSheetId="67">'322'!$T$51</definedName>
    <definedName name="OSRRefT22_6x_0" localSheetId="68">'325'!$T$54</definedName>
    <definedName name="OSRRefT22_6x_0" localSheetId="58">'326'!$T$73</definedName>
    <definedName name="OSRRefT22_6x_0" localSheetId="51">'330'!$T$68</definedName>
    <definedName name="OSRRefT22_6x_0" localSheetId="56">'331'!$T$106</definedName>
    <definedName name="OSRRefT22_6x_0" localSheetId="59">'332'!$T$59:$T$60</definedName>
    <definedName name="OSRRefT22_6x_0" localSheetId="73">'405'!$T$52</definedName>
    <definedName name="OSRRefT22_6x_0" localSheetId="75">'411'!$T$50</definedName>
    <definedName name="OSRRefT22_6x_0" localSheetId="76">'412'!$T$51</definedName>
    <definedName name="OSRRefT22_6x_0" localSheetId="77">'413'!$T$52</definedName>
    <definedName name="OSRRefT22_6x_0" localSheetId="78">'414'!$T$53</definedName>
    <definedName name="OSRRefT22_6x_0" localSheetId="79">'415'!$T$57</definedName>
    <definedName name="OSRRefT22_6x_0" localSheetId="80">'418'!$T$52</definedName>
    <definedName name="OSRRefT22_6x_0" localSheetId="82">'423'!$T$49</definedName>
    <definedName name="OSRRefT22_6x_0" localSheetId="87">'430'!$T$52</definedName>
    <definedName name="OSRRefT22_6x_0" localSheetId="88">'433'!$T$57</definedName>
    <definedName name="OSRRefT22_6x_0" localSheetId="90">'444'!$T$57</definedName>
    <definedName name="OSRRefT22_6x_0" localSheetId="91">'450'!$T$53</definedName>
    <definedName name="OSRRefT22_6x_0" localSheetId="72">'491'!$T$60</definedName>
    <definedName name="OSRRefT22_6x_0" localSheetId="86">'492'!$T$57</definedName>
    <definedName name="OSRRefT22_6x_0" localSheetId="93">'501'!$T$52</definedName>
    <definedName name="OSRRefT22_6x_0" localSheetId="39">'Div 2'!$T$53</definedName>
    <definedName name="OSRRefT22_6x_0" localSheetId="47">'Div 3'!$T$148:$T$149</definedName>
    <definedName name="OSRRefT22_6x_0" localSheetId="70">'Div 4'!$T$63</definedName>
    <definedName name="OSRRefT22_6x_0" localSheetId="92">'Div 5'!$T$52</definedName>
    <definedName name="OSRRefT22_6x_0" localSheetId="61">'Div 6'!$T$79:$T$80</definedName>
    <definedName name="OSRRefT22_6x_0" localSheetId="2">Summary!$T$176:$T$177</definedName>
    <definedName name="OSRRefT22_7x_0" localSheetId="41">'201'!$T$52</definedName>
    <definedName name="OSRRefT22_7x_0" localSheetId="42">'202'!$T$53:$T$54</definedName>
    <definedName name="OSRRefT22_7x_0" localSheetId="43">'203'!$T$52:$T$53</definedName>
    <definedName name="OSRRefT22_7x_0" localSheetId="44">'204'!$T$55:$T$56</definedName>
    <definedName name="OSRRefT22_7x_0" localSheetId="45">'205'!$T$53</definedName>
    <definedName name="OSRRefT22_7x_0" localSheetId="46">'206'!$T$51</definedName>
    <definedName name="OSRRefT22_7x_0" localSheetId="48">'300'!$T$147:$T$148</definedName>
    <definedName name="OSRRefT22_7x_0" localSheetId="49">'300 &amp; 317'!$T$169:$T$170</definedName>
    <definedName name="OSRRefT22_7x_0" localSheetId="50">'301'!$T$53</definedName>
    <definedName name="OSRRefT22_7x_0" localSheetId="52">'307'!$T$70</definedName>
    <definedName name="OSRRefT22_7x_0" localSheetId="53">'308'!$T$86:$T$87</definedName>
    <definedName name="OSRRefT22_7x_0" localSheetId="64">'309'!$T$53:$T$54</definedName>
    <definedName name="OSRRefT22_7x_0" localSheetId="63">'310'!$T$60</definedName>
    <definedName name="OSRRefT22_7x_0" localSheetId="71">'310 &amp; 491'!$T$65</definedName>
    <definedName name="OSRRefT22_7x_0" localSheetId="54">'311'!$T$85:$T$86</definedName>
    <definedName name="OSRRefT22_7x_0" localSheetId="65">'313'!$T$55</definedName>
    <definedName name="OSRRefT22_7x_0" localSheetId="57">'315'!$T$108:$T$109</definedName>
    <definedName name="OSRRefT22_7x_0" localSheetId="60">'316'!$T$62:$T$63</definedName>
    <definedName name="OSRRefT22_7x_0" localSheetId="62">'317'!$T$82</definedName>
    <definedName name="OSRRefT22_7x_0" localSheetId="66">'321'!$T$56:$T$57</definedName>
    <definedName name="OSRRefT22_7x_0" localSheetId="67">'322'!$T$53:$T$54</definedName>
    <definedName name="OSRRefT22_7x_0" localSheetId="68">'325'!$T$56</definedName>
    <definedName name="OSRRefT22_7x_0" localSheetId="58">'326'!$T$75</definedName>
    <definedName name="OSRRefT22_7x_0" localSheetId="51">'330'!$T$70</definedName>
    <definedName name="OSRRefT22_7x_0" localSheetId="56">'331'!$T$108</definedName>
    <definedName name="OSRRefT22_7x_0" localSheetId="59">'332'!$T$62:$T$63</definedName>
    <definedName name="OSRRefT22_7x_0" localSheetId="73">'405'!$T$54</definedName>
    <definedName name="OSRRefT22_7x_0" localSheetId="75">'411'!$T$52</definedName>
    <definedName name="OSRRefT22_7x_0" localSheetId="76">'412'!$T$53</definedName>
    <definedName name="OSRRefT22_7x_0" localSheetId="77">'413'!$T$54</definedName>
    <definedName name="OSRRefT22_7x_0" localSheetId="78">'414'!$T$55</definedName>
    <definedName name="OSRRefT22_7x_0" localSheetId="79">'415'!$T$59</definedName>
    <definedName name="OSRRefT22_7x_0" localSheetId="80">'418'!$T$54</definedName>
    <definedName name="OSRRefT22_7x_0" localSheetId="88">'433'!$T$59</definedName>
    <definedName name="OSRRefT22_7x_0" localSheetId="90">'444'!$T$59</definedName>
    <definedName name="OSRRefT22_7x_0" localSheetId="91">'450'!$T$55</definedName>
    <definedName name="OSRRefT22_7x_0" localSheetId="72">'491'!$T$62</definedName>
    <definedName name="OSRRefT22_7x_0" localSheetId="86">'492'!$T$59</definedName>
    <definedName name="OSRRefT22_7x_0" localSheetId="93">'501'!$T$54</definedName>
    <definedName name="OSRRefT22_7x_0" localSheetId="39">'Div 2'!$T$55</definedName>
    <definedName name="OSRRefT22_7x_0" localSheetId="47">'Div 3'!$T$151:$T$152</definedName>
    <definedName name="OSRRefT22_7x_0" localSheetId="70">'Div 4'!$T$65</definedName>
    <definedName name="OSRRefT22_7x_0" localSheetId="92">'Div 5'!$T$54</definedName>
    <definedName name="OSRRefT22_7x_0" localSheetId="61">'Div 6'!$T$82</definedName>
    <definedName name="OSRRefT22_7x_0" localSheetId="2">Summary!$T$179:$T$180</definedName>
    <definedName name="OSRRefT22_8x_0" localSheetId="41">'201'!$T$54</definedName>
    <definedName name="OSRRefT22_8x_0" localSheetId="42">'202'!$T$56</definedName>
    <definedName name="OSRRefT22_8x_0" localSheetId="43">'203'!$T$55:$T$57</definedName>
    <definedName name="OSRRefT22_8x_0" localSheetId="44">'204'!$T$58</definedName>
    <definedName name="OSRRefT22_8x_0" localSheetId="46">'206'!$T$53:$T$54</definedName>
    <definedName name="OSRRefT22_8x_0" localSheetId="48">'300'!$T$150</definedName>
    <definedName name="OSRRefT22_8x_0" localSheetId="49">'300 &amp; 317'!$T$172</definedName>
    <definedName name="OSRRefT22_8x_0" localSheetId="50">'301'!$T$55</definedName>
    <definedName name="OSRRefT22_8x_0" localSheetId="52">'307'!$T$72</definedName>
    <definedName name="OSRRefT22_8x_0" localSheetId="53">'308'!$T$89</definedName>
    <definedName name="OSRRefT22_8x_0" localSheetId="64">'309'!$T$56:$T$57</definedName>
    <definedName name="OSRRefT22_8x_0" localSheetId="63">'310'!$T$62</definedName>
    <definedName name="OSRRefT22_8x_0" localSheetId="71">'310 &amp; 491'!$T$67:$T$68</definedName>
    <definedName name="OSRRefT22_8x_0" localSheetId="54">'311'!$T$88</definedName>
    <definedName name="OSRRefT22_8x_0" localSheetId="65">'313'!$T$57:$T$59</definedName>
    <definedName name="OSRRefT22_8x_0" localSheetId="57">'315'!$T$111</definedName>
    <definedName name="OSRRefT22_8x_0" localSheetId="60">'316'!$T$65</definedName>
    <definedName name="OSRRefT22_8x_0" localSheetId="62">'317'!$T$84</definedName>
    <definedName name="OSRRefT22_8x_0" localSheetId="66">'321'!$T$59:$T$60</definedName>
    <definedName name="OSRRefT22_8x_0" localSheetId="67">'322'!$T$56:$T$57</definedName>
    <definedName name="OSRRefT22_8x_0" localSheetId="68">'325'!$T$58</definedName>
    <definedName name="OSRRefT22_8x_0" localSheetId="58">'326'!$T$77:$T$78</definedName>
    <definedName name="OSRRefT22_8x_0" localSheetId="51">'330'!$T$72</definedName>
    <definedName name="OSRRefT22_8x_0" localSheetId="56">'331'!$T$110:$T$111</definedName>
    <definedName name="OSRRefT22_8x_0" localSheetId="59">'332'!$T$65</definedName>
    <definedName name="OSRRefT22_8x_0" localSheetId="73">'405'!$T$56:$T$57</definedName>
    <definedName name="OSRRefT22_8x_0" localSheetId="75">'411'!$T$54</definedName>
    <definedName name="OSRRefT22_8x_0" localSheetId="76">'412'!$T$55:$T$56</definedName>
    <definedName name="OSRRefT22_8x_0" localSheetId="77">'413'!$T$56:$T$58</definedName>
    <definedName name="OSRRefT22_8x_0" localSheetId="78">'414'!$T$57:$T$58</definedName>
    <definedName name="OSRRefT22_8x_0" localSheetId="79">'415'!$T$61</definedName>
    <definedName name="OSRRefT22_8x_0" localSheetId="80">'418'!$T$56:$T$58</definedName>
    <definedName name="OSRRefT22_8x_0" localSheetId="88">'433'!$T$61</definedName>
    <definedName name="OSRRefT22_8x_0" localSheetId="90">'444'!$T$61</definedName>
    <definedName name="OSRRefT22_8x_0" localSheetId="91">'450'!$T$57</definedName>
    <definedName name="OSRRefT22_8x_0" localSheetId="72">'491'!$T$64</definedName>
    <definedName name="OSRRefT22_8x_0" localSheetId="86">'492'!$T$61</definedName>
    <definedName name="OSRRefT22_8x_0" localSheetId="93">'501'!$T$56</definedName>
    <definedName name="OSRRefT22_8x_0" localSheetId="39">'Div 2'!$T$57</definedName>
    <definedName name="OSRRefT22_8x_0" localSheetId="47">'Div 3'!$T$154</definedName>
    <definedName name="OSRRefT22_8x_0" localSheetId="70">'Div 4'!$T$67</definedName>
    <definedName name="OSRRefT22_8x_0" localSheetId="92">'Div 5'!$T$56</definedName>
    <definedName name="OSRRefT22_8x_0" localSheetId="61">'Div 6'!$T$84</definedName>
    <definedName name="OSRRefT22_8x_0" localSheetId="2">Summary!$T$182</definedName>
    <definedName name="OSRRefT22_9x_0" localSheetId="41">'201'!$T$56</definedName>
    <definedName name="OSRRefT22_9x_0" localSheetId="42">'202'!$T$58:$T$60</definedName>
    <definedName name="OSRRefT22_9x_0" localSheetId="43">'203'!$T$59</definedName>
    <definedName name="OSRRefT22_9x_0" localSheetId="44">'204'!$T$60:$T$61</definedName>
    <definedName name="OSRRefT22_9x_0" localSheetId="46">'206'!$T$56</definedName>
    <definedName name="OSRRefT22_9x_0" localSheetId="48">'300'!$T$152</definedName>
    <definedName name="OSRRefT22_9x_0" localSheetId="49">'300 &amp; 317'!$T$174</definedName>
    <definedName name="OSRRefT22_9x_0" localSheetId="50">'301'!$T$57</definedName>
    <definedName name="OSRRefT22_9x_0" localSheetId="52">'307'!$T$74:$T$75</definedName>
    <definedName name="OSRRefT22_9x_0" localSheetId="53">'308'!$T$91:$T$92</definedName>
    <definedName name="OSRRefT22_9x_0" localSheetId="64">'309'!$T$59</definedName>
    <definedName name="OSRRefT22_9x_0" localSheetId="63">'310'!$T$64</definedName>
    <definedName name="OSRRefT22_9x_0" localSheetId="71">'310 &amp; 491'!$T$70</definedName>
    <definedName name="OSRRefT22_9x_0" localSheetId="54">'311'!$T$90:$T$91</definedName>
    <definedName name="OSRRefT22_9x_0" localSheetId="65">'313'!$T$61:$T$62</definedName>
    <definedName name="OSRRefT22_9x_0" localSheetId="57">'315'!$T$113</definedName>
    <definedName name="OSRRefT22_9x_0" localSheetId="60">'316'!$T$67:$T$71</definedName>
    <definedName name="OSRRefT22_9x_0" localSheetId="62">'317'!$T$86</definedName>
    <definedName name="OSRRefT22_9x_0" localSheetId="66">'321'!$T$62:$T$63</definedName>
    <definedName name="OSRRefT22_9x_0" localSheetId="67">'322'!$T$59:$T$62</definedName>
    <definedName name="OSRRefT22_9x_0" localSheetId="68">'325'!$T$60</definedName>
    <definedName name="OSRRefT22_9x_0" localSheetId="58">'326'!$T$80</definedName>
    <definedName name="OSRRefT22_9x_0" localSheetId="51">'330'!$T$74:$T$75</definedName>
    <definedName name="OSRRefT22_9x_0" localSheetId="56">'331'!$T$113:$T$114</definedName>
    <definedName name="OSRRefT22_9x_0" localSheetId="59">'332'!$T$67:$T$71</definedName>
    <definedName name="OSRRefT22_9x_0" localSheetId="73">'405'!$T$59</definedName>
    <definedName name="OSRRefT22_9x_0" localSheetId="75">'411'!$T$56:$T$57</definedName>
    <definedName name="OSRRefT22_9x_0" localSheetId="76">'412'!$T$58</definedName>
    <definedName name="OSRRefT22_9x_0" localSheetId="77">'413'!$T$60:$T$61</definedName>
    <definedName name="OSRRefT22_9x_0" localSheetId="78">'414'!$T$60</definedName>
    <definedName name="OSRRefT22_9x_0" localSheetId="79">'415'!$T$63</definedName>
    <definedName name="OSRRefT22_9x_0" localSheetId="80">'418'!$T$60:$T$61</definedName>
    <definedName name="OSRRefT22_9x_0" localSheetId="88">'433'!$T$63</definedName>
    <definedName name="OSRRefT22_9x_0" localSheetId="90">'444'!$T$63</definedName>
    <definedName name="OSRRefT22_9x_0" localSheetId="91">'450'!$T$59</definedName>
    <definedName name="OSRRefT22_9x_0" localSheetId="72">'491'!$T$66</definedName>
    <definedName name="OSRRefT22_9x_0" localSheetId="86">'492'!$T$63</definedName>
    <definedName name="OSRRefT22_9x_0" localSheetId="93">'501'!$T$58:$T$61</definedName>
    <definedName name="OSRRefT22_9x_0" localSheetId="39">'Div 2'!$T$59:$T$60</definedName>
    <definedName name="OSRRefT22_9x_0" localSheetId="47">'Div 3'!$T$156</definedName>
    <definedName name="OSRRefT22_9x_0" localSheetId="70">'Div 4'!$T$69</definedName>
    <definedName name="OSRRefT22_9x_0" localSheetId="92">'Div 5'!$T$58:$T$61</definedName>
    <definedName name="OSRRefT22_9x_0" localSheetId="61">'Div 6'!$T$86</definedName>
    <definedName name="OSRRefT22_9x_0" localSheetId="2">Summary!$T$184</definedName>
    <definedName name="OSRRefT22x_0" localSheetId="40">'200'!$T$20,'200'!$T$22,'200'!$T$24,'200'!$T$26:$T$27</definedName>
    <definedName name="OSRRefT22x_0" localSheetId="41">'201'!$T$21:$T$29,'201'!$T$31:$T$40,'201'!$T$42,'201'!$T$44,'201'!$T$46,'201'!$T$48,'201'!$T$50,'201'!$T$52,'201'!$T$54,'201'!$T$56,'201'!$T$58:$T$59,'201'!$T$61,'201'!$T$63,'201'!$T$65:$T$67,'201'!$T$69,'201'!$T$71</definedName>
    <definedName name="OSRRefT22x_0" localSheetId="42">'202'!$T$21:$T$29,'202'!$T$31:$T$40,'202'!$T$42,'202'!$T$44,'202'!$T$46:$T$47,'202'!$T$49,'202'!$T$51,'202'!$T$53:$T$54,'202'!$T$56,'202'!$T$58:$T$60,'202'!$T$62,'202'!$T$64,'202'!$T$66</definedName>
    <definedName name="OSRRefT22x_0" localSheetId="43">'203'!$T$20:$T$29,'203'!$T$31:$T$40,'203'!$T$42,'203'!$T$44,'203'!$T$46,'203'!$T$48,'203'!$T$50,'203'!$T$52:$T$53,'203'!$T$55:$T$57,'203'!$T$59,'203'!$T$61,'203'!$T$63:$T$65,'203'!$T$67,'203'!$T$69</definedName>
    <definedName name="OSRRefT22x_0" localSheetId="44">'204'!$T$20:$T$29,'204'!$T$31:$T$40,'204'!$T$42,'204'!$T$44:$T$45,'204'!$T$47,'204'!$T$49,'204'!$T$51:$T$53,'204'!$T$55:$T$56,'204'!$T$58,'204'!$T$60:$T$61,'204'!$T$63</definedName>
    <definedName name="OSRRefT22x_0" localSheetId="45">'205'!$T$20:$T$28,'205'!$T$30:$T$39,'205'!$T$41,'205'!$T$43,'205'!$T$45:$T$46,'205'!$T$48,'205'!$T$50:$T$51,'205'!$T$53</definedName>
    <definedName name="OSRRefT22x_0" localSheetId="46">'206'!$T$20:$T$28,'206'!$T$30:$T$39,'206'!$T$41,'206'!$T$43,'206'!$T$45,'206'!$T$47,'206'!$T$49,'206'!$T$51,'206'!$T$53:$T$54,'206'!$T$56</definedName>
    <definedName name="OSRRefT22x_0" localSheetId="48">'300'!$T$112:$T$121,'300'!$T$123:$T$132,'300'!$T$134,'300'!$T$136:$T$137,'300'!$T$139,'300'!$T$141:$T$142,'300'!$T$144:$T$145,'300'!$T$147:$T$148,'300'!$T$150,'300'!$T$152,'300'!$T$154:$T$155,'300'!$T$157:$T$159,'300'!$T$161,'300'!$T$163,'300'!$T$165,'300'!$T$167,'300'!$T$169:$T$172,'300'!$T$174:$T$177,'300'!$T$179:$T$182,'300'!$T$184:$T$185,'300'!$T$187:$T$195,'300'!$T$197:$T$198,'300'!$T$200,'300'!$T$202:$T$204,'300'!$T$206</definedName>
    <definedName name="OSRRefT22x_0" localSheetId="49">'300 &amp; 317'!$T$134:$T$143,'300 &amp; 317'!$T$145:$T$154,'300 &amp; 317'!$T$156,'300 &amp; 317'!$T$158:$T$159,'300 &amp; 317'!$T$161,'300 &amp; 317'!$T$163:$T$164,'300 &amp; 317'!$T$166:$T$167,'300 &amp; 317'!$T$169:$T$170,'300 &amp; 317'!$T$172,'300 &amp; 317'!$T$174,'300 &amp; 317'!$T$176:$T$177,'300 &amp; 317'!$T$179:$T$181,'300 &amp; 317'!$T$183,'300 &amp; 317'!$T$185,'300 &amp; 317'!$T$187,'300 &amp; 317'!$T$189,'300 &amp; 317'!$T$191:$T$194,'300 &amp; 317'!$T$196:$T$199,'300 &amp; 317'!$T$201:$T$204,'300 &amp; 317'!$T$206:$T$207,'300 &amp; 317'!$T$209:$T$217,'300 &amp; 317'!$T$219:$T$220,'300 &amp; 317'!$T$222,'300 &amp; 317'!$T$224:$T$226,'300 &amp; 317'!$T$228</definedName>
    <definedName name="OSRRefT22x_0" localSheetId="50">'301'!$T$20:$T$28,'301'!$T$30:$T$39,'301'!$T$41:$T$42,'301'!$T$44,'301'!$T$46:$T$47,'301'!$T$49,'301'!$T$51,'301'!$T$53,'301'!$T$55,'301'!$T$57,'301'!$T$59,'301'!$T$61,'301'!$T$63,'301'!$T$65:$T$68,'301'!$T$70:$T$72,'301'!$T$74,'301'!$T$76:$T$82,'301'!$T$84,'301'!$T$86,'301'!$T$88,'301'!$T$90</definedName>
    <definedName name="OSRRefT22x_0" localSheetId="52">'307'!$T$39:$T$46,'307'!$T$48:$T$57,'307'!$T$59,'307'!$T$61,'307'!$T$63,'307'!$T$65:$T$66,'307'!$T$68,'307'!$T$70,'307'!$T$72,'307'!$T$74:$T$75,'307'!$T$77:$T$78,'307'!$T$80:$T$83,'307'!$T$85:$T$86,'307'!$T$88</definedName>
    <definedName name="OSRRefT22x_0" localSheetId="53">'308'!$T$54:$T$63,'308'!$T$65:$T$74,'308'!$T$76,'308'!$T$78,'308'!$T$80,'308'!$T$82,'308'!$T$84,'308'!$T$86:$T$87,'308'!$T$89,'308'!$T$91:$T$92,'308'!$T$94,'308'!$T$96:$T$98,'308'!$T$100:$T$101,'308'!$T$103</definedName>
    <definedName name="OSRRefT22x_0" localSheetId="64">'309'!$T$22:$T$29,'309'!$T$31:$T$40,'309'!$T$42,'309'!$T$44,'309'!$T$46,'309'!$T$48,'309'!$T$50:$T$51,'309'!$T$53:$T$54,'309'!$T$56:$T$57,'309'!$T$59</definedName>
    <definedName name="OSRRefT22x_0" localSheetId="63">'310'!$T$28:$T$36,'310'!$T$38:$T$47,'310'!$T$49,'310'!$T$51,'310'!$T$53,'310'!$T$55:$T$56,'310'!$T$58,'310'!$T$60,'310'!$T$62,'310'!$T$64,'310'!$T$66,'310'!$T$68,'310'!$T$70:$T$73,'310'!$T$75:$T$76,'310'!$T$78:$T$81,'310'!$T$83,'310'!$T$85:$T$91,'310'!$T$93:$T$94,'310'!$T$96,'310'!$T$98,'310'!$T$100</definedName>
    <definedName name="OSRRefT22x_0" localSheetId="71">'310 &amp; 491'!$T$32:$T$40,'310 &amp; 491'!$T$42:$T$51,'310 &amp; 491'!$T$53,'310 &amp; 491'!$T$55,'310 &amp; 491'!$T$57,'310 &amp; 491'!$T$59:$T$61,'310 &amp; 491'!$T$63,'310 &amp; 491'!$T$65,'310 &amp; 491'!$T$67:$T$68,'310 &amp; 491'!$T$70,'310 &amp; 491'!$T$72,'310 &amp; 491'!$T$74,'310 &amp; 491'!$T$76,'310 &amp; 491'!$T$78:$T$81,'310 &amp; 491'!$T$83:$T$84,'310 &amp; 491'!$T$86:$T$90,'310 &amp; 491'!$T$92,'310 &amp; 491'!$T$94:$T$104,'310 &amp; 491'!$T$106:$T$107,'310 &amp; 491'!$T$109,'310 &amp; 491'!$T$111:$T$113,'310 &amp; 491'!$T$115</definedName>
    <definedName name="OSRRefT22x_0" localSheetId="54">'311'!$T$53:$T$62,'311'!$T$64:$T$73,'311'!$T$75,'311'!$T$77,'311'!$T$79,'311'!$T$81,'311'!$T$83,'311'!$T$85:$T$86,'311'!$T$88,'311'!$T$90:$T$91,'311'!$T$93,'311'!$T$95:$T$97,'311'!$T$99:$T$100,'311'!$T$102</definedName>
    <definedName name="OSRRefT22x_0" localSheetId="65">'313'!$T$23:$T$31,'313'!$T$33:$T$42,'313'!$T$44,'313'!$T$46,'313'!$T$48,'313'!$T$50,'313'!$T$52:$T$53,'313'!$T$55,'313'!$T$57:$T$59,'313'!$T$61:$T$62,'313'!$T$64,'313'!$T$66</definedName>
    <definedName name="OSRRefT22x_0" localSheetId="57">'315'!$T$77:$T$85,'315'!$T$87:$T$96,'315'!$T$98,'315'!$T$100,'315'!$T$102,'315'!$T$104,'315'!$T$106,'315'!$T$108:$T$109,'315'!$T$111,'315'!$T$113,'315'!$T$115,'315'!$T$117,'315'!$T$119:$T$121,'315'!$T$123:$T$124,'315'!$T$126:$T$132,'315'!$T$134,'315'!$T$136:$T$137</definedName>
    <definedName name="OSRRefT22x_0" localSheetId="60">'316'!$T$30:$T$38,'316'!$T$40:$T$49,'316'!$T$51,'316'!$T$53,'316'!$T$55,'316'!$T$57,'316'!$T$59:$T$60,'316'!$T$62:$T$63,'316'!$T$65,'316'!$T$67:$T$71,'316'!$T$73,'316'!$T$75</definedName>
    <definedName name="OSRRefT22x_0" localSheetId="62">'317'!$T$49:$T$58,'317'!$T$60:$T$69,'317'!$T$71,'317'!$T$73,'317'!$T$75,'317'!$T$77,'317'!$T$79:$T$80,'317'!$T$82,'317'!$T$84,'317'!$T$86,'317'!$T$88:$T$90,'317'!$T$92,'317'!$T$94</definedName>
    <definedName name="OSRRefT22x_0" localSheetId="66">'321'!$T$25:$T$33,'321'!$T$35:$T$44,'321'!$T$46,'321'!$T$48,'321'!$T$50,'321'!$T$52,'321'!$T$54,'321'!$T$56:$T$57,'321'!$T$59:$T$60,'321'!$T$62:$T$63,'321'!$T$65:$T$67,'321'!$T$69:$T$70,'321'!$T$72,'321'!$T$74</definedName>
    <definedName name="OSRRefT22x_0" localSheetId="67">'322'!$T$23:$T$30,'322'!$T$32:$T$41,'322'!$T$43,'322'!$T$45,'322'!$T$47,'322'!$T$49,'322'!$T$51,'322'!$T$53:$T$54,'322'!$T$56:$T$57,'322'!$T$59:$T$62,'322'!$T$64,'322'!$T$66</definedName>
    <definedName name="OSRRefT22x_0" localSheetId="55">'324'!$T$27:$T$34,'324'!$T$36:$T$45</definedName>
    <definedName name="OSRRefT22x_0" localSheetId="68">'325'!$T$25:$T$32,'325'!$T$34:$T$43,'325'!$T$45,'325'!$T$47,'325'!$T$49,'325'!$T$51:$T$52,'325'!$T$54,'325'!$T$56,'325'!$T$58,'325'!$T$60,'325'!$T$62:$T$65,'325'!$T$67:$T$69,'325'!$T$71,'325'!$T$73:$T$77,'325'!$T$79:$T$80,'325'!$T$82,'325'!$T$84</definedName>
    <definedName name="OSRRefT22x_0" localSheetId="58">'326'!$T$44:$T$52,'326'!$T$54:$T$63,'326'!$T$65,'326'!$T$67,'326'!$T$69,'326'!$T$71,'326'!$T$73,'326'!$T$75,'326'!$T$77:$T$78,'326'!$T$80,'326'!$T$82,'326'!$T$84,'326'!$T$86,'326'!$T$88:$T$89,'326'!$T$91:$T$93,'326'!$T$95:$T$96,'326'!$T$98:$T$103,'326'!$T$105:$T$106,'326'!$T$108,'326'!$T$110:$T$111,'326'!$T$113</definedName>
    <definedName name="OSRRefT22x_0" localSheetId="69">'327'!$T$24</definedName>
    <definedName name="OSRRefT22x_0" localSheetId="51">'330'!$T$39:$T$46,'330'!$T$48:$T$57,'330'!$T$59,'330'!$T$61,'330'!$T$63,'330'!$T$65:$T$66,'330'!$T$68,'330'!$T$70,'330'!$T$72,'330'!$T$74:$T$75,'330'!$T$77:$T$78,'330'!$T$80:$T$83,'330'!$T$85:$T$86,'330'!$T$88</definedName>
    <definedName name="OSRRefT22x_0" localSheetId="56">'331'!$T$77:$T$85,'331'!$T$87:$T$96,'331'!$T$98,'331'!$T$100,'331'!$T$102,'331'!$T$104,'331'!$T$106,'331'!$T$108,'331'!$T$110:$T$111,'331'!$T$113:$T$114,'331'!$T$116,'331'!$T$118,'331'!$T$120,'331'!$T$122,'331'!$T$124:$T$125,'331'!$T$127:$T$129,'331'!$T$131:$T$133,'331'!$T$135:$T$136,'331'!$T$138:$T$145,'331'!$T$147:$T$148,'331'!$T$150,'331'!$T$152:$T$153,'331'!$T$155</definedName>
    <definedName name="OSRRefT22x_0" localSheetId="59">'332'!$T$30:$T$38,'332'!$T$40:$T$49,'332'!$T$51,'332'!$T$53,'332'!$T$55,'332'!$T$57,'332'!$T$59:$T$60,'332'!$T$62:$T$63,'332'!$T$65,'332'!$T$67:$T$71,'332'!$T$73,'332'!$T$75</definedName>
    <definedName name="OSRRefT22x_0" localSheetId="73">'405'!$T$23:$T$30,'405'!$T$32:$T$41,'405'!$T$43,'405'!$T$45,'405'!$T$47:$T$48,'405'!$T$50,'405'!$T$52,'405'!$T$54,'405'!$T$56:$T$57,'405'!$T$59,'405'!$T$61:$T$64,'405'!$T$66,'405'!$T$68:$T$76,'405'!$T$78,'405'!$T$80,'405'!$T$82</definedName>
    <definedName name="OSRRefT22x_0" localSheetId="74">'406'!$T$20,'406'!$T$22,'406'!$T$24,'406'!$T$26,'406'!$T$28</definedName>
    <definedName name="OSRRefT22x_0" localSheetId="75">'411'!$T$20:$T$28,'411'!$T$30:$T$39,'411'!$T$41,'411'!$T$43,'411'!$T$45:$T$46,'411'!$T$48,'411'!$T$50,'411'!$T$52,'411'!$T$54,'411'!$T$56:$T$57,'411'!$T$59:$T$62,'411'!$T$64:$T$70,'411'!$T$72,'411'!$T$74,'411'!$T$76</definedName>
    <definedName name="OSRRefT22x_0" localSheetId="76">'412'!$T$22:$T$29,'412'!$T$31:$T$40,'412'!$T$42,'412'!$T$44,'412'!$T$46:$T$47,'412'!$T$49,'412'!$T$51,'412'!$T$53,'412'!$T$55:$T$56,'412'!$T$58,'412'!$T$60:$T$63,'412'!$T$65:$T$69,'412'!$T$71:$T$72,'412'!$T$74</definedName>
    <definedName name="OSRRefT22x_0" localSheetId="77">'413'!$T$23:$T$31,'413'!$T$33:$T$42,'413'!$T$44,'413'!$T$46,'413'!$T$48,'413'!$T$50,'413'!$T$52,'413'!$T$54,'413'!$T$56:$T$58,'413'!$T$60:$T$61,'413'!$T$63:$T$70,'413'!$T$72:$T$73,'413'!$T$75</definedName>
    <definedName name="OSRRefT22x_0" localSheetId="78">'414'!$T$24:$T$32,'414'!$T$34:$T$43,'414'!$T$45,'414'!$T$47,'414'!$T$49,'414'!$T$51,'414'!$T$53,'414'!$T$55,'414'!$T$57:$T$58,'414'!$T$60,'414'!$T$62,'414'!$T$64,'414'!$T$66:$T$68,'414'!$T$70,'414'!$T$72,'414'!$T$74</definedName>
    <definedName name="OSRRefT22x_0" localSheetId="79">'415'!$T$27:$T$35,'415'!$T$37:$T$46,'415'!$T$48,'415'!$T$50,'415'!$T$52,'415'!$T$54:$T$55,'415'!$T$57,'415'!$T$59,'415'!$T$61,'415'!$T$63,'415'!$T$65:$T$66,'415'!$T$68:$T$72,'415'!$T$74,'415'!$T$76:$T$82,'415'!$T$84:$T$85,'415'!$T$87:$T$88,'415'!$T$90</definedName>
    <definedName name="OSRRefT22x_0" localSheetId="80">'418'!$T$23:$T$30,'418'!$T$32:$T$41,'418'!$T$43,'418'!$T$45,'418'!$T$47:$T$48,'418'!$T$50,'418'!$T$52,'418'!$T$54,'418'!$T$56:$T$58,'418'!$T$60:$T$61,'418'!$T$63,'418'!$T$65:$T$74,'418'!$T$76:$T$77,'418'!$T$79</definedName>
    <definedName name="OSRRefT22x_0" localSheetId="82">'423'!$T$20:$T$27,'423'!$T$29:$T$38,'423'!$T$40,'423'!$T$42:$T$43,'423'!$T$45,'423'!$T$47,'423'!$T$49</definedName>
    <definedName name="OSRRefT22x_0" localSheetId="83">'424'!$T$20,'424'!$T$22,'424'!$T$24,'424'!$T$26</definedName>
    <definedName name="OSRRefT22x_0" localSheetId="84">'425'!$T$20:$T$24,'425'!$T$26,'425'!$T$28,'425'!$T$30,'425'!$T$32</definedName>
    <definedName name="OSRRefT22x_0" localSheetId="87">'430'!$T$20:$T$28,'430'!$T$30:$T$39,'430'!$T$41,'430'!$T$43:$T$45,'430'!$T$47:$T$48,'430'!$T$50,'430'!$T$52</definedName>
    <definedName name="OSRRefT22x_0" localSheetId="88">'433'!$T$27:$T$36,'433'!$T$38:$T$47,'433'!$T$49,'433'!$T$51,'433'!$T$53,'433'!$T$55,'433'!$T$57,'433'!$T$59,'433'!$T$61,'433'!$T$63,'433'!$T$65,'433'!$T$67:$T$68,'433'!$T$70:$T$73,'433'!$T$75:$T$82,'433'!$T$84</definedName>
    <definedName name="OSRRefT22x_0" localSheetId="89">'435'!$T$20</definedName>
    <definedName name="OSRRefT22x_0" localSheetId="90">'444'!$T$27:$T$36,'444'!$T$38:$T$47,'444'!$T$49,'444'!$T$51,'444'!$T$53,'444'!$T$55,'444'!$T$57,'444'!$T$59,'444'!$T$61,'444'!$T$63,'444'!$T$65,'444'!$T$67:$T$69,'444'!$T$71:$T$73,'444'!$T$75:$T$83,'444'!$T$85:$T$86,'444'!$T$88</definedName>
    <definedName name="OSRRefT22x_0" localSheetId="91">'450'!$T$23:$T$32,'450'!$T$34:$T$43,'450'!$T$45,'450'!$T$47,'450'!$T$49,'450'!$T$51,'450'!$T$53,'450'!$T$55,'450'!$T$57,'450'!$T$59,'450'!$T$61,'450'!$T$63,'450'!$T$65,'450'!$T$67:$T$69,'450'!$T$71:$T$77,'450'!$T$79:$T$80,'450'!$T$82</definedName>
    <definedName name="OSRRefT22x_0" localSheetId="72">'491'!$T$29:$T$37,'491'!$T$39:$T$48,'491'!$T$50,'491'!$T$52,'491'!$T$54,'491'!$T$56:$T$58,'491'!$T$60,'491'!$T$62,'491'!$T$64,'491'!$T$66,'491'!$T$68,'491'!$T$70,'491'!$T$72,'491'!$T$74:$T$77,'491'!$T$79:$T$80,'491'!$T$82:$T$86,'491'!$T$88,'491'!$T$90:$T$100,'491'!$T$102:$T$103,'491'!$T$105,'491'!$T$107:$T$109,'491'!$T$111</definedName>
    <definedName name="OSRRefT22x_0" localSheetId="86">'492'!$T$27:$T$36,'492'!$T$38:$T$47,'492'!$T$49,'492'!$T$51,'492'!$T$53,'492'!$T$55,'492'!$T$57,'492'!$T$59,'492'!$T$61,'492'!$T$63,'492'!$T$65,'492'!$T$67,'492'!$T$69:$T$71,'492'!$T$73:$T$76,'492'!$T$78:$T$87,'492'!$T$89:$T$90,'492'!$T$92,'492'!$T$94</definedName>
    <definedName name="OSRRefT22x_0" localSheetId="93">'501'!$T$21:$T$30,'501'!$T$32:$T$41,'501'!$T$43,'501'!$T$45,'501'!$T$47,'501'!$T$49:$T$50,'501'!$T$52,'501'!$T$54,'501'!$T$56,'501'!$T$58:$T$61,'501'!$T$63:$T$64,'501'!$T$66</definedName>
    <definedName name="OSRRefT22x_0" localSheetId="39">'Div 2'!$T$21:$T$31,'Div 2'!$T$33:$T$42,'Div 2'!$T$44,'Div 2'!$T$46,'Div 2'!$T$48,'Div 2'!$T$50:$T$51,'Div 2'!$T$53,'Div 2'!$T$55,'Div 2'!$T$57,'Div 2'!$T$59:$T$60,'Div 2'!$T$62,'Div 2'!$T$64:$T$65,'Div 2'!$T$67:$T$70,'Div 2'!$T$72:$T$75,'Div 2'!$T$77:$T$78,'Div 2'!$T$80:$T$81,'Div 2'!$T$83:$T$87,'Div 2'!$T$89:$T$90,'Div 2'!$T$92,'Div 2'!$T$94:$T$95</definedName>
    <definedName name="OSRRefT22x_0" localSheetId="47">'Div 3'!$T$116:$T$125,'Div 3'!$T$127:$T$136,'Div 3'!$T$138,'Div 3'!$T$140:$T$141,'Div 3'!$T$143,'Div 3'!$T$145:$T$146,'Div 3'!$T$148:$T$149,'Div 3'!$T$151:$T$152,'Div 3'!$T$154,'Div 3'!$T$156,'Div 3'!$T$158:$T$159,'Div 3'!$T$161:$T$163,'Div 3'!$T$165,'Div 3'!$T$167,'Div 3'!$T$169,'Div 3'!$T$171,'Div 3'!$T$173,'Div 3'!$T$175:$T$178,'Div 3'!$T$180:$T$183,'Div 3'!$T$185:$T$189,'Div 3'!$T$191:$T$192,'Div 3'!$T$194:$T$202,'Div 3'!$T$204:$T$205,'Div 3'!$T$207,'Div 3'!$T$209:$T$211,'Div 3'!$T$213</definedName>
    <definedName name="OSRRefT22x_0" localSheetId="70">'Div 4'!$T$31:$T$40,'Div 4'!$T$42:$T$51,'Div 4'!$T$53,'Div 4'!$T$55,'Div 4'!$T$57,'Div 4'!$T$59:$T$61,'Div 4'!$T$63,'Div 4'!$T$65,'Div 4'!$T$67,'Div 4'!$T$69,'Div 4'!$T$71,'Div 4'!$T$73,'Div 4'!$T$75,'Div 4'!$T$77,'Div 4'!$T$79,'Div 4'!$T$81:$T$84,'Div 4'!$T$86:$T$87,'Div 4'!$T$89:$T$93,'Div 4'!$T$95,'Div 4'!$T$97:$T$107,'Div 4'!$T$109:$T$110,'Div 4'!$T$112,'Div 4'!$T$114:$T$116,'Div 4'!$T$118</definedName>
    <definedName name="OSRRefT22x_0" localSheetId="92">'Div 5'!$T$21:$T$30,'Div 5'!$T$32:$T$41,'Div 5'!$T$43,'Div 5'!$T$45,'Div 5'!$T$47,'Div 5'!$T$49:$T$50,'Div 5'!$T$52,'Div 5'!$T$54,'Div 5'!$T$56,'Div 5'!$T$58:$T$61,'Div 5'!$T$63:$T$64,'Div 5'!$T$66</definedName>
    <definedName name="OSRRefT22x_0" localSheetId="61">'Div 6'!$T$49:$T$58,'Div 6'!$T$60:$T$69,'Div 6'!$T$71,'Div 6'!$T$73,'Div 6'!$T$75,'Div 6'!$T$77,'Div 6'!$T$79:$T$80,'Div 6'!$T$82,'Div 6'!$T$84,'Div 6'!$T$86,'Div 6'!$T$88:$T$90,'Div 6'!$T$92,'Div 6'!$T$94</definedName>
    <definedName name="OSRRefT22x_0" localSheetId="2">Summary!$T$143:$T$152,Summary!$T$154:$T$163,Summary!$T$165,Summary!$T$167:$T$168,Summary!$T$170,Summary!$T$172:$T$174,Summary!$T$176:$T$177,Summary!$T$179:$T$180,Summary!$T$182,Summary!$T$184,Summary!$T$186:$T$187,Summary!$T$189:$T$191,Summary!$T$193,Summary!$T$195,Summary!$T$197,Summary!$T$199,Summary!$T$201,Summary!$T$203,Summary!$T$205:$T$208,Summary!$T$210:$T$213,Summary!$T$215:$T$219,Summary!$T$221:$T$222,Summary!$T$224:$T$234,Summary!$T$236:$T$237,Summary!$T$239,Summary!$T$241:$T$243,Summary!$T$245</definedName>
    <definedName name="OSRRefT25x_0" localSheetId="42">'202'!$T$69:$T$71</definedName>
    <definedName name="OSRRefT25x_0" localSheetId="48">'300'!$T$209:$T$212</definedName>
    <definedName name="OSRRefT25x_0" localSheetId="49">'300 &amp; 317'!$T$231:$T$235</definedName>
    <definedName name="OSRRefT25x_0" localSheetId="50">'301'!$T$93:$T$94</definedName>
    <definedName name="OSRRefT25x_0" localSheetId="53">'308'!$T$106:$T$108</definedName>
    <definedName name="OSRRefT25x_0" localSheetId="71">'310 &amp; 491'!$T$118:$T$121</definedName>
    <definedName name="OSRRefT25x_0" localSheetId="54">'311'!$T$105:$T$107</definedName>
    <definedName name="OSRRefT25x_0" localSheetId="57">'315'!$T$140:$T$142</definedName>
    <definedName name="OSRRefT25x_0" localSheetId="60">'316'!$T$78</definedName>
    <definedName name="OSRRefT25x_0" localSheetId="62">'317'!$T$97:$T$98</definedName>
    <definedName name="OSRRefT25x_0" localSheetId="56">'331'!$T$158:$T$160</definedName>
    <definedName name="OSRRefT25x_0" localSheetId="59">'332'!$T$78</definedName>
    <definedName name="OSRRefT25x_0" localSheetId="75">'411'!$T$79:$T$80</definedName>
    <definedName name="OSRRefT25x_0" localSheetId="80">'418'!$T$82</definedName>
    <definedName name="OSRRefT25x_0" localSheetId="82">'423'!$T$52:$T$54</definedName>
    <definedName name="OSRRefT25x_0" localSheetId="85">'455'!$T$21:$T$22</definedName>
    <definedName name="OSRRefT25x_0" localSheetId="72">'491'!$T$114:$T$117</definedName>
    <definedName name="OSRRefT25x_0" localSheetId="93">'501'!$T$69</definedName>
    <definedName name="OSRRefT25x_0" localSheetId="39">'Div 2'!$T$98:$T$100</definedName>
    <definedName name="OSRRefT25x_0" localSheetId="47">'Div 3'!$T$216:$T$219</definedName>
    <definedName name="OSRRefT25x_0" localSheetId="70">'Div 4'!$T$121:$T$124</definedName>
    <definedName name="OSRRefT25x_0" localSheetId="92">'Div 5'!$T$69</definedName>
    <definedName name="OSRRefT25x_0" localSheetId="61">'Div 6'!$T$97:$T$98</definedName>
    <definedName name="OSRRefT25x_0" localSheetId="2">Summary!$T$248:$T$254</definedName>
    <definedName name="_xlnm.Print_Area" localSheetId="38">'100'!$A$1:$Z$34</definedName>
    <definedName name="_xlnm.Print_Area" localSheetId="40">'200'!$A$1:$Z$41</definedName>
    <definedName name="_xlnm.Print_Area" localSheetId="41">'201'!$A$1:$Z$85</definedName>
    <definedName name="_xlnm.Print_Area" localSheetId="42">'202'!$A$1:$Z$83</definedName>
    <definedName name="_xlnm.Print_Area" localSheetId="43">'203'!$A$1:$Z$83</definedName>
    <definedName name="_xlnm.Print_Area" localSheetId="44">'204'!$A$1:$Z$77</definedName>
    <definedName name="_xlnm.Print_Area" localSheetId="45">'205'!$A$1:$Z$67</definedName>
    <definedName name="_xlnm.Print_Area" localSheetId="46">'206'!$A$1:$Z$70</definedName>
    <definedName name="_xlnm.Print_Area" localSheetId="48">'300'!$A$1:$Z$224</definedName>
    <definedName name="_xlnm.Print_Area" localSheetId="49">'300 &amp; 317'!$A$1:$Z$247</definedName>
    <definedName name="_xlnm.Print_Area" localSheetId="50">'301'!$A$1:$Z$106</definedName>
    <definedName name="_xlnm.Print_Area" localSheetId="52">'307'!$A$1:$Z$102</definedName>
    <definedName name="_xlnm.Print_Area" localSheetId="53">'308'!$A$1:$Z$120</definedName>
    <definedName name="_xlnm.Print_Area" localSheetId="64">'309'!$A$1:$Z$73</definedName>
    <definedName name="_xlnm.Print_Area" localSheetId="63">'310'!$A$1:$Z$114</definedName>
    <definedName name="_xlnm.Print_Area" localSheetId="71">'310 &amp; 491'!$A$1:$Z$133</definedName>
    <definedName name="_xlnm.Print_Area" localSheetId="54">'311'!$A$1:$Z$119</definedName>
    <definedName name="_xlnm.Print_Area" localSheetId="65">'313'!$A$1:$Z$80</definedName>
    <definedName name="_xlnm.Print_Area" localSheetId="57">'315'!$A$1:$Z$154</definedName>
    <definedName name="_xlnm.Print_Area" localSheetId="60">'316'!$A$1:$Z$90</definedName>
    <definedName name="_xlnm.Print_Area" localSheetId="62">'317'!$A$1:$Z$110</definedName>
    <definedName name="_xlnm.Print_Area" localSheetId="66">'321'!$A$1:$Z$88</definedName>
    <definedName name="_xlnm.Print_Area" localSheetId="67">'322'!$A$1:$Z$80</definedName>
    <definedName name="_xlnm.Print_Area" localSheetId="55">'324'!$A$1:$Z$59</definedName>
    <definedName name="_xlnm.Print_Area" localSheetId="68">'325'!$A$1:$Z$98</definedName>
    <definedName name="_xlnm.Print_Area" localSheetId="58">'326'!$A$1:$Z$127</definedName>
    <definedName name="_xlnm.Print_Area" localSheetId="69">'327'!$A$1:$Z$38</definedName>
    <definedName name="_xlnm.Print_Area" localSheetId="51">'330'!$A$1:$Z$102</definedName>
    <definedName name="_xlnm.Print_Area" localSheetId="56">'331'!$A$1:$Z$172</definedName>
    <definedName name="_xlnm.Print_Area" localSheetId="59">'332'!$A$1:$Z$90</definedName>
    <definedName name="_xlnm.Print_Area" localSheetId="73">'405'!$A$1:$Z$96</definedName>
    <definedName name="_xlnm.Print_Area" localSheetId="74">'406'!$A$1:$Z$42</definedName>
    <definedName name="_xlnm.Print_Area" localSheetId="75">'411'!$A$1:$Z$92</definedName>
    <definedName name="_xlnm.Print_Area" localSheetId="76">'412'!$A$1:$Z$88</definedName>
    <definedName name="_xlnm.Print_Area" localSheetId="77">'413'!$A$1:$Z$89</definedName>
    <definedName name="_xlnm.Print_Area" localSheetId="78">'414'!$A$1:$Z$88</definedName>
    <definedName name="_xlnm.Print_Area" localSheetId="79">'415'!$A$1:$Z$104</definedName>
    <definedName name="_xlnm.Print_Area" localSheetId="80">'418'!$A$1:$Z$94</definedName>
    <definedName name="_xlnm.Print_Area" localSheetId="81">'420'!$A$1:$Z$33</definedName>
    <definedName name="_xlnm.Print_Area" localSheetId="82">'423'!$A$1:$Z$66</definedName>
    <definedName name="_xlnm.Print_Area" localSheetId="83">'424'!$A$1:$Z$40</definedName>
    <definedName name="_xlnm.Print_Area" localSheetId="84">'425'!$A$1:$Z$46</definedName>
    <definedName name="_xlnm.Print_Area" localSheetId="87">'430'!$A$1:$Z$66</definedName>
    <definedName name="_xlnm.Print_Area" localSheetId="88">'433'!$A$1:$Z$98</definedName>
    <definedName name="_xlnm.Print_Area" localSheetId="89">'435'!$A$1:$Z$34</definedName>
    <definedName name="_xlnm.Print_Area" localSheetId="90">'444'!$A$1:$Z$102</definedName>
    <definedName name="_xlnm.Print_Area" localSheetId="91">'450'!$A$1:$Z$96</definedName>
    <definedName name="_xlnm.Print_Area" localSheetId="85">'455'!$A$1:$Z$34</definedName>
    <definedName name="_xlnm.Print_Area" localSheetId="72">'491'!$A$1:$Z$129</definedName>
    <definedName name="_xlnm.Print_Area" localSheetId="86">'492'!$A$1:$Z$108</definedName>
    <definedName name="_xlnm.Print_Area" localSheetId="93">'501'!$A$1:$Z$81</definedName>
    <definedName name="_xlnm.Print_Area" localSheetId="94">Dept!$A$1:$Z$39</definedName>
    <definedName name="_xlnm.Print_Area" localSheetId="5">'Div 1'!$A$1:$Z$34</definedName>
    <definedName name="_xlnm.Print_Area" localSheetId="39">'Div 2'!$A$1:$Z$112</definedName>
    <definedName name="_xlnm.Print_Area" localSheetId="47">'Div 3'!$A$1:$Z$231</definedName>
    <definedName name="_xlnm.Print_Area" localSheetId="70">'Div 4'!$A$1:$Z$136</definedName>
    <definedName name="_xlnm.Print_Area" localSheetId="92">'Div 5'!$A$1:$Z$81</definedName>
    <definedName name="_xlnm.Print_Area" localSheetId="61">'Div 6'!$A$1:$Z$110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Summary!$A$1:$Z$268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1">'310 &amp; 491'!$A:$C,'310 &amp; 491'!$1:$10</definedName>
    <definedName name="_xlnm.Print_Titles" localSheetId="54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67">'322'!$A:$C,'322'!$1:$10</definedName>
    <definedName name="_xlnm.Print_Titles" localSheetId="55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'411'!$A:$C,'411'!$1:$10</definedName>
    <definedName name="_xlnm.Print_Titles" localSheetId="76">'412'!$A:$C,'412'!$1:$10</definedName>
    <definedName name="_xlnm.Print_Titles" localSheetId="77">'413'!$A:$C,'413'!$1:$10</definedName>
    <definedName name="_xlnm.Print_Titles" localSheetId="78">'414'!$A:$C,'414'!$1:$10</definedName>
    <definedName name="_xlnm.Print_Titles" localSheetId="79">'415'!$A:$C,'415'!$1:$10</definedName>
    <definedName name="_xlnm.Print_Titles" localSheetId="80">'418'!$A:$C,'418'!$1:$10</definedName>
    <definedName name="_xlnm.Print_Titles" localSheetId="81">'420'!$A:$C,'420'!$1:$10</definedName>
    <definedName name="_xlnm.Print_Titles" localSheetId="82">'423'!$A:$C,'423'!$1:$10</definedName>
    <definedName name="_xlnm.Print_Titles" localSheetId="83">'424'!$A:$C,'424'!$1:$10</definedName>
    <definedName name="_xlnm.Print_Titles" localSheetId="84">'425'!$A:$C,'425'!$1:$10</definedName>
    <definedName name="_xlnm.Print_Titles" localSheetId="87">'430'!$A:$C,'430'!$1:$10</definedName>
    <definedName name="_xlnm.Print_Titles" localSheetId="88">'433'!$A:$C,'433'!$1:$10</definedName>
    <definedName name="_xlnm.Print_Titles" localSheetId="89">'435'!$A:$C,'435'!$1:$10</definedName>
    <definedName name="_xlnm.Print_Titles" localSheetId="90">'444'!$A:$C,'444'!$1:$10</definedName>
    <definedName name="_xlnm.Print_Titles" localSheetId="91">'450'!$A:$C,'450'!$1:$10</definedName>
    <definedName name="_xlnm.Print_Titles" localSheetId="85">'455'!$A:$C,'455'!$1:$10</definedName>
    <definedName name="_xlnm.Print_Titles" localSheetId="72">'491'!$A:$C,'491'!$1:$10</definedName>
    <definedName name="_xlnm.Print_Titles" localSheetId="86">'492'!$A:$C,'492'!$1:$10</definedName>
    <definedName name="_xlnm.Print_Titles" localSheetId="93">'501'!$A:$C,'501'!$1:$10</definedName>
    <definedName name="_xlnm.Print_Titles" localSheetId="94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2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5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6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73" i="109" l="1"/>
  <c r="Z73" i="109" s="1"/>
  <c r="L73" i="109"/>
  <c r="N73" i="109" s="1"/>
  <c r="P69" i="109"/>
  <c r="X69" i="109" s="1"/>
  <c r="Z69" i="109" s="1"/>
  <c r="D69" i="109"/>
  <c r="B69" i="109"/>
  <c r="T68" i="109"/>
  <c r="Z68" i="109" s="1"/>
  <c r="P68" i="109"/>
  <c r="X68" i="109" s="1"/>
  <c r="H68" i="109"/>
  <c r="Z66" i="109"/>
  <c r="X66" i="109"/>
  <c r="L66" i="109"/>
  <c r="N66" i="109" s="1"/>
  <c r="B66" i="109"/>
  <c r="X65" i="109"/>
  <c r="Z65" i="109" s="1"/>
  <c r="T65" i="109"/>
  <c r="P65" i="109"/>
  <c r="H65" i="109"/>
  <c r="D65" i="109"/>
  <c r="L65" i="109" s="1"/>
  <c r="B65" i="109"/>
  <c r="Z64" i="109"/>
  <c r="X64" i="109"/>
  <c r="N64" i="109"/>
  <c r="L64" i="109"/>
  <c r="B64" i="109"/>
  <c r="X63" i="109"/>
  <c r="Z63" i="109" s="1"/>
  <c r="N63" i="109"/>
  <c r="L63" i="109"/>
  <c r="B63" i="109"/>
  <c r="T62" i="109"/>
  <c r="Z62" i="109" s="1"/>
  <c r="P62" i="109"/>
  <c r="X62" i="109" s="1"/>
  <c r="N62" i="109"/>
  <c r="H62" i="109"/>
  <c r="D62" i="109"/>
  <c r="L62" i="109" s="1"/>
  <c r="B62" i="109"/>
  <c r="Z61" i="109"/>
  <c r="X61" i="109"/>
  <c r="N61" i="109"/>
  <c r="L61" i="109"/>
  <c r="B61" i="109"/>
  <c r="Z60" i="109"/>
  <c r="X60" i="109"/>
  <c r="N60" i="109"/>
  <c r="L60" i="109"/>
  <c r="B60" i="109"/>
  <c r="Z59" i="109"/>
  <c r="X59" i="109"/>
  <c r="N59" i="109"/>
  <c r="L59" i="109"/>
  <c r="B59" i="109"/>
  <c r="Z58" i="109"/>
  <c r="X58" i="109"/>
  <c r="N58" i="109"/>
  <c r="L58" i="109"/>
  <c r="B58" i="109"/>
  <c r="T57" i="109"/>
  <c r="Z57" i="109" s="1"/>
  <c r="P57" i="109"/>
  <c r="X57" i="109" s="1"/>
  <c r="H57" i="109"/>
  <c r="D57" i="109"/>
  <c r="L57" i="109" s="1"/>
  <c r="N57" i="109" s="1"/>
  <c r="B57" i="109"/>
  <c r="Z56" i="109"/>
  <c r="X56" i="109"/>
  <c r="N56" i="109"/>
  <c r="L56" i="109"/>
  <c r="B56" i="109"/>
  <c r="T55" i="109"/>
  <c r="P55" i="109"/>
  <c r="X55" i="109" s="1"/>
  <c r="L55" i="109"/>
  <c r="N55" i="109" s="1"/>
  <c r="H55" i="109"/>
  <c r="D55" i="109"/>
  <c r="B55" i="109"/>
  <c r="X54" i="109"/>
  <c r="Z54" i="109" s="1"/>
  <c r="N54" i="109"/>
  <c r="L54" i="109"/>
  <c r="J54" i="109"/>
  <c r="B54" i="109"/>
  <c r="T53" i="109"/>
  <c r="Z53" i="109" s="1"/>
  <c r="P53" i="109"/>
  <c r="X53" i="109" s="1"/>
  <c r="H53" i="109"/>
  <c r="D53" i="109"/>
  <c r="B53" i="109"/>
  <c r="X52" i="109"/>
  <c r="Z52" i="109" s="1"/>
  <c r="N52" i="109"/>
  <c r="L52" i="109"/>
  <c r="B52" i="109"/>
  <c r="T51" i="109"/>
  <c r="P51" i="109"/>
  <c r="X51" i="109" s="1"/>
  <c r="Z51" i="109" s="1"/>
  <c r="H51" i="109"/>
  <c r="D51" i="109"/>
  <c r="L51" i="109" s="1"/>
  <c r="N51" i="109" s="1"/>
  <c r="B51" i="109"/>
  <c r="X50" i="109"/>
  <c r="Z50" i="109" s="1"/>
  <c r="L50" i="109"/>
  <c r="N50" i="109" s="1"/>
  <c r="J50" i="109"/>
  <c r="B50" i="109"/>
  <c r="Z49" i="109"/>
  <c r="X49" i="109"/>
  <c r="N49" i="109"/>
  <c r="L49" i="109"/>
  <c r="B49" i="109"/>
  <c r="Z48" i="109"/>
  <c r="X48" i="109"/>
  <c r="T48" i="109"/>
  <c r="P48" i="109"/>
  <c r="H48" i="109"/>
  <c r="D48" i="109"/>
  <c r="L48" i="109" s="1"/>
  <c r="B48" i="109"/>
  <c r="Z47" i="109"/>
  <c r="X47" i="109"/>
  <c r="N47" i="109"/>
  <c r="L47" i="109"/>
  <c r="B47" i="109"/>
  <c r="X46" i="109"/>
  <c r="T46" i="109"/>
  <c r="Z46" i="109" s="1"/>
  <c r="P46" i="109"/>
  <c r="H46" i="109"/>
  <c r="D46" i="109"/>
  <c r="L46" i="109" s="1"/>
  <c r="N46" i="109" s="1"/>
  <c r="B46" i="109"/>
  <c r="X45" i="109"/>
  <c r="Z45" i="109" s="1"/>
  <c r="L45" i="109"/>
  <c r="N45" i="109" s="1"/>
  <c r="B45" i="109"/>
  <c r="T44" i="109"/>
  <c r="Z44" i="109" s="1"/>
  <c r="P44" i="109"/>
  <c r="X44" i="109" s="1"/>
  <c r="J44" i="109"/>
  <c r="H44" i="109"/>
  <c r="D44" i="109"/>
  <c r="L44" i="109" s="1"/>
  <c r="N44" i="109" s="1"/>
  <c r="B44" i="109"/>
  <c r="Z43" i="109"/>
  <c r="X43" i="109"/>
  <c r="N43" i="109"/>
  <c r="L43" i="109"/>
  <c r="B43" i="109"/>
  <c r="T42" i="109"/>
  <c r="P42" i="109"/>
  <c r="X42" i="109" s="1"/>
  <c r="N42" i="109"/>
  <c r="L42" i="109"/>
  <c r="H42" i="109"/>
  <c r="D42" i="109"/>
  <c r="B42" i="109"/>
  <c r="Z41" i="109"/>
  <c r="X41" i="109"/>
  <c r="N41" i="109"/>
  <c r="L41" i="109"/>
  <c r="B41" i="109"/>
  <c r="Z40" i="109"/>
  <c r="X40" i="109"/>
  <c r="N40" i="109"/>
  <c r="L40" i="109"/>
  <c r="B40" i="109"/>
  <c r="Z39" i="109"/>
  <c r="X39" i="109"/>
  <c r="N39" i="109"/>
  <c r="L39" i="109"/>
  <c r="B39" i="109"/>
  <c r="X38" i="109"/>
  <c r="Z38" i="109" s="1"/>
  <c r="V38" i="109"/>
  <c r="N38" i="109"/>
  <c r="L38" i="109"/>
  <c r="J38" i="109"/>
  <c r="B38" i="109"/>
  <c r="Z37" i="109"/>
  <c r="X37" i="109"/>
  <c r="N37" i="109"/>
  <c r="L37" i="109"/>
  <c r="B37" i="109"/>
  <c r="Z36" i="109"/>
  <c r="X36" i="109"/>
  <c r="N36" i="109"/>
  <c r="L36" i="109"/>
  <c r="B36" i="109"/>
  <c r="Z35" i="109"/>
  <c r="X35" i="109"/>
  <c r="N35" i="109"/>
  <c r="L35" i="109"/>
  <c r="B35" i="109"/>
  <c r="Z34" i="109"/>
  <c r="X34" i="109"/>
  <c r="N34" i="109"/>
  <c r="L34" i="109"/>
  <c r="J34" i="109"/>
  <c r="B34" i="109"/>
  <c r="Z33" i="109"/>
  <c r="X33" i="109"/>
  <c r="L33" i="109"/>
  <c r="N33" i="109" s="1"/>
  <c r="B33" i="109"/>
  <c r="Z32" i="109"/>
  <c r="X32" i="109"/>
  <c r="L32" i="109"/>
  <c r="N32" i="109" s="1"/>
  <c r="B32" i="109"/>
  <c r="T31" i="109"/>
  <c r="P31" i="109"/>
  <c r="H31" i="109"/>
  <c r="N31" i="109" s="1"/>
  <c r="D31" i="109"/>
  <c r="L31" i="109" s="1"/>
  <c r="B31" i="109"/>
  <c r="X30" i="109"/>
  <c r="Z30" i="109" s="1"/>
  <c r="N30" i="109"/>
  <c r="L30" i="109"/>
  <c r="B30" i="109"/>
  <c r="X29" i="109"/>
  <c r="Z29" i="109" s="1"/>
  <c r="L29" i="109"/>
  <c r="N29" i="109" s="1"/>
  <c r="B29" i="109"/>
  <c r="X28" i="109"/>
  <c r="Z28" i="109" s="1"/>
  <c r="N28" i="109"/>
  <c r="L28" i="109"/>
  <c r="B28" i="109"/>
  <c r="Z27" i="109"/>
  <c r="X27" i="109"/>
  <c r="N27" i="109"/>
  <c r="L27" i="109"/>
  <c r="B27" i="109"/>
  <c r="Z26" i="109"/>
  <c r="X26" i="109"/>
  <c r="N26" i="109"/>
  <c r="L26" i="109"/>
  <c r="B26" i="109"/>
  <c r="X25" i="109"/>
  <c r="Z25" i="109" s="1"/>
  <c r="L25" i="109"/>
  <c r="N25" i="109" s="1"/>
  <c r="B25" i="109"/>
  <c r="X24" i="109"/>
  <c r="Z24" i="109" s="1"/>
  <c r="N24" i="109"/>
  <c r="L24" i="109"/>
  <c r="B24" i="109"/>
  <c r="X23" i="109"/>
  <c r="Z23" i="109" s="1"/>
  <c r="N23" i="109"/>
  <c r="L23" i="109"/>
  <c r="B23" i="109"/>
  <c r="X22" i="109"/>
  <c r="Z22" i="109" s="1"/>
  <c r="N22" i="109"/>
  <c r="L22" i="109"/>
  <c r="B22" i="109"/>
  <c r="X21" i="109"/>
  <c r="Z21" i="109" s="1"/>
  <c r="L21" i="109"/>
  <c r="N21" i="109" s="1"/>
  <c r="B21" i="109"/>
  <c r="T20" i="109"/>
  <c r="P20" i="109"/>
  <c r="X20" i="109" s="1"/>
  <c r="J20" i="109"/>
  <c r="H20" i="109"/>
  <c r="D20" i="109"/>
  <c r="L20" i="109" s="1"/>
  <c r="B20" i="109"/>
  <c r="T19" i="109"/>
  <c r="P19" i="109"/>
  <c r="H19" i="109"/>
  <c r="D19" i="109"/>
  <c r="L19" i="109" s="1"/>
  <c r="T15" i="109"/>
  <c r="Z15" i="109" s="1"/>
  <c r="P15" i="109"/>
  <c r="L15" i="109"/>
  <c r="H15" i="109"/>
  <c r="N15" i="109" s="1"/>
  <c r="D15" i="109"/>
  <c r="P13" i="109"/>
  <c r="P12" i="109" s="1"/>
  <c r="D13" i="109"/>
  <c r="B13" i="109"/>
  <c r="T12" i="109"/>
  <c r="V30" i="109" s="1"/>
  <c r="H12" i="109"/>
  <c r="J73" i="109" s="1"/>
  <c r="D6" i="109"/>
  <c r="D4" i="109"/>
  <c r="V31" i="108"/>
  <c r="F31" i="108"/>
  <c r="V28" i="108"/>
  <c r="F28" i="108"/>
  <c r="Z26" i="108"/>
  <c r="X26" i="108"/>
  <c r="V26" i="108"/>
  <c r="N26" i="108"/>
  <c r="L26" i="108"/>
  <c r="J26" i="108"/>
  <c r="V24" i="108"/>
  <c r="T24" i="108"/>
  <c r="J24" i="108"/>
  <c r="F24" i="108"/>
  <c r="Z22" i="108"/>
  <c r="V22" i="108"/>
  <c r="P22" i="108"/>
  <c r="X22" i="108" s="1"/>
  <c r="N22" i="108"/>
  <c r="L22" i="108"/>
  <c r="F22" i="108"/>
  <c r="D22" i="108"/>
  <c r="B22" i="108"/>
  <c r="Z21" i="108"/>
  <c r="P21" i="108"/>
  <c r="X21" i="108" s="1"/>
  <c r="N21" i="108"/>
  <c r="J21" i="108"/>
  <c r="D21" i="108"/>
  <c r="B21" i="108"/>
  <c r="Z20" i="108"/>
  <c r="T20" i="108"/>
  <c r="N20" i="108"/>
  <c r="J20" i="108"/>
  <c r="H20" i="108"/>
  <c r="F20" i="108"/>
  <c r="Z18" i="108"/>
  <c r="T18" i="108"/>
  <c r="P18" i="108"/>
  <c r="X18" i="108" s="1"/>
  <c r="N18" i="108"/>
  <c r="J18" i="108"/>
  <c r="H18" i="108"/>
  <c r="F18" i="108"/>
  <c r="D18" i="108"/>
  <c r="L18" i="108" s="1"/>
  <c r="Z16" i="108"/>
  <c r="J16" i="108"/>
  <c r="F16" i="108"/>
  <c r="D16" i="108"/>
  <c r="Z14" i="108"/>
  <c r="T14" i="108"/>
  <c r="T16" i="108" s="1"/>
  <c r="P14" i="108"/>
  <c r="X14" i="108" s="1"/>
  <c r="N14" i="108"/>
  <c r="J14" i="108"/>
  <c r="H14" i="108"/>
  <c r="F14" i="108"/>
  <c r="D14" i="108"/>
  <c r="L14" i="108" s="1"/>
  <c r="Z12" i="108"/>
  <c r="T12" i="108"/>
  <c r="V20" i="108" s="1"/>
  <c r="P12" i="108"/>
  <c r="L12" i="108"/>
  <c r="H12" i="108"/>
  <c r="D12" i="108"/>
  <c r="F21" i="108" s="1"/>
  <c r="D6" i="108"/>
  <c r="D4" i="108"/>
  <c r="X88" i="107"/>
  <c r="Z88" i="107" s="1"/>
  <c r="L88" i="107"/>
  <c r="N88" i="107" s="1"/>
  <c r="Z84" i="107"/>
  <c r="X84" i="107"/>
  <c r="T84" i="107"/>
  <c r="P84" i="107"/>
  <c r="H84" i="107"/>
  <c r="N84" i="107" s="1"/>
  <c r="D84" i="107"/>
  <c r="X82" i="107"/>
  <c r="Z82" i="107" s="1"/>
  <c r="L82" i="107"/>
  <c r="N82" i="107" s="1"/>
  <c r="B82" i="107"/>
  <c r="T81" i="107"/>
  <c r="P81" i="107"/>
  <c r="H81" i="107"/>
  <c r="D81" i="107"/>
  <c r="L81" i="107" s="1"/>
  <c r="B81" i="107"/>
  <c r="Z80" i="107"/>
  <c r="X80" i="107"/>
  <c r="N80" i="107"/>
  <c r="L80" i="107"/>
  <c r="B80" i="107"/>
  <c r="Z79" i="107"/>
  <c r="X79" i="107"/>
  <c r="L79" i="107"/>
  <c r="N79" i="107" s="1"/>
  <c r="B79" i="107"/>
  <c r="T78" i="107"/>
  <c r="P78" i="107"/>
  <c r="X78" i="107" s="1"/>
  <c r="H78" i="107"/>
  <c r="D78" i="107"/>
  <c r="L78" i="107" s="1"/>
  <c r="B78" i="107"/>
  <c r="Z77" i="107"/>
  <c r="X77" i="107"/>
  <c r="N77" i="107"/>
  <c r="L77" i="107"/>
  <c r="B77" i="107"/>
  <c r="X76" i="107"/>
  <c r="Z76" i="107" s="1"/>
  <c r="N76" i="107"/>
  <c r="L76" i="107"/>
  <c r="B76" i="107"/>
  <c r="X75" i="107"/>
  <c r="Z75" i="107" s="1"/>
  <c r="V75" i="107"/>
  <c r="N75" i="107"/>
  <c r="L75" i="107"/>
  <c r="B75" i="107"/>
  <c r="X74" i="107"/>
  <c r="Z74" i="107" s="1"/>
  <c r="L74" i="107"/>
  <c r="N74" i="107" s="1"/>
  <c r="B74" i="107"/>
  <c r="Z73" i="107"/>
  <c r="X73" i="107"/>
  <c r="N73" i="107"/>
  <c r="L73" i="107"/>
  <c r="B73" i="107"/>
  <c r="X72" i="107"/>
  <c r="Z72" i="107" s="1"/>
  <c r="L72" i="107"/>
  <c r="N72" i="107" s="1"/>
  <c r="B72" i="107"/>
  <c r="X71" i="107"/>
  <c r="Z71" i="107" s="1"/>
  <c r="V71" i="107"/>
  <c r="N71" i="107"/>
  <c r="L71" i="107"/>
  <c r="B71" i="107"/>
  <c r="T70" i="107"/>
  <c r="P70" i="107"/>
  <c r="X70" i="107" s="1"/>
  <c r="Z70" i="107" s="1"/>
  <c r="H70" i="107"/>
  <c r="N70" i="107" s="1"/>
  <c r="D70" i="107"/>
  <c r="L70" i="107" s="1"/>
  <c r="B70" i="107"/>
  <c r="Z69" i="107"/>
  <c r="X69" i="107"/>
  <c r="N69" i="107"/>
  <c r="L69" i="107"/>
  <c r="B69" i="107"/>
  <c r="X68" i="107"/>
  <c r="Z68" i="107" s="1"/>
  <c r="N68" i="107"/>
  <c r="L68" i="107"/>
  <c r="B68" i="107"/>
  <c r="Z67" i="107"/>
  <c r="X67" i="107"/>
  <c r="N67" i="107"/>
  <c r="L67" i="107"/>
  <c r="B67" i="107"/>
  <c r="X66" i="107"/>
  <c r="Z66" i="107" s="1"/>
  <c r="T66" i="107"/>
  <c r="P66" i="107"/>
  <c r="L66" i="107"/>
  <c r="H66" i="107"/>
  <c r="N66" i="107" s="1"/>
  <c r="D66" i="107"/>
  <c r="B66" i="107"/>
  <c r="Z65" i="107"/>
  <c r="X65" i="107"/>
  <c r="N65" i="107"/>
  <c r="L65" i="107"/>
  <c r="B65" i="107"/>
  <c r="T64" i="107"/>
  <c r="P64" i="107"/>
  <c r="X64" i="107" s="1"/>
  <c r="H64" i="107"/>
  <c r="D64" i="107"/>
  <c r="L64" i="107" s="1"/>
  <c r="B64" i="107"/>
  <c r="X63" i="107"/>
  <c r="Z63" i="107" s="1"/>
  <c r="V63" i="107"/>
  <c r="N63" i="107"/>
  <c r="L63" i="107"/>
  <c r="B63" i="107"/>
  <c r="T62" i="107"/>
  <c r="Z62" i="107" s="1"/>
  <c r="P62" i="107"/>
  <c r="X62" i="107" s="1"/>
  <c r="H62" i="107"/>
  <c r="D62" i="107"/>
  <c r="L62" i="107" s="1"/>
  <c r="B62" i="107"/>
  <c r="Z61" i="107"/>
  <c r="X61" i="107"/>
  <c r="N61" i="107"/>
  <c r="L61" i="107"/>
  <c r="B61" i="107"/>
  <c r="X60" i="107"/>
  <c r="T60" i="107"/>
  <c r="Z60" i="107" s="1"/>
  <c r="P60" i="107"/>
  <c r="L60" i="107"/>
  <c r="N60" i="107" s="1"/>
  <c r="H60" i="107"/>
  <c r="D60" i="107"/>
  <c r="B60" i="107"/>
  <c r="Z59" i="107"/>
  <c r="X59" i="107"/>
  <c r="L59" i="107"/>
  <c r="N59" i="107" s="1"/>
  <c r="J59" i="107"/>
  <c r="B59" i="107"/>
  <c r="T58" i="107"/>
  <c r="Z58" i="107" s="1"/>
  <c r="P58" i="107"/>
  <c r="X58" i="107" s="1"/>
  <c r="H58" i="107"/>
  <c r="N58" i="107" s="1"/>
  <c r="D58" i="107"/>
  <c r="L58" i="107" s="1"/>
  <c r="B58" i="107"/>
  <c r="Z57" i="107"/>
  <c r="X57" i="107"/>
  <c r="N57" i="107"/>
  <c r="L57" i="107"/>
  <c r="B57" i="107"/>
  <c r="T56" i="107"/>
  <c r="Z56" i="107" s="1"/>
  <c r="P56" i="107"/>
  <c r="X56" i="107" s="1"/>
  <c r="H56" i="107"/>
  <c r="N56" i="107" s="1"/>
  <c r="D56" i="107"/>
  <c r="L56" i="107" s="1"/>
  <c r="B56" i="107"/>
  <c r="Z55" i="107"/>
  <c r="X55" i="107"/>
  <c r="N55" i="107"/>
  <c r="L55" i="107"/>
  <c r="B55" i="107"/>
  <c r="X54" i="107"/>
  <c r="Z54" i="107" s="1"/>
  <c r="T54" i="107"/>
  <c r="P54" i="107"/>
  <c r="L54" i="107"/>
  <c r="H54" i="107"/>
  <c r="N54" i="107" s="1"/>
  <c r="D54" i="107"/>
  <c r="B54" i="107"/>
  <c r="Z53" i="107"/>
  <c r="X53" i="107"/>
  <c r="N53" i="107"/>
  <c r="L53" i="107"/>
  <c r="B53" i="107"/>
  <c r="T52" i="107"/>
  <c r="P52" i="107"/>
  <c r="H52" i="107"/>
  <c r="D52" i="107"/>
  <c r="L52" i="107" s="1"/>
  <c r="B52" i="107"/>
  <c r="X51" i="107"/>
  <c r="Z51" i="107" s="1"/>
  <c r="V51" i="107"/>
  <c r="N51" i="107"/>
  <c r="L51" i="107"/>
  <c r="B51" i="107"/>
  <c r="T50" i="107"/>
  <c r="P50" i="107"/>
  <c r="X50" i="107" s="1"/>
  <c r="H50" i="107"/>
  <c r="D50" i="107"/>
  <c r="L50" i="107" s="1"/>
  <c r="B50" i="107"/>
  <c r="Z49" i="107"/>
  <c r="X49" i="107"/>
  <c r="N49" i="107"/>
  <c r="L49" i="107"/>
  <c r="B49" i="107"/>
  <c r="X48" i="107"/>
  <c r="T48" i="107"/>
  <c r="Z48" i="107" s="1"/>
  <c r="P48" i="107"/>
  <c r="L48" i="107"/>
  <c r="N48" i="107" s="1"/>
  <c r="H48" i="107"/>
  <c r="D48" i="107"/>
  <c r="B48" i="107"/>
  <c r="Z47" i="107"/>
  <c r="X47" i="107"/>
  <c r="L47" i="107"/>
  <c r="N47" i="107" s="1"/>
  <c r="J47" i="107"/>
  <c r="B47" i="107"/>
  <c r="T46" i="107"/>
  <c r="P46" i="107"/>
  <c r="X46" i="107" s="1"/>
  <c r="H46" i="107"/>
  <c r="D46" i="107"/>
  <c r="L46" i="107" s="1"/>
  <c r="B46" i="107"/>
  <c r="Z45" i="107"/>
  <c r="X45" i="107"/>
  <c r="V45" i="107"/>
  <c r="N45" i="107"/>
  <c r="L45" i="107"/>
  <c r="B45" i="107"/>
  <c r="T44" i="107"/>
  <c r="P44" i="107"/>
  <c r="X44" i="107" s="1"/>
  <c r="H44" i="107"/>
  <c r="N44" i="107" s="1"/>
  <c r="D44" i="107"/>
  <c r="L44" i="107" s="1"/>
  <c r="B44" i="107"/>
  <c r="Z43" i="107"/>
  <c r="X43" i="107"/>
  <c r="N43" i="107"/>
  <c r="L43" i="107"/>
  <c r="B43" i="107"/>
  <c r="Z42" i="107"/>
  <c r="X42" i="107"/>
  <c r="N42" i="107"/>
  <c r="L42" i="107"/>
  <c r="B42" i="107"/>
  <c r="Z41" i="107"/>
  <c r="X41" i="107"/>
  <c r="N41" i="107"/>
  <c r="L41" i="107"/>
  <c r="B41" i="107"/>
  <c r="X40" i="107"/>
  <c r="Z40" i="107" s="1"/>
  <c r="N40" i="107"/>
  <c r="L40" i="107"/>
  <c r="B40" i="107"/>
  <c r="Z39" i="107"/>
  <c r="X39" i="107"/>
  <c r="N39" i="107"/>
  <c r="L39" i="107"/>
  <c r="B39" i="107"/>
  <c r="X38" i="107"/>
  <c r="Z38" i="107" s="1"/>
  <c r="L38" i="107"/>
  <c r="N38" i="107" s="1"/>
  <c r="B38" i="107"/>
  <c r="Z37" i="107"/>
  <c r="X37" i="107"/>
  <c r="N37" i="107"/>
  <c r="L37" i="107"/>
  <c r="B37" i="107"/>
  <c r="Z36" i="107"/>
  <c r="X36" i="107"/>
  <c r="N36" i="107"/>
  <c r="L36" i="107"/>
  <c r="B36" i="107"/>
  <c r="Z35" i="107"/>
  <c r="X35" i="107"/>
  <c r="V35" i="107"/>
  <c r="N35" i="107"/>
  <c r="L35" i="107"/>
  <c r="B35" i="107"/>
  <c r="Z34" i="107"/>
  <c r="X34" i="107"/>
  <c r="N34" i="107"/>
  <c r="L34" i="107"/>
  <c r="B34" i="107"/>
  <c r="T33" i="107"/>
  <c r="X33" i="107" s="1"/>
  <c r="Z33" i="107" s="1"/>
  <c r="R33" i="107"/>
  <c r="P33" i="107"/>
  <c r="H33" i="107"/>
  <c r="D33" i="107"/>
  <c r="L33" i="107" s="1"/>
  <c r="N33" i="107" s="1"/>
  <c r="B33" i="107"/>
  <c r="Z32" i="107"/>
  <c r="X32" i="107"/>
  <c r="R32" i="107"/>
  <c r="N32" i="107"/>
  <c r="L32" i="107"/>
  <c r="B32" i="107"/>
  <c r="Z31" i="107"/>
  <c r="X31" i="107"/>
  <c r="V31" i="107"/>
  <c r="L31" i="107"/>
  <c r="N31" i="107" s="1"/>
  <c r="J31" i="107"/>
  <c r="B31" i="107"/>
  <c r="X30" i="107"/>
  <c r="Z30" i="107" s="1"/>
  <c r="L30" i="107"/>
  <c r="N30" i="107" s="1"/>
  <c r="B30" i="107"/>
  <c r="Z29" i="107"/>
  <c r="X29" i="107"/>
  <c r="N29" i="107"/>
  <c r="L29" i="107"/>
  <c r="B29" i="107"/>
  <c r="Z28" i="107"/>
  <c r="X28" i="107"/>
  <c r="V28" i="107"/>
  <c r="R28" i="107"/>
  <c r="N28" i="107"/>
  <c r="L28" i="107"/>
  <c r="B28" i="107"/>
  <c r="Z27" i="107"/>
  <c r="X27" i="107"/>
  <c r="V27" i="107"/>
  <c r="L27" i="107"/>
  <c r="N27" i="107" s="1"/>
  <c r="J27" i="107"/>
  <c r="B27" i="107"/>
  <c r="X26" i="107"/>
  <c r="Z26" i="107" s="1"/>
  <c r="L26" i="107"/>
  <c r="N26" i="107" s="1"/>
  <c r="B26" i="107"/>
  <c r="Z25" i="107"/>
  <c r="X25" i="107"/>
  <c r="N25" i="107"/>
  <c r="L25" i="107"/>
  <c r="B25" i="107"/>
  <c r="Z24" i="107"/>
  <c r="X24" i="107"/>
  <c r="V24" i="107"/>
  <c r="R24" i="107"/>
  <c r="L24" i="107"/>
  <c r="N24" i="107" s="1"/>
  <c r="B24" i="107"/>
  <c r="Z23" i="107"/>
  <c r="X23" i="107"/>
  <c r="V23" i="107"/>
  <c r="L23" i="107"/>
  <c r="N23" i="107" s="1"/>
  <c r="J23" i="107"/>
  <c r="B23" i="107"/>
  <c r="T22" i="107"/>
  <c r="Z22" i="107" s="1"/>
  <c r="P22" i="107"/>
  <c r="X22" i="107" s="1"/>
  <c r="H22" i="107"/>
  <c r="D22" i="107"/>
  <c r="L22" i="107" s="1"/>
  <c r="B22" i="107"/>
  <c r="T21" i="107"/>
  <c r="V21" i="107" s="1"/>
  <c r="P21" i="107"/>
  <c r="X21" i="107" s="1"/>
  <c r="Z21" i="107" s="1"/>
  <c r="H21" i="107"/>
  <c r="J21" i="107" s="1"/>
  <c r="D21" i="107"/>
  <c r="L21" i="107" s="1"/>
  <c r="N21" i="107" s="1"/>
  <c r="Z17" i="107"/>
  <c r="X17" i="107"/>
  <c r="V17" i="107"/>
  <c r="N17" i="107"/>
  <c r="L17" i="107"/>
  <c r="B17" i="107"/>
  <c r="T16" i="107"/>
  <c r="P16" i="107"/>
  <c r="X16" i="107" s="1"/>
  <c r="H16" i="107"/>
  <c r="D16" i="107"/>
  <c r="L16" i="107" s="1"/>
  <c r="N16" i="107" s="1"/>
  <c r="Z14" i="107"/>
  <c r="P14" i="107"/>
  <c r="X14" i="107" s="1"/>
  <c r="N14" i="107"/>
  <c r="D14" i="107"/>
  <c r="L14" i="107" s="1"/>
  <c r="B14" i="107"/>
  <c r="X13" i="107"/>
  <c r="Z13" i="107" s="1"/>
  <c r="P13" i="107"/>
  <c r="L13" i="107"/>
  <c r="N13" i="107" s="1"/>
  <c r="D13" i="107"/>
  <c r="B13" i="107"/>
  <c r="T12" i="107"/>
  <c r="P12" i="107"/>
  <c r="R93" i="107" s="1"/>
  <c r="H12" i="107"/>
  <c r="D6" i="107"/>
  <c r="D4" i="107"/>
  <c r="X94" i="105"/>
  <c r="Z94" i="105" s="1"/>
  <c r="L94" i="105"/>
  <c r="N94" i="105" s="1"/>
  <c r="T90" i="105"/>
  <c r="Z90" i="105" s="1"/>
  <c r="P90" i="105"/>
  <c r="H90" i="105"/>
  <c r="N90" i="105" s="1"/>
  <c r="D90" i="105"/>
  <c r="L90" i="105" s="1"/>
  <c r="X88" i="105"/>
  <c r="Z88" i="105" s="1"/>
  <c r="L88" i="105"/>
  <c r="N88" i="105" s="1"/>
  <c r="B88" i="105"/>
  <c r="T87" i="105"/>
  <c r="P87" i="105"/>
  <c r="X87" i="105" s="1"/>
  <c r="Z87" i="105" s="1"/>
  <c r="H87" i="105"/>
  <c r="D87" i="105"/>
  <c r="L87" i="105" s="1"/>
  <c r="N87" i="105" s="1"/>
  <c r="B87" i="105"/>
  <c r="Z86" i="105"/>
  <c r="X86" i="105"/>
  <c r="N86" i="105"/>
  <c r="L86" i="105"/>
  <c r="B86" i="105"/>
  <c r="X85" i="105"/>
  <c r="Z85" i="105" s="1"/>
  <c r="N85" i="105"/>
  <c r="L85" i="105"/>
  <c r="B85" i="105"/>
  <c r="T84" i="105"/>
  <c r="P84" i="105"/>
  <c r="X84" i="105" s="1"/>
  <c r="Z84" i="105" s="1"/>
  <c r="H84" i="105"/>
  <c r="N84" i="105" s="1"/>
  <c r="D84" i="105"/>
  <c r="L84" i="105" s="1"/>
  <c r="B84" i="105"/>
  <c r="X83" i="105"/>
  <c r="Z83" i="105" s="1"/>
  <c r="N83" i="105"/>
  <c r="L83" i="105"/>
  <c r="B83" i="105"/>
  <c r="X82" i="105"/>
  <c r="Z82" i="105" s="1"/>
  <c r="N82" i="105"/>
  <c r="L82" i="105"/>
  <c r="B82" i="105"/>
  <c r="Z81" i="105"/>
  <c r="X81" i="105"/>
  <c r="N81" i="105"/>
  <c r="L81" i="105"/>
  <c r="B81" i="105"/>
  <c r="X80" i="105"/>
  <c r="Z80" i="105" s="1"/>
  <c r="L80" i="105"/>
  <c r="N80" i="105" s="1"/>
  <c r="B80" i="105"/>
  <c r="Z79" i="105"/>
  <c r="X79" i="105"/>
  <c r="N79" i="105"/>
  <c r="L79" i="105"/>
  <c r="B79" i="105"/>
  <c r="X78" i="105"/>
  <c r="Z78" i="105" s="1"/>
  <c r="N78" i="105"/>
  <c r="L78" i="105"/>
  <c r="B78" i="105"/>
  <c r="Z77" i="105"/>
  <c r="X77" i="105"/>
  <c r="N77" i="105"/>
  <c r="L77" i="105"/>
  <c r="B77" i="105"/>
  <c r="X76" i="105"/>
  <c r="Z76" i="105" s="1"/>
  <c r="L76" i="105"/>
  <c r="N76" i="105" s="1"/>
  <c r="B76" i="105"/>
  <c r="X75" i="105"/>
  <c r="Z75" i="105" s="1"/>
  <c r="N75" i="105"/>
  <c r="L75" i="105"/>
  <c r="B75" i="105"/>
  <c r="X74" i="105"/>
  <c r="T74" i="105"/>
  <c r="P74" i="105"/>
  <c r="L74" i="105"/>
  <c r="N74" i="105" s="1"/>
  <c r="H74" i="105"/>
  <c r="D74" i="105"/>
  <c r="B74" i="105"/>
  <c r="Z73" i="105"/>
  <c r="X73" i="105"/>
  <c r="L73" i="105"/>
  <c r="N73" i="105" s="1"/>
  <c r="B73" i="105"/>
  <c r="X72" i="105"/>
  <c r="Z72" i="105" s="1"/>
  <c r="L72" i="105"/>
  <c r="N72" i="105" s="1"/>
  <c r="B72" i="105"/>
  <c r="Z71" i="105"/>
  <c r="X71" i="105"/>
  <c r="N71" i="105"/>
  <c r="L71" i="105"/>
  <c r="B71" i="105"/>
  <c r="T70" i="105"/>
  <c r="P70" i="105"/>
  <c r="L70" i="105"/>
  <c r="H70" i="105"/>
  <c r="D70" i="105"/>
  <c r="B70" i="105"/>
  <c r="X69" i="105"/>
  <c r="Z69" i="105" s="1"/>
  <c r="N69" i="105"/>
  <c r="L69" i="105"/>
  <c r="B69" i="105"/>
  <c r="X68" i="105"/>
  <c r="Z68" i="105" s="1"/>
  <c r="N68" i="105"/>
  <c r="L68" i="105"/>
  <c r="B68" i="105"/>
  <c r="Z67" i="105"/>
  <c r="X67" i="105"/>
  <c r="N67" i="105"/>
  <c r="L67" i="105"/>
  <c r="B67" i="105"/>
  <c r="T66" i="105"/>
  <c r="P66" i="105"/>
  <c r="L66" i="105"/>
  <c r="N66" i="105" s="1"/>
  <c r="H66" i="105"/>
  <c r="D66" i="105"/>
  <c r="B66" i="105"/>
  <c r="Z65" i="105"/>
  <c r="X65" i="105"/>
  <c r="L65" i="105"/>
  <c r="N65" i="105" s="1"/>
  <c r="B65" i="105"/>
  <c r="T64" i="105"/>
  <c r="P64" i="105"/>
  <c r="X64" i="105" s="1"/>
  <c r="Z64" i="105" s="1"/>
  <c r="H64" i="105"/>
  <c r="D64" i="105"/>
  <c r="B64" i="105"/>
  <c r="Z63" i="105"/>
  <c r="X63" i="105"/>
  <c r="N63" i="105"/>
  <c r="L63" i="105"/>
  <c r="B63" i="105"/>
  <c r="Z62" i="105"/>
  <c r="T62" i="105"/>
  <c r="P62" i="105"/>
  <c r="X62" i="105" s="1"/>
  <c r="H62" i="105"/>
  <c r="D62" i="105"/>
  <c r="L62" i="105" s="1"/>
  <c r="B62" i="105"/>
  <c r="X61" i="105"/>
  <c r="Z61" i="105" s="1"/>
  <c r="N61" i="105"/>
  <c r="L61" i="105"/>
  <c r="B61" i="105"/>
  <c r="X60" i="105"/>
  <c r="T60" i="105"/>
  <c r="Z60" i="105" s="1"/>
  <c r="P60" i="105"/>
  <c r="H60" i="105"/>
  <c r="D60" i="105"/>
  <c r="L60" i="105" s="1"/>
  <c r="B60" i="105"/>
  <c r="X59" i="105"/>
  <c r="Z59" i="105" s="1"/>
  <c r="N59" i="105"/>
  <c r="L59" i="105"/>
  <c r="B59" i="105"/>
  <c r="T58" i="105"/>
  <c r="P58" i="105"/>
  <c r="X58" i="105" s="1"/>
  <c r="H58" i="105"/>
  <c r="D58" i="105"/>
  <c r="L58" i="105" s="1"/>
  <c r="N58" i="105" s="1"/>
  <c r="B58" i="105"/>
  <c r="X57" i="105"/>
  <c r="Z57" i="105" s="1"/>
  <c r="N57" i="105"/>
  <c r="L57" i="105"/>
  <c r="B57" i="105"/>
  <c r="T56" i="105"/>
  <c r="P56" i="105"/>
  <c r="X56" i="105" s="1"/>
  <c r="H56" i="105"/>
  <c r="N56" i="105" s="1"/>
  <c r="D56" i="105"/>
  <c r="L56" i="105" s="1"/>
  <c r="B56" i="105"/>
  <c r="Z55" i="105"/>
  <c r="X55" i="105"/>
  <c r="N55" i="105"/>
  <c r="L55" i="105"/>
  <c r="B55" i="105"/>
  <c r="X54" i="105"/>
  <c r="T54" i="105"/>
  <c r="Z54" i="105" s="1"/>
  <c r="P54" i="105"/>
  <c r="N54" i="105"/>
  <c r="H54" i="105"/>
  <c r="D54" i="105"/>
  <c r="L54" i="105" s="1"/>
  <c r="B54" i="105"/>
  <c r="Z53" i="105"/>
  <c r="X53" i="105"/>
  <c r="L53" i="105"/>
  <c r="N53" i="105" s="1"/>
  <c r="B53" i="105"/>
  <c r="T52" i="105"/>
  <c r="P52" i="105"/>
  <c r="X52" i="105" s="1"/>
  <c r="H52" i="105"/>
  <c r="D52" i="105"/>
  <c r="L52" i="105" s="1"/>
  <c r="N52" i="105" s="1"/>
  <c r="B52" i="105"/>
  <c r="Z51" i="105"/>
  <c r="X51" i="105"/>
  <c r="L51" i="105"/>
  <c r="N51" i="105" s="1"/>
  <c r="B51" i="105"/>
  <c r="T50" i="105"/>
  <c r="P50" i="105"/>
  <c r="X50" i="105" s="1"/>
  <c r="Z50" i="105" s="1"/>
  <c r="L50" i="105"/>
  <c r="N50" i="105" s="1"/>
  <c r="H50" i="105"/>
  <c r="D50" i="105"/>
  <c r="B50" i="105"/>
  <c r="X49" i="105"/>
  <c r="Z49" i="105" s="1"/>
  <c r="N49" i="105"/>
  <c r="L49" i="105"/>
  <c r="B49" i="105"/>
  <c r="T48" i="105"/>
  <c r="P48" i="105"/>
  <c r="X48" i="105" s="1"/>
  <c r="Z48" i="105" s="1"/>
  <c r="L48" i="105"/>
  <c r="H48" i="105"/>
  <c r="N48" i="105" s="1"/>
  <c r="D48" i="105"/>
  <c r="B48" i="105"/>
  <c r="Z47" i="105"/>
  <c r="X47" i="105"/>
  <c r="N47" i="105"/>
  <c r="L47" i="105"/>
  <c r="B47" i="105"/>
  <c r="Z46" i="105"/>
  <c r="X46" i="105"/>
  <c r="N46" i="105"/>
  <c r="L46" i="105"/>
  <c r="B46" i="105"/>
  <c r="Z45" i="105"/>
  <c r="X45" i="105"/>
  <c r="L45" i="105"/>
  <c r="N45" i="105" s="1"/>
  <c r="B45" i="105"/>
  <c r="Z44" i="105"/>
  <c r="X44" i="105"/>
  <c r="N44" i="105"/>
  <c r="L44" i="105"/>
  <c r="B44" i="105"/>
  <c r="Z43" i="105"/>
  <c r="X43" i="105"/>
  <c r="N43" i="105"/>
  <c r="L43" i="105"/>
  <c r="B43" i="105"/>
  <c r="Z42" i="105"/>
  <c r="X42" i="105"/>
  <c r="N42" i="105"/>
  <c r="L42" i="105"/>
  <c r="B42" i="105"/>
  <c r="Z41" i="105"/>
  <c r="X41" i="105"/>
  <c r="L41" i="105"/>
  <c r="N41" i="105" s="1"/>
  <c r="B41" i="105"/>
  <c r="Z40" i="105"/>
  <c r="X40" i="105"/>
  <c r="N40" i="105"/>
  <c r="L40" i="105"/>
  <c r="B40" i="105"/>
  <c r="X39" i="105"/>
  <c r="Z39" i="105" s="1"/>
  <c r="N39" i="105"/>
  <c r="L39" i="105"/>
  <c r="B39" i="105"/>
  <c r="Z38" i="105"/>
  <c r="X38" i="105"/>
  <c r="N38" i="105"/>
  <c r="L38" i="105"/>
  <c r="B38" i="105"/>
  <c r="T37" i="105"/>
  <c r="P37" i="105"/>
  <c r="X37" i="105" s="1"/>
  <c r="Z37" i="105" s="1"/>
  <c r="L37" i="105"/>
  <c r="H37" i="105"/>
  <c r="N37" i="105" s="1"/>
  <c r="D37" i="105"/>
  <c r="B37" i="105"/>
  <c r="X36" i="105"/>
  <c r="Z36" i="105" s="1"/>
  <c r="N36" i="105"/>
  <c r="L36" i="105"/>
  <c r="B36" i="105"/>
  <c r="X35" i="105"/>
  <c r="Z35" i="105" s="1"/>
  <c r="L35" i="105"/>
  <c r="N35" i="105" s="1"/>
  <c r="B35" i="105"/>
  <c r="Z34" i="105"/>
  <c r="X34" i="105"/>
  <c r="L34" i="105"/>
  <c r="N34" i="105" s="1"/>
  <c r="B34" i="105"/>
  <c r="Z33" i="105"/>
  <c r="X33" i="105"/>
  <c r="N33" i="105"/>
  <c r="L33" i="105"/>
  <c r="B33" i="105"/>
  <c r="Z32" i="105"/>
  <c r="X32" i="105"/>
  <c r="N32" i="105"/>
  <c r="L32" i="105"/>
  <c r="B32" i="105"/>
  <c r="X31" i="105"/>
  <c r="Z31" i="105" s="1"/>
  <c r="L31" i="105"/>
  <c r="N31" i="105" s="1"/>
  <c r="B31" i="105"/>
  <c r="Z30" i="105"/>
  <c r="X30" i="105"/>
  <c r="L30" i="105"/>
  <c r="N30" i="105" s="1"/>
  <c r="B30" i="105"/>
  <c r="X29" i="105"/>
  <c r="Z29" i="105" s="1"/>
  <c r="L29" i="105"/>
  <c r="N29" i="105" s="1"/>
  <c r="B29" i="105"/>
  <c r="X28" i="105"/>
  <c r="Z28" i="105" s="1"/>
  <c r="N28" i="105"/>
  <c r="L28" i="105"/>
  <c r="B28" i="105"/>
  <c r="X27" i="105"/>
  <c r="Z27" i="105" s="1"/>
  <c r="L27" i="105"/>
  <c r="N27" i="105" s="1"/>
  <c r="B27" i="105"/>
  <c r="T26" i="105"/>
  <c r="P26" i="105"/>
  <c r="X26" i="105" s="1"/>
  <c r="Z26" i="105" s="1"/>
  <c r="L26" i="105"/>
  <c r="N26" i="105" s="1"/>
  <c r="J26" i="105"/>
  <c r="H26" i="105"/>
  <c r="D26" i="105"/>
  <c r="B26" i="105"/>
  <c r="T25" i="105"/>
  <c r="P25" i="105"/>
  <c r="X25" i="105" s="1"/>
  <c r="H25" i="105"/>
  <c r="D25" i="105"/>
  <c r="H23" i="105"/>
  <c r="Z21" i="105"/>
  <c r="X21" i="105"/>
  <c r="N21" i="105"/>
  <c r="L21" i="105"/>
  <c r="B21" i="105"/>
  <c r="Z20" i="105"/>
  <c r="X20" i="105"/>
  <c r="N20" i="105"/>
  <c r="L20" i="105"/>
  <c r="J20" i="105"/>
  <c r="B20" i="105"/>
  <c r="X19" i="105"/>
  <c r="Z19" i="105" s="1"/>
  <c r="L19" i="105"/>
  <c r="N19" i="105" s="1"/>
  <c r="B19" i="105"/>
  <c r="X18" i="105"/>
  <c r="Z18" i="105" s="1"/>
  <c r="T18" i="105"/>
  <c r="P18" i="105"/>
  <c r="J18" i="105"/>
  <c r="H18" i="105"/>
  <c r="D18" i="105"/>
  <c r="L18" i="105" s="1"/>
  <c r="N18" i="105" s="1"/>
  <c r="Z16" i="105"/>
  <c r="X16" i="105"/>
  <c r="P16" i="105"/>
  <c r="N16" i="105"/>
  <c r="L16" i="105"/>
  <c r="D16" i="105"/>
  <c r="B16" i="105"/>
  <c r="Z15" i="105"/>
  <c r="X15" i="105"/>
  <c r="P15" i="105"/>
  <c r="N15" i="105"/>
  <c r="D15" i="105"/>
  <c r="L15" i="105" s="1"/>
  <c r="B15" i="105"/>
  <c r="P14" i="105"/>
  <c r="X14" i="105" s="1"/>
  <c r="Z14" i="105" s="1"/>
  <c r="L14" i="105"/>
  <c r="N14" i="105" s="1"/>
  <c r="D14" i="105"/>
  <c r="B14" i="105"/>
  <c r="Z13" i="105"/>
  <c r="X13" i="105"/>
  <c r="P13" i="105"/>
  <c r="P12" i="105" s="1"/>
  <c r="N13" i="105"/>
  <c r="L13" i="105"/>
  <c r="D13" i="105"/>
  <c r="D12" i="105" s="1"/>
  <c r="B13" i="105"/>
  <c r="T12" i="105"/>
  <c r="V60" i="105" s="1"/>
  <c r="H12" i="105"/>
  <c r="J56" i="105" s="1"/>
  <c r="D6" i="105"/>
  <c r="D4" i="105"/>
  <c r="V31" i="104"/>
  <c r="R31" i="104"/>
  <c r="V28" i="104"/>
  <c r="R28" i="104"/>
  <c r="Z26" i="104"/>
  <c r="X26" i="104"/>
  <c r="V26" i="104"/>
  <c r="N26" i="104"/>
  <c r="L26" i="104"/>
  <c r="J26" i="104"/>
  <c r="V24" i="104"/>
  <c r="R24" i="104"/>
  <c r="J24" i="104"/>
  <c r="F24" i="104"/>
  <c r="V22" i="104"/>
  <c r="T22" i="104"/>
  <c r="Z22" i="104" s="1"/>
  <c r="R22" i="104"/>
  <c r="P22" i="104"/>
  <c r="X22" i="104" s="1"/>
  <c r="N22" i="104"/>
  <c r="J22" i="104"/>
  <c r="H22" i="104"/>
  <c r="F22" i="104"/>
  <c r="D22" i="104"/>
  <c r="L22" i="104" s="1"/>
  <c r="Z20" i="104"/>
  <c r="X20" i="104"/>
  <c r="V20" i="104"/>
  <c r="R20" i="104"/>
  <c r="N20" i="104"/>
  <c r="L20" i="104"/>
  <c r="J20" i="104"/>
  <c r="B20" i="104"/>
  <c r="X19" i="104"/>
  <c r="T19" i="104"/>
  <c r="Z19" i="104" s="1"/>
  <c r="P19" i="104"/>
  <c r="N19" i="104"/>
  <c r="H19" i="104"/>
  <c r="D19" i="104"/>
  <c r="L19" i="104" s="1"/>
  <c r="B19" i="104"/>
  <c r="Z18" i="104"/>
  <c r="T18" i="104"/>
  <c r="R18" i="104"/>
  <c r="P18" i="104"/>
  <c r="X18" i="104" s="1"/>
  <c r="N18" i="104"/>
  <c r="L18" i="104"/>
  <c r="J18" i="104"/>
  <c r="H18" i="104"/>
  <c r="F18" i="104"/>
  <c r="D18" i="104"/>
  <c r="R16" i="104"/>
  <c r="J16" i="104"/>
  <c r="F16" i="104"/>
  <c r="Z14" i="104"/>
  <c r="T14" i="104"/>
  <c r="R14" i="104"/>
  <c r="P14" i="104"/>
  <c r="X14" i="104" s="1"/>
  <c r="N14" i="104"/>
  <c r="L14" i="104"/>
  <c r="J14" i="104"/>
  <c r="H14" i="104"/>
  <c r="F14" i="104"/>
  <c r="D14" i="104"/>
  <c r="Z12" i="104"/>
  <c r="T12" i="104"/>
  <c r="V19" i="104" s="1"/>
  <c r="P12" i="104"/>
  <c r="R26" i="104" s="1"/>
  <c r="N12" i="104"/>
  <c r="L12" i="104"/>
  <c r="H12" i="104"/>
  <c r="H16" i="104" s="1"/>
  <c r="D12" i="104"/>
  <c r="F20" i="104" s="1"/>
  <c r="D6" i="104"/>
  <c r="D4" i="104"/>
  <c r="Z90" i="103"/>
  <c r="X90" i="103"/>
  <c r="N90" i="103"/>
  <c r="L90" i="103"/>
  <c r="Z86" i="103"/>
  <c r="X86" i="103"/>
  <c r="T86" i="103"/>
  <c r="P86" i="103"/>
  <c r="N86" i="103"/>
  <c r="H86" i="103"/>
  <c r="D86" i="103"/>
  <c r="L86" i="103" s="1"/>
  <c r="X84" i="103"/>
  <c r="Z84" i="103" s="1"/>
  <c r="N84" i="103"/>
  <c r="L84" i="103"/>
  <c r="B84" i="103"/>
  <c r="T83" i="103"/>
  <c r="P83" i="103"/>
  <c r="X83" i="103" s="1"/>
  <c r="L83" i="103"/>
  <c r="H83" i="103"/>
  <c r="N83" i="103" s="1"/>
  <c r="D83" i="103"/>
  <c r="B83" i="103"/>
  <c r="X82" i="103"/>
  <c r="Z82" i="103" s="1"/>
  <c r="N82" i="103"/>
  <c r="L82" i="103"/>
  <c r="B82" i="103"/>
  <c r="X81" i="103"/>
  <c r="Z81" i="103" s="1"/>
  <c r="N81" i="103"/>
  <c r="L81" i="103"/>
  <c r="B81" i="103"/>
  <c r="Z80" i="103"/>
  <c r="X80" i="103"/>
  <c r="N80" i="103"/>
  <c r="L80" i="103"/>
  <c r="B80" i="103"/>
  <c r="X79" i="103"/>
  <c r="Z79" i="103" s="1"/>
  <c r="L79" i="103"/>
  <c r="N79" i="103" s="1"/>
  <c r="B79" i="103"/>
  <c r="X78" i="103"/>
  <c r="Z78" i="103" s="1"/>
  <c r="N78" i="103"/>
  <c r="L78" i="103"/>
  <c r="B78" i="103"/>
  <c r="X77" i="103"/>
  <c r="Z77" i="103" s="1"/>
  <c r="N77" i="103"/>
  <c r="L77" i="103"/>
  <c r="B77" i="103"/>
  <c r="Z76" i="103"/>
  <c r="X76" i="103"/>
  <c r="N76" i="103"/>
  <c r="L76" i="103"/>
  <c r="B76" i="103"/>
  <c r="X75" i="103"/>
  <c r="Z75" i="103" s="1"/>
  <c r="L75" i="103"/>
  <c r="N75" i="103" s="1"/>
  <c r="B75" i="103"/>
  <c r="X74" i="103"/>
  <c r="Z74" i="103" s="1"/>
  <c r="T74" i="103"/>
  <c r="P74" i="103"/>
  <c r="H74" i="103"/>
  <c r="D74" i="103"/>
  <c r="L74" i="103" s="1"/>
  <c r="N74" i="103" s="1"/>
  <c r="B74" i="103"/>
  <c r="Z73" i="103"/>
  <c r="X73" i="103"/>
  <c r="L73" i="103"/>
  <c r="N73" i="103" s="1"/>
  <c r="B73" i="103"/>
  <c r="Z72" i="103"/>
  <c r="X72" i="103"/>
  <c r="N72" i="103"/>
  <c r="L72" i="103"/>
  <c r="B72" i="103"/>
  <c r="X71" i="103"/>
  <c r="Z71" i="103" s="1"/>
  <c r="L71" i="103"/>
  <c r="N71" i="103" s="1"/>
  <c r="B71" i="103"/>
  <c r="Z70" i="103"/>
  <c r="X70" i="103"/>
  <c r="N70" i="103"/>
  <c r="L70" i="103"/>
  <c r="B70" i="103"/>
  <c r="T69" i="103"/>
  <c r="P69" i="103"/>
  <c r="X69" i="103" s="1"/>
  <c r="Z69" i="103" s="1"/>
  <c r="L69" i="103"/>
  <c r="H69" i="103"/>
  <c r="N69" i="103" s="1"/>
  <c r="D69" i="103"/>
  <c r="B69" i="103"/>
  <c r="X68" i="103"/>
  <c r="Z68" i="103" s="1"/>
  <c r="N68" i="103"/>
  <c r="L68" i="103"/>
  <c r="B68" i="103"/>
  <c r="X67" i="103"/>
  <c r="Z67" i="103" s="1"/>
  <c r="N67" i="103"/>
  <c r="L67" i="103"/>
  <c r="B67" i="103"/>
  <c r="T66" i="103"/>
  <c r="P66" i="103"/>
  <c r="X66" i="103" s="1"/>
  <c r="Z66" i="103" s="1"/>
  <c r="L66" i="103"/>
  <c r="N66" i="103" s="1"/>
  <c r="H66" i="103"/>
  <c r="D66" i="103"/>
  <c r="B66" i="103"/>
  <c r="X65" i="103"/>
  <c r="Z65" i="103" s="1"/>
  <c r="N65" i="103"/>
  <c r="L65" i="103"/>
  <c r="B65" i="103"/>
  <c r="T64" i="103"/>
  <c r="P64" i="103"/>
  <c r="X64" i="103" s="1"/>
  <c r="Z64" i="103" s="1"/>
  <c r="L64" i="103"/>
  <c r="N64" i="103" s="1"/>
  <c r="H64" i="103"/>
  <c r="D64" i="103"/>
  <c r="B64" i="103"/>
  <c r="X63" i="103"/>
  <c r="Z63" i="103" s="1"/>
  <c r="L63" i="103"/>
  <c r="N63" i="103" s="1"/>
  <c r="B63" i="103"/>
  <c r="T62" i="103"/>
  <c r="P62" i="103"/>
  <c r="X62" i="103" s="1"/>
  <c r="Z62" i="103" s="1"/>
  <c r="H62" i="103"/>
  <c r="D62" i="103"/>
  <c r="B62" i="103"/>
  <c r="X61" i="103"/>
  <c r="Z61" i="103" s="1"/>
  <c r="L61" i="103"/>
  <c r="N61" i="103" s="1"/>
  <c r="B61" i="103"/>
  <c r="X60" i="103"/>
  <c r="Z60" i="103" s="1"/>
  <c r="T60" i="103"/>
  <c r="P60" i="103"/>
  <c r="H60" i="103"/>
  <c r="D60" i="103"/>
  <c r="L60" i="103" s="1"/>
  <c r="N60" i="103" s="1"/>
  <c r="B60" i="103"/>
  <c r="X59" i="103"/>
  <c r="Z59" i="103" s="1"/>
  <c r="L59" i="103"/>
  <c r="N59" i="103" s="1"/>
  <c r="B59" i="103"/>
  <c r="X58" i="103"/>
  <c r="T58" i="103"/>
  <c r="Z58" i="103" s="1"/>
  <c r="P58" i="103"/>
  <c r="N58" i="103"/>
  <c r="H58" i="103"/>
  <c r="D58" i="103"/>
  <c r="L58" i="103" s="1"/>
  <c r="B58" i="103"/>
  <c r="Z57" i="103"/>
  <c r="X57" i="103"/>
  <c r="L57" i="103"/>
  <c r="N57" i="103" s="1"/>
  <c r="B57" i="103"/>
  <c r="T56" i="103"/>
  <c r="P56" i="103"/>
  <c r="H56" i="103"/>
  <c r="D56" i="103"/>
  <c r="L56" i="103" s="1"/>
  <c r="N56" i="103" s="1"/>
  <c r="B56" i="103"/>
  <c r="Z55" i="103"/>
  <c r="X55" i="103"/>
  <c r="N55" i="103"/>
  <c r="L55" i="103"/>
  <c r="B55" i="103"/>
  <c r="Z54" i="103"/>
  <c r="T54" i="103"/>
  <c r="P54" i="103"/>
  <c r="X54" i="103" s="1"/>
  <c r="N54" i="103"/>
  <c r="L54" i="103"/>
  <c r="H54" i="103"/>
  <c r="D54" i="103"/>
  <c r="B54" i="103"/>
  <c r="X53" i="103"/>
  <c r="Z53" i="103" s="1"/>
  <c r="N53" i="103"/>
  <c r="L53" i="103"/>
  <c r="B53" i="103"/>
  <c r="Z52" i="103"/>
  <c r="T52" i="103"/>
  <c r="P52" i="103"/>
  <c r="X52" i="103" s="1"/>
  <c r="L52" i="103"/>
  <c r="H52" i="103"/>
  <c r="N52" i="103" s="1"/>
  <c r="D52" i="103"/>
  <c r="B52" i="103"/>
  <c r="X51" i="103"/>
  <c r="Z51" i="103" s="1"/>
  <c r="L51" i="103"/>
  <c r="N51" i="103" s="1"/>
  <c r="B51" i="103"/>
  <c r="T50" i="103"/>
  <c r="P50" i="103"/>
  <c r="X50" i="103" s="1"/>
  <c r="Z50" i="103" s="1"/>
  <c r="H50" i="103"/>
  <c r="D50" i="103"/>
  <c r="L50" i="103" s="1"/>
  <c r="B50" i="103"/>
  <c r="X49" i="103"/>
  <c r="Z49" i="103" s="1"/>
  <c r="L49" i="103"/>
  <c r="N49" i="103" s="1"/>
  <c r="B49" i="103"/>
  <c r="X48" i="103"/>
  <c r="Z48" i="103" s="1"/>
  <c r="T48" i="103"/>
  <c r="P48" i="103"/>
  <c r="H48" i="103"/>
  <c r="D48" i="103"/>
  <c r="L48" i="103" s="1"/>
  <c r="N48" i="103" s="1"/>
  <c r="B48" i="103"/>
  <c r="Z47" i="103"/>
  <c r="X47" i="103"/>
  <c r="N47" i="103"/>
  <c r="L47" i="103"/>
  <c r="B47" i="103"/>
  <c r="Z46" i="103"/>
  <c r="X46" i="103"/>
  <c r="N46" i="103"/>
  <c r="L46" i="103"/>
  <c r="J46" i="103"/>
  <c r="B46" i="103"/>
  <c r="X45" i="103"/>
  <c r="Z45" i="103" s="1"/>
  <c r="N45" i="103"/>
  <c r="L45" i="103"/>
  <c r="B45" i="103"/>
  <c r="Z44" i="103"/>
  <c r="X44" i="103"/>
  <c r="N44" i="103"/>
  <c r="L44" i="103"/>
  <c r="B44" i="103"/>
  <c r="Z43" i="103"/>
  <c r="X43" i="103"/>
  <c r="N43" i="103"/>
  <c r="L43" i="103"/>
  <c r="B43" i="103"/>
  <c r="Z42" i="103"/>
  <c r="X42" i="103"/>
  <c r="N42" i="103"/>
  <c r="L42" i="103"/>
  <c r="B42" i="103"/>
  <c r="X41" i="103"/>
  <c r="Z41" i="103" s="1"/>
  <c r="N41" i="103"/>
  <c r="L41" i="103"/>
  <c r="B41" i="103"/>
  <c r="Z40" i="103"/>
  <c r="X40" i="103"/>
  <c r="N40" i="103"/>
  <c r="L40" i="103"/>
  <c r="B40" i="103"/>
  <c r="X39" i="103"/>
  <c r="Z39" i="103" s="1"/>
  <c r="L39" i="103"/>
  <c r="N39" i="103" s="1"/>
  <c r="B39" i="103"/>
  <c r="Z38" i="103"/>
  <c r="X38" i="103"/>
  <c r="N38" i="103"/>
  <c r="L38" i="103"/>
  <c r="B38" i="103"/>
  <c r="T37" i="103"/>
  <c r="R37" i="103"/>
  <c r="P37" i="103"/>
  <c r="X37" i="103" s="1"/>
  <c r="H37" i="103"/>
  <c r="D37" i="103"/>
  <c r="B37" i="103"/>
  <c r="Z36" i="103"/>
  <c r="X36" i="103"/>
  <c r="L36" i="103"/>
  <c r="N36" i="103" s="1"/>
  <c r="B36" i="103"/>
  <c r="X35" i="103"/>
  <c r="Z35" i="103" s="1"/>
  <c r="L35" i="103"/>
  <c r="N35" i="103" s="1"/>
  <c r="B35" i="103"/>
  <c r="Z34" i="103"/>
  <c r="X34" i="103"/>
  <c r="N34" i="103"/>
  <c r="L34" i="103"/>
  <c r="B34" i="103"/>
  <c r="Z33" i="103"/>
  <c r="X33" i="103"/>
  <c r="V33" i="103"/>
  <c r="N33" i="103"/>
  <c r="L33" i="103"/>
  <c r="B33" i="103"/>
  <c r="Z32" i="103"/>
  <c r="X32" i="103"/>
  <c r="N32" i="103"/>
  <c r="L32" i="103"/>
  <c r="B32" i="103"/>
  <c r="X31" i="103"/>
  <c r="Z31" i="103" s="1"/>
  <c r="L31" i="103"/>
  <c r="N31" i="103" s="1"/>
  <c r="B31" i="103"/>
  <c r="Z30" i="103"/>
  <c r="X30" i="103"/>
  <c r="N30" i="103"/>
  <c r="L30" i="103"/>
  <c r="B30" i="103"/>
  <c r="Z29" i="103"/>
  <c r="X29" i="103"/>
  <c r="L29" i="103"/>
  <c r="N29" i="103" s="1"/>
  <c r="B29" i="103"/>
  <c r="Z28" i="103"/>
  <c r="X28" i="103"/>
  <c r="L28" i="103"/>
  <c r="N28" i="103" s="1"/>
  <c r="B28" i="103"/>
  <c r="X27" i="103"/>
  <c r="Z27" i="103" s="1"/>
  <c r="L27" i="103"/>
  <c r="N27" i="103" s="1"/>
  <c r="B27" i="103"/>
  <c r="T26" i="103"/>
  <c r="P26" i="103"/>
  <c r="X26" i="103" s="1"/>
  <c r="Z26" i="103" s="1"/>
  <c r="H26" i="103"/>
  <c r="D26" i="103"/>
  <c r="B26" i="103"/>
  <c r="T25" i="103"/>
  <c r="P25" i="103"/>
  <c r="H25" i="103"/>
  <c r="D25" i="103"/>
  <c r="L25" i="103" s="1"/>
  <c r="T23" i="103"/>
  <c r="Z21" i="103"/>
  <c r="X21" i="103"/>
  <c r="R21" i="103"/>
  <c r="N21" i="103"/>
  <c r="L21" i="103"/>
  <c r="B21" i="103"/>
  <c r="Z20" i="103"/>
  <c r="X20" i="103"/>
  <c r="V20" i="103"/>
  <c r="N20" i="103"/>
  <c r="L20" i="103"/>
  <c r="B20" i="103"/>
  <c r="Z19" i="103"/>
  <c r="X19" i="103"/>
  <c r="V19" i="103"/>
  <c r="L19" i="103"/>
  <c r="N19" i="103" s="1"/>
  <c r="B19" i="103"/>
  <c r="T18" i="103"/>
  <c r="Z18" i="103" s="1"/>
  <c r="P18" i="103"/>
  <c r="X18" i="103" s="1"/>
  <c r="N18" i="103"/>
  <c r="L18" i="103"/>
  <c r="H18" i="103"/>
  <c r="D18" i="103"/>
  <c r="Z16" i="103"/>
  <c r="P16" i="103"/>
  <c r="X16" i="103" s="1"/>
  <c r="N16" i="103"/>
  <c r="D16" i="103"/>
  <c r="L16" i="103" s="1"/>
  <c r="B16" i="103"/>
  <c r="Z15" i="103"/>
  <c r="X15" i="103"/>
  <c r="P15" i="103"/>
  <c r="N15" i="103"/>
  <c r="D15" i="103"/>
  <c r="L15" i="103" s="1"/>
  <c r="B15" i="103"/>
  <c r="P14" i="103"/>
  <c r="X14" i="103" s="1"/>
  <c r="Z14" i="103" s="1"/>
  <c r="D14" i="103"/>
  <c r="L14" i="103" s="1"/>
  <c r="N14" i="103" s="1"/>
  <c r="B14" i="103"/>
  <c r="Z13" i="103"/>
  <c r="X13" i="103"/>
  <c r="P13" i="103"/>
  <c r="N13" i="103"/>
  <c r="D13" i="103"/>
  <c r="B13" i="103"/>
  <c r="T12" i="103"/>
  <c r="V67" i="103" s="1"/>
  <c r="P12" i="103"/>
  <c r="R33" i="103" s="1"/>
  <c r="H12" i="103"/>
  <c r="J35" i="103" s="1"/>
  <c r="D6" i="103"/>
  <c r="D4" i="103"/>
  <c r="F63" i="102"/>
  <c r="Z58" i="102"/>
  <c r="X58" i="102"/>
  <c r="N58" i="102"/>
  <c r="L58" i="102"/>
  <c r="Z54" i="102"/>
  <c r="T54" i="102"/>
  <c r="P54" i="102"/>
  <c r="X54" i="102" s="1"/>
  <c r="N54" i="102"/>
  <c r="L54" i="102"/>
  <c r="H54" i="102"/>
  <c r="D54" i="102"/>
  <c r="Z52" i="102"/>
  <c r="X52" i="102"/>
  <c r="L52" i="102"/>
  <c r="N52" i="102" s="1"/>
  <c r="F52" i="102"/>
  <c r="B52" i="102"/>
  <c r="X51" i="102"/>
  <c r="Z51" i="102" s="1"/>
  <c r="T51" i="102"/>
  <c r="P51" i="102"/>
  <c r="H51" i="102"/>
  <c r="D51" i="102"/>
  <c r="L51" i="102" s="1"/>
  <c r="N51" i="102" s="1"/>
  <c r="B51" i="102"/>
  <c r="Z50" i="102"/>
  <c r="X50" i="102"/>
  <c r="L50" i="102"/>
  <c r="N50" i="102" s="1"/>
  <c r="B50" i="102"/>
  <c r="X49" i="102"/>
  <c r="Z49" i="102" s="1"/>
  <c r="T49" i="102"/>
  <c r="P49" i="102"/>
  <c r="H49" i="102"/>
  <c r="D49" i="102"/>
  <c r="B49" i="102"/>
  <c r="X48" i="102"/>
  <c r="Z48" i="102" s="1"/>
  <c r="L48" i="102"/>
  <c r="N48" i="102" s="1"/>
  <c r="B48" i="102"/>
  <c r="Z47" i="102"/>
  <c r="X47" i="102"/>
  <c r="L47" i="102"/>
  <c r="N47" i="102" s="1"/>
  <c r="B47" i="102"/>
  <c r="T46" i="102"/>
  <c r="P46" i="102"/>
  <c r="J46" i="102"/>
  <c r="H46" i="102"/>
  <c r="D46" i="102"/>
  <c r="L46" i="102" s="1"/>
  <c r="B46" i="102"/>
  <c r="Z45" i="102"/>
  <c r="X45" i="102"/>
  <c r="L45" i="102"/>
  <c r="N45" i="102" s="1"/>
  <c r="F45" i="102"/>
  <c r="B45" i="102"/>
  <c r="X44" i="102"/>
  <c r="Z44" i="102" s="1"/>
  <c r="L44" i="102"/>
  <c r="N44" i="102" s="1"/>
  <c r="B44" i="102"/>
  <c r="X43" i="102"/>
  <c r="Z43" i="102" s="1"/>
  <c r="N43" i="102"/>
  <c r="L43" i="102"/>
  <c r="B43" i="102"/>
  <c r="T42" i="102"/>
  <c r="R42" i="102"/>
  <c r="P42" i="102"/>
  <c r="X42" i="102" s="1"/>
  <c r="H42" i="102"/>
  <c r="N42" i="102" s="1"/>
  <c r="D42" i="102"/>
  <c r="L42" i="102" s="1"/>
  <c r="B42" i="102"/>
  <c r="Z41" i="102"/>
  <c r="X41" i="102"/>
  <c r="R41" i="102"/>
  <c r="N41" i="102"/>
  <c r="L41" i="102"/>
  <c r="B41" i="102"/>
  <c r="Z40" i="102"/>
  <c r="X40" i="102"/>
  <c r="T40" i="102"/>
  <c r="P40" i="102"/>
  <c r="N40" i="102"/>
  <c r="L40" i="102"/>
  <c r="H40" i="102"/>
  <c r="D40" i="102"/>
  <c r="B40" i="102"/>
  <c r="Z39" i="102"/>
  <c r="X39" i="102"/>
  <c r="N39" i="102"/>
  <c r="L39" i="102"/>
  <c r="J39" i="102"/>
  <c r="B39" i="102"/>
  <c r="Z38" i="102"/>
  <c r="X38" i="102"/>
  <c r="N38" i="102"/>
  <c r="L38" i="102"/>
  <c r="B38" i="102"/>
  <c r="Z37" i="102"/>
  <c r="X37" i="102"/>
  <c r="V37" i="102"/>
  <c r="N37" i="102"/>
  <c r="L37" i="102"/>
  <c r="J37" i="102"/>
  <c r="B37" i="102"/>
  <c r="Z36" i="102"/>
  <c r="X36" i="102"/>
  <c r="V36" i="102"/>
  <c r="N36" i="102"/>
  <c r="L36" i="102"/>
  <c r="B36" i="102"/>
  <c r="Z35" i="102"/>
  <c r="X35" i="102"/>
  <c r="N35" i="102"/>
  <c r="L35" i="102"/>
  <c r="J35" i="102"/>
  <c r="B35" i="102"/>
  <c r="Z34" i="102"/>
  <c r="X34" i="102"/>
  <c r="N34" i="102"/>
  <c r="L34" i="102"/>
  <c r="B34" i="102"/>
  <c r="Z33" i="102"/>
  <c r="X33" i="102"/>
  <c r="V33" i="102"/>
  <c r="N33" i="102"/>
  <c r="L33" i="102"/>
  <c r="J33" i="102"/>
  <c r="B33" i="102"/>
  <c r="Z32" i="102"/>
  <c r="X32" i="102"/>
  <c r="V32" i="102"/>
  <c r="N32" i="102"/>
  <c r="L32" i="102"/>
  <c r="B32" i="102"/>
  <c r="Z31" i="102"/>
  <c r="X31" i="102"/>
  <c r="L31" i="102"/>
  <c r="N31" i="102" s="1"/>
  <c r="J31" i="102"/>
  <c r="B31" i="102"/>
  <c r="Z30" i="102"/>
  <c r="X30" i="102"/>
  <c r="N30" i="102"/>
  <c r="L30" i="102"/>
  <c r="B30" i="102"/>
  <c r="V29" i="102"/>
  <c r="T29" i="102"/>
  <c r="P29" i="102"/>
  <c r="X29" i="102" s="1"/>
  <c r="Z29" i="102" s="1"/>
  <c r="H29" i="102"/>
  <c r="D29" i="102"/>
  <c r="L29" i="102" s="1"/>
  <c r="N29" i="102" s="1"/>
  <c r="B29" i="102"/>
  <c r="Z28" i="102"/>
  <c r="X28" i="102"/>
  <c r="N28" i="102"/>
  <c r="L28" i="102"/>
  <c r="B28" i="102"/>
  <c r="X27" i="102"/>
  <c r="Z27" i="102" s="1"/>
  <c r="V27" i="102"/>
  <c r="N27" i="102"/>
  <c r="L27" i="102"/>
  <c r="J27" i="102"/>
  <c r="B27" i="102"/>
  <c r="X26" i="102"/>
  <c r="Z26" i="102" s="1"/>
  <c r="N26" i="102"/>
  <c r="L26" i="102"/>
  <c r="B26" i="102"/>
  <c r="Z25" i="102"/>
  <c r="X25" i="102"/>
  <c r="V25" i="102"/>
  <c r="N25" i="102"/>
  <c r="L25" i="102"/>
  <c r="F25" i="102"/>
  <c r="B25" i="102"/>
  <c r="X24" i="102"/>
  <c r="Z24" i="102" s="1"/>
  <c r="L24" i="102"/>
  <c r="N24" i="102" s="1"/>
  <c r="B24" i="102"/>
  <c r="X23" i="102"/>
  <c r="Z23" i="102" s="1"/>
  <c r="V23" i="102"/>
  <c r="N23" i="102"/>
  <c r="L23" i="102"/>
  <c r="J23" i="102"/>
  <c r="B23" i="102"/>
  <c r="X22" i="102"/>
  <c r="Z22" i="102" s="1"/>
  <c r="N22" i="102"/>
  <c r="L22" i="102"/>
  <c r="F22" i="102"/>
  <c r="B22" i="102"/>
  <c r="Z21" i="102"/>
  <c r="X21" i="102"/>
  <c r="V21" i="102"/>
  <c r="L21" i="102"/>
  <c r="N21" i="102" s="1"/>
  <c r="F21" i="102"/>
  <c r="B21" i="102"/>
  <c r="X20" i="102"/>
  <c r="Z20" i="102" s="1"/>
  <c r="L20" i="102"/>
  <c r="N20" i="102" s="1"/>
  <c r="B20" i="102"/>
  <c r="X19" i="102"/>
  <c r="Z19" i="102" s="1"/>
  <c r="V19" i="102"/>
  <c r="T19" i="102"/>
  <c r="P19" i="102"/>
  <c r="J19" i="102"/>
  <c r="H19" i="102"/>
  <c r="D19" i="102"/>
  <c r="L19" i="102" s="1"/>
  <c r="N19" i="102" s="1"/>
  <c r="B19" i="102"/>
  <c r="T18" i="102"/>
  <c r="X18" i="102" s="1"/>
  <c r="Z18" i="102" s="1"/>
  <c r="P18" i="102"/>
  <c r="H18" i="102"/>
  <c r="D18" i="102"/>
  <c r="L18" i="102" s="1"/>
  <c r="N18" i="102" s="1"/>
  <c r="Z14" i="102"/>
  <c r="T14" i="102"/>
  <c r="X14" i="102" s="1"/>
  <c r="P14" i="102"/>
  <c r="N14" i="102"/>
  <c r="L14" i="102"/>
  <c r="H14" i="102"/>
  <c r="D14" i="102"/>
  <c r="Z12" i="102"/>
  <c r="T12" i="102"/>
  <c r="V51" i="102" s="1"/>
  <c r="P12" i="102"/>
  <c r="H12" i="102"/>
  <c r="J48" i="102" s="1"/>
  <c r="D12" i="102"/>
  <c r="F58" i="102" s="1"/>
  <c r="D6" i="102"/>
  <c r="D4" i="102"/>
  <c r="V43" i="101"/>
  <c r="V40" i="101"/>
  <c r="Z38" i="101"/>
  <c r="X38" i="101"/>
  <c r="V38" i="101"/>
  <c r="N38" i="101"/>
  <c r="L38" i="101"/>
  <c r="X34" i="101"/>
  <c r="T34" i="101"/>
  <c r="Z34" i="101" s="1"/>
  <c r="P34" i="101"/>
  <c r="N34" i="101"/>
  <c r="H34" i="101"/>
  <c r="L34" i="101" s="1"/>
  <c r="D34" i="101"/>
  <c r="Z32" i="101"/>
  <c r="X32" i="101"/>
  <c r="N32" i="101"/>
  <c r="L32" i="101"/>
  <c r="J32" i="101"/>
  <c r="B32" i="101"/>
  <c r="Z31" i="101"/>
  <c r="T31" i="101"/>
  <c r="P31" i="101"/>
  <c r="X31" i="101" s="1"/>
  <c r="H31" i="101"/>
  <c r="N31" i="101" s="1"/>
  <c r="D31" i="101"/>
  <c r="B31" i="101"/>
  <c r="Z30" i="101"/>
  <c r="X30" i="101"/>
  <c r="N30" i="101"/>
  <c r="L30" i="101"/>
  <c r="B30" i="101"/>
  <c r="Z29" i="101"/>
  <c r="X29" i="101"/>
  <c r="V29" i="101"/>
  <c r="T29" i="101"/>
  <c r="P29" i="101"/>
  <c r="N29" i="101"/>
  <c r="H29" i="101"/>
  <c r="D29" i="101"/>
  <c r="L29" i="101" s="1"/>
  <c r="B29" i="101"/>
  <c r="X28" i="101"/>
  <c r="Z28" i="101" s="1"/>
  <c r="L28" i="101"/>
  <c r="N28" i="101" s="1"/>
  <c r="B28" i="101"/>
  <c r="X27" i="101"/>
  <c r="Z27" i="101" s="1"/>
  <c r="V27" i="101"/>
  <c r="T27" i="101"/>
  <c r="R27" i="101"/>
  <c r="P27" i="101"/>
  <c r="J27" i="101"/>
  <c r="H27" i="101"/>
  <c r="D27" i="101"/>
  <c r="L27" i="101" s="1"/>
  <c r="N27" i="101" s="1"/>
  <c r="B27" i="101"/>
  <c r="Z26" i="101"/>
  <c r="X26" i="101"/>
  <c r="R26" i="101"/>
  <c r="N26" i="101"/>
  <c r="L26" i="101"/>
  <c r="B26" i="101"/>
  <c r="T25" i="101"/>
  <c r="Z25" i="101" s="1"/>
  <c r="P25" i="101"/>
  <c r="X25" i="101" s="1"/>
  <c r="N25" i="101"/>
  <c r="H25" i="101"/>
  <c r="D25" i="101"/>
  <c r="L25" i="101" s="1"/>
  <c r="B25" i="101"/>
  <c r="Z24" i="101"/>
  <c r="X24" i="101"/>
  <c r="V24" i="101"/>
  <c r="R24" i="101"/>
  <c r="N24" i="101"/>
  <c r="L24" i="101"/>
  <c r="B24" i="101"/>
  <c r="Z23" i="101"/>
  <c r="X23" i="101"/>
  <c r="N23" i="101"/>
  <c r="L23" i="101"/>
  <c r="J23" i="101"/>
  <c r="B23" i="101"/>
  <c r="Z22" i="101"/>
  <c r="X22" i="101"/>
  <c r="N22" i="101"/>
  <c r="L22" i="101"/>
  <c r="B22" i="101"/>
  <c r="Z21" i="101"/>
  <c r="X21" i="101"/>
  <c r="V21" i="101"/>
  <c r="N21" i="101"/>
  <c r="L21" i="101"/>
  <c r="J21" i="101"/>
  <c r="B21" i="101"/>
  <c r="Z20" i="101"/>
  <c r="X20" i="101"/>
  <c r="V20" i="101"/>
  <c r="R20" i="101"/>
  <c r="N20" i="101"/>
  <c r="L20" i="101"/>
  <c r="B20" i="101"/>
  <c r="Z19" i="101"/>
  <c r="T19" i="101"/>
  <c r="P19" i="101"/>
  <c r="X19" i="101" s="1"/>
  <c r="N19" i="101"/>
  <c r="J19" i="101"/>
  <c r="H19" i="101"/>
  <c r="D19" i="101"/>
  <c r="L19" i="101" s="1"/>
  <c r="B19" i="101"/>
  <c r="T18" i="101"/>
  <c r="R18" i="101"/>
  <c r="P18" i="101"/>
  <c r="X18" i="101" s="1"/>
  <c r="H18" i="101"/>
  <c r="D18" i="101"/>
  <c r="L18" i="101" s="1"/>
  <c r="R16" i="101"/>
  <c r="T14" i="101"/>
  <c r="Z14" i="101" s="1"/>
  <c r="R14" i="101"/>
  <c r="P14" i="101"/>
  <c r="X14" i="101" s="1"/>
  <c r="L14" i="101"/>
  <c r="H14" i="101"/>
  <c r="H16" i="101" s="1"/>
  <c r="D14" i="101"/>
  <c r="T12" i="101"/>
  <c r="V28" i="101" s="1"/>
  <c r="P12" i="101"/>
  <c r="R21" i="101" s="1"/>
  <c r="N12" i="101"/>
  <c r="H12" i="101"/>
  <c r="J38" i="101" s="1"/>
  <c r="D12" i="101"/>
  <c r="F36" i="101" s="1"/>
  <c r="D6" i="101"/>
  <c r="D4" i="101"/>
  <c r="Z32" i="100"/>
  <c r="X32" i="100"/>
  <c r="N32" i="100"/>
  <c r="L32" i="100"/>
  <c r="F30" i="100"/>
  <c r="X28" i="100"/>
  <c r="T28" i="100"/>
  <c r="Z28" i="100" s="1"/>
  <c r="P28" i="100"/>
  <c r="H28" i="100"/>
  <c r="N28" i="100" s="1"/>
  <c r="F28" i="100"/>
  <c r="D28" i="100"/>
  <c r="L28" i="100" s="1"/>
  <c r="Z26" i="100"/>
  <c r="X26" i="100"/>
  <c r="R26" i="100"/>
  <c r="N26" i="100"/>
  <c r="L26" i="100"/>
  <c r="B26" i="100"/>
  <c r="Z25" i="100"/>
  <c r="X25" i="100"/>
  <c r="V25" i="100"/>
  <c r="T25" i="100"/>
  <c r="R25" i="100"/>
  <c r="P25" i="100"/>
  <c r="N25" i="100"/>
  <c r="H25" i="100"/>
  <c r="D25" i="100"/>
  <c r="L25" i="100" s="1"/>
  <c r="B25" i="100"/>
  <c r="Z24" i="100"/>
  <c r="X24" i="100"/>
  <c r="R24" i="100"/>
  <c r="N24" i="100"/>
  <c r="L24" i="100"/>
  <c r="B24" i="100"/>
  <c r="V23" i="100"/>
  <c r="T23" i="100"/>
  <c r="R23" i="100"/>
  <c r="P23" i="100"/>
  <c r="N23" i="100"/>
  <c r="H23" i="100"/>
  <c r="D23" i="100"/>
  <c r="L23" i="100" s="1"/>
  <c r="B23" i="100"/>
  <c r="Z22" i="100"/>
  <c r="X22" i="100"/>
  <c r="V22" i="100"/>
  <c r="R22" i="100"/>
  <c r="N22" i="100"/>
  <c r="L22" i="100"/>
  <c r="B22" i="100"/>
  <c r="Z21" i="100"/>
  <c r="T21" i="100"/>
  <c r="R21" i="100"/>
  <c r="P21" i="100"/>
  <c r="X21" i="100" s="1"/>
  <c r="N21" i="100"/>
  <c r="H21" i="100"/>
  <c r="D21" i="100"/>
  <c r="L21" i="100" s="1"/>
  <c r="B21" i="100"/>
  <c r="X20" i="100"/>
  <c r="Z20" i="100" s="1"/>
  <c r="V20" i="100"/>
  <c r="R20" i="100"/>
  <c r="N20" i="100"/>
  <c r="L20" i="100"/>
  <c r="F20" i="100"/>
  <c r="B20" i="100"/>
  <c r="Z19" i="100"/>
  <c r="X19" i="100"/>
  <c r="V19" i="100"/>
  <c r="T19" i="100"/>
  <c r="P19" i="100"/>
  <c r="L19" i="100"/>
  <c r="N19" i="100" s="1"/>
  <c r="H19" i="100"/>
  <c r="F19" i="100"/>
  <c r="D19" i="100"/>
  <c r="B19" i="100"/>
  <c r="T18" i="100"/>
  <c r="P18" i="100"/>
  <c r="H18" i="100"/>
  <c r="D18" i="100"/>
  <c r="H16" i="100"/>
  <c r="H30" i="100" s="1"/>
  <c r="Z14" i="100"/>
  <c r="T14" i="100"/>
  <c r="T16" i="100" s="1"/>
  <c r="P14" i="100"/>
  <c r="X14" i="100" s="1"/>
  <c r="N14" i="100"/>
  <c r="H14" i="100"/>
  <c r="L14" i="100" s="1"/>
  <c r="D14" i="100"/>
  <c r="Z12" i="100"/>
  <c r="X12" i="100"/>
  <c r="T12" i="100"/>
  <c r="V30" i="100" s="1"/>
  <c r="P12" i="100"/>
  <c r="R30" i="100" s="1"/>
  <c r="H12" i="100"/>
  <c r="D12" i="100"/>
  <c r="F37" i="100" s="1"/>
  <c r="D6" i="100"/>
  <c r="D4" i="100"/>
  <c r="J63" i="99"/>
  <c r="J60" i="99"/>
  <c r="Z58" i="99"/>
  <c r="X58" i="99"/>
  <c r="N58" i="99"/>
  <c r="L58" i="99"/>
  <c r="Z54" i="99"/>
  <c r="X54" i="99"/>
  <c r="P54" i="99"/>
  <c r="N54" i="99"/>
  <c r="L54" i="99"/>
  <c r="D54" i="99"/>
  <c r="B54" i="99"/>
  <c r="X53" i="99"/>
  <c r="Z53" i="99" s="1"/>
  <c r="P53" i="99"/>
  <c r="P51" i="99" s="1"/>
  <c r="X51" i="99" s="1"/>
  <c r="L53" i="99"/>
  <c r="N53" i="99" s="1"/>
  <c r="D53" i="99"/>
  <c r="B53" i="99"/>
  <c r="X52" i="99"/>
  <c r="Z52" i="99" s="1"/>
  <c r="P52" i="99"/>
  <c r="D52" i="99"/>
  <c r="L52" i="99" s="1"/>
  <c r="N52" i="99" s="1"/>
  <c r="B52" i="99"/>
  <c r="T51" i="99"/>
  <c r="H51" i="99"/>
  <c r="Z49" i="99"/>
  <c r="X49" i="99"/>
  <c r="N49" i="99"/>
  <c r="L49" i="99"/>
  <c r="J49" i="99"/>
  <c r="B49" i="99"/>
  <c r="Z48" i="99"/>
  <c r="T48" i="99"/>
  <c r="P48" i="99"/>
  <c r="X48" i="99" s="1"/>
  <c r="N48" i="99"/>
  <c r="H48" i="99"/>
  <c r="D48" i="99"/>
  <c r="B48" i="99"/>
  <c r="Z47" i="99"/>
  <c r="X47" i="99"/>
  <c r="L47" i="99"/>
  <c r="N47" i="99" s="1"/>
  <c r="B47" i="99"/>
  <c r="X46" i="99"/>
  <c r="T46" i="99"/>
  <c r="Z46" i="99" s="1"/>
  <c r="P46" i="99"/>
  <c r="J46" i="99"/>
  <c r="H46" i="99"/>
  <c r="N46" i="99" s="1"/>
  <c r="D46" i="99"/>
  <c r="L46" i="99" s="1"/>
  <c r="B46" i="99"/>
  <c r="Z45" i="99"/>
  <c r="X45" i="99"/>
  <c r="N45" i="99"/>
  <c r="L45" i="99"/>
  <c r="B45" i="99"/>
  <c r="X44" i="99"/>
  <c r="T44" i="99"/>
  <c r="Z44" i="99" s="1"/>
  <c r="P44" i="99"/>
  <c r="H44" i="99"/>
  <c r="N44" i="99" s="1"/>
  <c r="D44" i="99"/>
  <c r="L44" i="99" s="1"/>
  <c r="B44" i="99"/>
  <c r="Z43" i="99"/>
  <c r="X43" i="99"/>
  <c r="N43" i="99"/>
  <c r="L43" i="99"/>
  <c r="B43" i="99"/>
  <c r="Z42" i="99"/>
  <c r="X42" i="99"/>
  <c r="N42" i="99"/>
  <c r="L42" i="99"/>
  <c r="B42" i="99"/>
  <c r="T41" i="99"/>
  <c r="Z41" i="99" s="1"/>
  <c r="P41" i="99"/>
  <c r="N41" i="99"/>
  <c r="H41" i="99"/>
  <c r="D41" i="99"/>
  <c r="L41" i="99" s="1"/>
  <c r="B41" i="99"/>
  <c r="X40" i="99"/>
  <c r="Z40" i="99" s="1"/>
  <c r="N40" i="99"/>
  <c r="L40" i="99"/>
  <c r="B40" i="99"/>
  <c r="T39" i="99"/>
  <c r="P39" i="99"/>
  <c r="X39" i="99" s="1"/>
  <c r="Z39" i="99" s="1"/>
  <c r="N39" i="99"/>
  <c r="J39" i="99"/>
  <c r="H39" i="99"/>
  <c r="D39" i="99"/>
  <c r="L39" i="99" s="1"/>
  <c r="B39" i="99"/>
  <c r="Z38" i="99"/>
  <c r="X38" i="99"/>
  <c r="N38" i="99"/>
  <c r="L38" i="99"/>
  <c r="B38" i="99"/>
  <c r="Z37" i="99"/>
  <c r="X37" i="99"/>
  <c r="N37" i="99"/>
  <c r="L37" i="99"/>
  <c r="B37" i="99"/>
  <c r="Z36" i="99"/>
  <c r="X36" i="99"/>
  <c r="N36" i="99"/>
  <c r="L36" i="99"/>
  <c r="B36" i="99"/>
  <c r="Z35" i="99"/>
  <c r="X35" i="99"/>
  <c r="N35" i="99"/>
  <c r="L35" i="99"/>
  <c r="J35" i="99"/>
  <c r="B35" i="99"/>
  <c r="Z34" i="99"/>
  <c r="X34" i="99"/>
  <c r="N34" i="99"/>
  <c r="L34" i="99"/>
  <c r="B34" i="99"/>
  <c r="Z33" i="99"/>
  <c r="X33" i="99"/>
  <c r="N33" i="99"/>
  <c r="L33" i="99"/>
  <c r="B33" i="99"/>
  <c r="Z32" i="99"/>
  <c r="X32" i="99"/>
  <c r="N32" i="99"/>
  <c r="L32" i="99"/>
  <c r="B32" i="99"/>
  <c r="Z31" i="99"/>
  <c r="X31" i="99"/>
  <c r="N31" i="99"/>
  <c r="L31" i="99"/>
  <c r="J31" i="99"/>
  <c r="B31" i="99"/>
  <c r="Z30" i="99"/>
  <c r="X30" i="99"/>
  <c r="N30" i="99"/>
  <c r="L30" i="99"/>
  <c r="B30" i="99"/>
  <c r="Z29" i="99"/>
  <c r="X29" i="99"/>
  <c r="N29" i="99"/>
  <c r="L29" i="99"/>
  <c r="J29" i="99"/>
  <c r="B29" i="99"/>
  <c r="X28" i="99"/>
  <c r="T28" i="99"/>
  <c r="P28" i="99"/>
  <c r="H28" i="99"/>
  <c r="D28" i="99"/>
  <c r="B28" i="99"/>
  <c r="Z27" i="99"/>
  <c r="X27" i="99"/>
  <c r="N27" i="99"/>
  <c r="L27" i="99"/>
  <c r="B27" i="99"/>
  <c r="Z26" i="99"/>
  <c r="X26" i="99"/>
  <c r="R26" i="99"/>
  <c r="L26" i="99"/>
  <c r="N26" i="99" s="1"/>
  <c r="B26" i="99"/>
  <c r="Z25" i="99"/>
  <c r="X25" i="99"/>
  <c r="N25" i="99"/>
  <c r="L25" i="99"/>
  <c r="J25" i="99"/>
  <c r="B25" i="99"/>
  <c r="X24" i="99"/>
  <c r="Z24" i="99" s="1"/>
  <c r="L24" i="99"/>
  <c r="N24" i="99" s="1"/>
  <c r="J24" i="99"/>
  <c r="B24" i="99"/>
  <c r="Z23" i="99"/>
  <c r="X23" i="99"/>
  <c r="N23" i="99"/>
  <c r="L23" i="99"/>
  <c r="B23" i="99"/>
  <c r="X22" i="99"/>
  <c r="Z22" i="99" s="1"/>
  <c r="L22" i="99"/>
  <c r="N22" i="99" s="1"/>
  <c r="J22" i="99"/>
  <c r="B22" i="99"/>
  <c r="X21" i="99"/>
  <c r="Z21" i="99" s="1"/>
  <c r="R21" i="99"/>
  <c r="N21" i="99"/>
  <c r="L21" i="99"/>
  <c r="J21" i="99"/>
  <c r="B21" i="99"/>
  <c r="Z20" i="99"/>
  <c r="X20" i="99"/>
  <c r="L20" i="99"/>
  <c r="N20" i="99" s="1"/>
  <c r="J20" i="99"/>
  <c r="B20" i="99"/>
  <c r="T19" i="99"/>
  <c r="Z19" i="99" s="1"/>
  <c r="P19" i="99"/>
  <c r="X19" i="99" s="1"/>
  <c r="J19" i="99"/>
  <c r="H19" i="99"/>
  <c r="D19" i="99"/>
  <c r="B19" i="99"/>
  <c r="T18" i="99"/>
  <c r="P18" i="99"/>
  <c r="J18" i="99"/>
  <c r="H18" i="99"/>
  <c r="D18" i="99"/>
  <c r="J16" i="99"/>
  <c r="H16" i="99"/>
  <c r="X14" i="99"/>
  <c r="T14" i="99"/>
  <c r="Z14" i="99" s="1"/>
  <c r="P14" i="99"/>
  <c r="J14" i="99"/>
  <c r="H14" i="99"/>
  <c r="N14" i="99" s="1"/>
  <c r="D14" i="99"/>
  <c r="L14" i="99" s="1"/>
  <c r="T12" i="99"/>
  <c r="P12" i="99"/>
  <c r="L12" i="99"/>
  <c r="H12" i="99"/>
  <c r="J40" i="99" s="1"/>
  <c r="D12" i="99"/>
  <c r="F24" i="99" s="1"/>
  <c r="D6" i="99"/>
  <c r="D4" i="99"/>
  <c r="J27" i="98"/>
  <c r="Z25" i="98"/>
  <c r="X25" i="98"/>
  <c r="N25" i="98"/>
  <c r="L25" i="98"/>
  <c r="V23" i="98"/>
  <c r="J23" i="98"/>
  <c r="V21" i="98"/>
  <c r="T21" i="98"/>
  <c r="Z21" i="98" s="1"/>
  <c r="P21" i="98"/>
  <c r="X21" i="98" s="1"/>
  <c r="L21" i="98"/>
  <c r="H21" i="98"/>
  <c r="N21" i="98" s="1"/>
  <c r="D21" i="98"/>
  <c r="V19" i="98"/>
  <c r="T19" i="98"/>
  <c r="Z19" i="98" s="1"/>
  <c r="P19" i="98"/>
  <c r="X19" i="98" s="1"/>
  <c r="L19" i="98"/>
  <c r="J19" i="98"/>
  <c r="H19" i="98"/>
  <c r="N19" i="98" s="1"/>
  <c r="D19" i="98"/>
  <c r="V17" i="98"/>
  <c r="J17" i="98"/>
  <c r="Z15" i="98"/>
  <c r="V15" i="98"/>
  <c r="T15" i="98"/>
  <c r="T17" i="98" s="1"/>
  <c r="P15" i="98"/>
  <c r="X15" i="98" s="1"/>
  <c r="N15" i="98"/>
  <c r="L15" i="98"/>
  <c r="J15" i="98"/>
  <c r="H15" i="98"/>
  <c r="D15" i="98"/>
  <c r="Z13" i="98"/>
  <c r="X13" i="98"/>
  <c r="P13" i="98"/>
  <c r="N13" i="98"/>
  <c r="D13" i="98"/>
  <c r="D12" i="98" s="1"/>
  <c r="B13" i="98"/>
  <c r="Z12" i="98"/>
  <c r="X12" i="98"/>
  <c r="T12" i="98"/>
  <c r="P12" i="98"/>
  <c r="R25" i="98" s="1"/>
  <c r="H12" i="98"/>
  <c r="J30" i="98" s="1"/>
  <c r="D6" i="98"/>
  <c r="D4" i="98"/>
  <c r="Z86" i="97"/>
  <c r="X86" i="97"/>
  <c r="N86" i="97"/>
  <c r="L86" i="97"/>
  <c r="Z82" i="97"/>
  <c r="P82" i="97"/>
  <c r="X82" i="97" s="1"/>
  <c r="N82" i="97"/>
  <c r="D82" i="97"/>
  <c r="D81" i="97" s="1"/>
  <c r="L81" i="97" s="1"/>
  <c r="B82" i="97"/>
  <c r="Z81" i="97"/>
  <c r="T81" i="97"/>
  <c r="P81" i="97"/>
  <c r="X81" i="97" s="1"/>
  <c r="N81" i="97"/>
  <c r="H81" i="97"/>
  <c r="Z79" i="97"/>
  <c r="X79" i="97"/>
  <c r="N79" i="97"/>
  <c r="L79" i="97"/>
  <c r="B79" i="97"/>
  <c r="X78" i="97"/>
  <c r="T78" i="97"/>
  <c r="Z78" i="97" s="1"/>
  <c r="P78" i="97"/>
  <c r="H78" i="97"/>
  <c r="N78" i="97" s="1"/>
  <c r="D78" i="97"/>
  <c r="L78" i="97" s="1"/>
  <c r="B78" i="97"/>
  <c r="Z77" i="97"/>
  <c r="X77" i="97"/>
  <c r="N77" i="97"/>
  <c r="L77" i="97"/>
  <c r="B77" i="97"/>
  <c r="Z76" i="97"/>
  <c r="X76" i="97"/>
  <c r="N76" i="97"/>
  <c r="L76" i="97"/>
  <c r="B76" i="97"/>
  <c r="X75" i="97"/>
  <c r="T75" i="97"/>
  <c r="Z75" i="97" s="1"/>
  <c r="P75" i="97"/>
  <c r="N75" i="97"/>
  <c r="H75" i="97"/>
  <c r="D75" i="97"/>
  <c r="L75" i="97" s="1"/>
  <c r="B75" i="97"/>
  <c r="Z74" i="97"/>
  <c r="X74" i="97"/>
  <c r="N74" i="97"/>
  <c r="L74" i="97"/>
  <c r="B74" i="97"/>
  <c r="Z73" i="97"/>
  <c r="X73" i="97"/>
  <c r="N73" i="97"/>
  <c r="L73" i="97"/>
  <c r="B73" i="97"/>
  <c r="Z72" i="97"/>
  <c r="X72" i="97"/>
  <c r="N72" i="97"/>
  <c r="L72" i="97"/>
  <c r="B72" i="97"/>
  <c r="Z71" i="97"/>
  <c r="X71" i="97"/>
  <c r="N71" i="97"/>
  <c r="L71" i="97"/>
  <c r="B71" i="97"/>
  <c r="Z70" i="97"/>
  <c r="X70" i="97"/>
  <c r="N70" i="97"/>
  <c r="L70" i="97"/>
  <c r="B70" i="97"/>
  <c r="Z69" i="97"/>
  <c r="X69" i="97"/>
  <c r="N69" i="97"/>
  <c r="L69" i="97"/>
  <c r="B69" i="97"/>
  <c r="Z68" i="97"/>
  <c r="X68" i="97"/>
  <c r="N68" i="97"/>
  <c r="L68" i="97"/>
  <c r="B68" i="97"/>
  <c r="Z67" i="97"/>
  <c r="X67" i="97"/>
  <c r="N67" i="97"/>
  <c r="L67" i="97"/>
  <c r="B67" i="97"/>
  <c r="Z66" i="97"/>
  <c r="X66" i="97"/>
  <c r="N66" i="97"/>
  <c r="L66" i="97"/>
  <c r="B66" i="97"/>
  <c r="Z65" i="97"/>
  <c r="X65" i="97"/>
  <c r="N65" i="97"/>
  <c r="L65" i="97"/>
  <c r="B65" i="97"/>
  <c r="T64" i="97"/>
  <c r="Z64" i="97" s="1"/>
  <c r="P64" i="97"/>
  <c r="X64" i="97" s="1"/>
  <c r="H64" i="97"/>
  <c r="N64" i="97" s="1"/>
  <c r="D64" i="97"/>
  <c r="L64" i="97" s="1"/>
  <c r="B64" i="97"/>
  <c r="Z63" i="97"/>
  <c r="X63" i="97"/>
  <c r="N63" i="97"/>
  <c r="L63" i="97"/>
  <c r="B63" i="97"/>
  <c r="X62" i="97"/>
  <c r="T62" i="97"/>
  <c r="Z62" i="97" s="1"/>
  <c r="P62" i="97"/>
  <c r="H62" i="97"/>
  <c r="N62" i="97" s="1"/>
  <c r="D62" i="97"/>
  <c r="L62" i="97" s="1"/>
  <c r="B62" i="97"/>
  <c r="Z61" i="97"/>
  <c r="X61" i="97"/>
  <c r="N61" i="97"/>
  <c r="L61" i="97"/>
  <c r="B61" i="97"/>
  <c r="Z60" i="97"/>
  <c r="X60" i="97"/>
  <c r="N60" i="97"/>
  <c r="L60" i="97"/>
  <c r="B60" i="97"/>
  <c r="T59" i="97"/>
  <c r="Z59" i="97" s="1"/>
  <c r="P59" i="97"/>
  <c r="N59" i="97"/>
  <c r="H59" i="97"/>
  <c r="D59" i="97"/>
  <c r="L59" i="97" s="1"/>
  <c r="B59" i="97"/>
  <c r="Z58" i="97"/>
  <c r="X58" i="97"/>
  <c r="N58" i="97"/>
  <c r="L58" i="97"/>
  <c r="B58" i="97"/>
  <c r="Z57" i="97"/>
  <c r="X57" i="97"/>
  <c r="N57" i="97"/>
  <c r="L57" i="97"/>
  <c r="B57" i="97"/>
  <c r="Z56" i="97"/>
  <c r="X56" i="97"/>
  <c r="N56" i="97"/>
  <c r="L56" i="97"/>
  <c r="B56" i="97"/>
  <c r="Z55" i="97"/>
  <c r="T55" i="97"/>
  <c r="P55" i="97"/>
  <c r="X55" i="97" s="1"/>
  <c r="H55" i="97"/>
  <c r="N55" i="97" s="1"/>
  <c r="D55" i="97"/>
  <c r="L55" i="97" s="1"/>
  <c r="B55" i="97"/>
  <c r="Z54" i="97"/>
  <c r="X54" i="97"/>
  <c r="N54" i="97"/>
  <c r="L54" i="97"/>
  <c r="B54" i="97"/>
  <c r="Z53" i="97"/>
  <c r="X53" i="97"/>
  <c r="V53" i="97"/>
  <c r="T53" i="97"/>
  <c r="P53" i="97"/>
  <c r="N53" i="97"/>
  <c r="H53" i="97"/>
  <c r="D53" i="97"/>
  <c r="L53" i="97" s="1"/>
  <c r="B53" i="97"/>
  <c r="Z52" i="97"/>
  <c r="X52" i="97"/>
  <c r="N52" i="97"/>
  <c r="L52" i="97"/>
  <c r="B52" i="97"/>
  <c r="T51" i="97"/>
  <c r="Z51" i="97" s="1"/>
  <c r="P51" i="97"/>
  <c r="N51" i="97"/>
  <c r="H51" i="97"/>
  <c r="D51" i="97"/>
  <c r="L51" i="97" s="1"/>
  <c r="B51" i="97"/>
  <c r="Z50" i="97"/>
  <c r="X50" i="97"/>
  <c r="N50" i="97"/>
  <c r="L50" i="97"/>
  <c r="B50" i="97"/>
  <c r="T49" i="97"/>
  <c r="Z49" i="97" s="1"/>
  <c r="P49" i="97"/>
  <c r="X49" i="97" s="1"/>
  <c r="N49" i="97"/>
  <c r="H49" i="97"/>
  <c r="D49" i="97"/>
  <c r="L49" i="97" s="1"/>
  <c r="B49" i="97"/>
  <c r="X48" i="97"/>
  <c r="Z48" i="97" s="1"/>
  <c r="L48" i="97"/>
  <c r="N48" i="97" s="1"/>
  <c r="B48" i="97"/>
  <c r="Z47" i="97"/>
  <c r="X47" i="97"/>
  <c r="N47" i="97"/>
  <c r="L47" i="97"/>
  <c r="B47" i="97"/>
  <c r="X46" i="97"/>
  <c r="T46" i="97"/>
  <c r="Z46" i="97" s="1"/>
  <c r="P46" i="97"/>
  <c r="H46" i="97"/>
  <c r="D46" i="97"/>
  <c r="L46" i="97" s="1"/>
  <c r="B46" i="97"/>
  <c r="Z45" i="97"/>
  <c r="X45" i="97"/>
  <c r="N45" i="97"/>
  <c r="L45" i="97"/>
  <c r="B45" i="97"/>
  <c r="X44" i="97"/>
  <c r="T44" i="97"/>
  <c r="Z44" i="97" s="1"/>
  <c r="P44" i="97"/>
  <c r="H44" i="97"/>
  <c r="N44" i="97" s="1"/>
  <c r="D44" i="97"/>
  <c r="L44" i="97" s="1"/>
  <c r="B44" i="97"/>
  <c r="Z43" i="97"/>
  <c r="X43" i="97"/>
  <c r="V43" i="97"/>
  <c r="N43" i="97"/>
  <c r="L43" i="97"/>
  <c r="B43" i="97"/>
  <c r="V42" i="97"/>
  <c r="T42" i="97"/>
  <c r="Z42" i="97" s="1"/>
  <c r="P42" i="97"/>
  <c r="X42" i="97" s="1"/>
  <c r="H42" i="97"/>
  <c r="N42" i="97" s="1"/>
  <c r="D42" i="97"/>
  <c r="L42" i="97" s="1"/>
  <c r="B42" i="97"/>
  <c r="Z41" i="97"/>
  <c r="X41" i="97"/>
  <c r="V41" i="97"/>
  <c r="N41" i="97"/>
  <c r="L41" i="97"/>
  <c r="B41" i="97"/>
  <c r="Z40" i="97"/>
  <c r="X40" i="97"/>
  <c r="N40" i="97"/>
  <c r="L40" i="97"/>
  <c r="B40" i="97"/>
  <c r="Z39" i="97"/>
  <c r="X39" i="97"/>
  <c r="N39" i="97"/>
  <c r="L39" i="97"/>
  <c r="B39" i="97"/>
  <c r="Z38" i="97"/>
  <c r="X38" i="97"/>
  <c r="N38" i="97"/>
  <c r="L38" i="97"/>
  <c r="B38" i="97"/>
  <c r="Z37" i="97"/>
  <c r="X37" i="97"/>
  <c r="V37" i="97"/>
  <c r="N37" i="97"/>
  <c r="L37" i="97"/>
  <c r="B37" i="97"/>
  <c r="Z36" i="97"/>
  <c r="X36" i="97"/>
  <c r="N36" i="97"/>
  <c r="L36" i="97"/>
  <c r="B36" i="97"/>
  <c r="Z35" i="97"/>
  <c r="X35" i="97"/>
  <c r="N35" i="97"/>
  <c r="L35" i="97"/>
  <c r="B35" i="97"/>
  <c r="Z34" i="97"/>
  <c r="X34" i="97"/>
  <c r="N34" i="97"/>
  <c r="L34" i="97"/>
  <c r="B34" i="97"/>
  <c r="Z33" i="97"/>
  <c r="X33" i="97"/>
  <c r="V33" i="97"/>
  <c r="N33" i="97"/>
  <c r="L33" i="97"/>
  <c r="B33" i="97"/>
  <c r="Z32" i="97"/>
  <c r="X32" i="97"/>
  <c r="V32" i="97"/>
  <c r="N32" i="97"/>
  <c r="L32" i="97"/>
  <c r="B32" i="97"/>
  <c r="Z31" i="97"/>
  <c r="T31" i="97"/>
  <c r="P31" i="97"/>
  <c r="X31" i="97" s="1"/>
  <c r="N31" i="97"/>
  <c r="L31" i="97"/>
  <c r="H31" i="97"/>
  <c r="D31" i="97"/>
  <c r="B31" i="97"/>
  <c r="Z30" i="97"/>
  <c r="X30" i="97"/>
  <c r="N30" i="97"/>
  <c r="L30" i="97"/>
  <c r="B30" i="97"/>
  <c r="Z29" i="97"/>
  <c r="X29" i="97"/>
  <c r="N29" i="97"/>
  <c r="L29" i="97"/>
  <c r="B29" i="97"/>
  <c r="Z28" i="97"/>
  <c r="X28" i="97"/>
  <c r="N28" i="97"/>
  <c r="L28" i="97"/>
  <c r="B28" i="97"/>
  <c r="Z27" i="97"/>
  <c r="X27" i="97"/>
  <c r="V27" i="97"/>
  <c r="N27" i="97"/>
  <c r="L27" i="97"/>
  <c r="B27" i="97"/>
  <c r="Z26" i="97"/>
  <c r="X26" i="97"/>
  <c r="N26" i="97"/>
  <c r="L26" i="97"/>
  <c r="B26" i="97"/>
  <c r="Z25" i="97"/>
  <c r="X25" i="97"/>
  <c r="N25" i="97"/>
  <c r="L25" i="97"/>
  <c r="B25" i="97"/>
  <c r="Z24" i="97"/>
  <c r="X24" i="97"/>
  <c r="N24" i="97"/>
  <c r="L24" i="97"/>
  <c r="B24" i="97"/>
  <c r="Z23" i="97"/>
  <c r="X23" i="97"/>
  <c r="V23" i="97"/>
  <c r="N23" i="97"/>
  <c r="L23" i="97"/>
  <c r="B23" i="97"/>
  <c r="T22" i="97"/>
  <c r="Z22" i="97" s="1"/>
  <c r="P22" i="97"/>
  <c r="X22" i="97" s="1"/>
  <c r="N22" i="97"/>
  <c r="L22" i="97"/>
  <c r="H22" i="97"/>
  <c r="D22" i="97"/>
  <c r="B22" i="97"/>
  <c r="V21" i="97"/>
  <c r="T21" i="97"/>
  <c r="P21" i="97"/>
  <c r="X21" i="97" s="1"/>
  <c r="H21" i="97"/>
  <c r="D21" i="97"/>
  <c r="V19" i="97"/>
  <c r="T19" i="97"/>
  <c r="Z19" i="97" s="1"/>
  <c r="Z17" i="97"/>
  <c r="X17" i="97"/>
  <c r="V17" i="97"/>
  <c r="N17" i="97"/>
  <c r="L17" i="97"/>
  <c r="B17" i="97"/>
  <c r="Z16" i="97"/>
  <c r="V16" i="97"/>
  <c r="T16" i="97"/>
  <c r="P16" i="97"/>
  <c r="X16" i="97" s="1"/>
  <c r="H16" i="97"/>
  <c r="N16" i="97" s="1"/>
  <c r="D16" i="97"/>
  <c r="L16" i="97" s="1"/>
  <c r="Z14" i="97"/>
  <c r="P14" i="97"/>
  <c r="X14" i="97" s="1"/>
  <c r="N14" i="97"/>
  <c r="D14" i="97"/>
  <c r="L14" i="97" s="1"/>
  <c r="B14" i="97"/>
  <c r="Z13" i="97"/>
  <c r="X13" i="97"/>
  <c r="P13" i="97"/>
  <c r="P12" i="97" s="1"/>
  <c r="N13" i="97"/>
  <c r="L13" i="97"/>
  <c r="D13" i="97"/>
  <c r="B13" i="97"/>
  <c r="Z12" i="97"/>
  <c r="T12" i="97"/>
  <c r="V76" i="97" s="1"/>
  <c r="H12" i="97"/>
  <c r="J84" i="97" s="1"/>
  <c r="D12" i="97"/>
  <c r="F82" i="97" s="1"/>
  <c r="D6" i="97"/>
  <c r="D4" i="97"/>
  <c r="Z96" i="95"/>
  <c r="X96" i="95"/>
  <c r="L96" i="95"/>
  <c r="N96" i="95" s="1"/>
  <c r="Z92" i="95"/>
  <c r="T92" i="95"/>
  <c r="P92" i="95"/>
  <c r="X92" i="95" s="1"/>
  <c r="N92" i="95"/>
  <c r="L92" i="95"/>
  <c r="H92" i="95"/>
  <c r="D92" i="95"/>
  <c r="Z90" i="95"/>
  <c r="X90" i="95"/>
  <c r="N90" i="95"/>
  <c r="L90" i="95"/>
  <c r="B90" i="95"/>
  <c r="T89" i="95"/>
  <c r="X89" i="95" s="1"/>
  <c r="Z89" i="95" s="1"/>
  <c r="P89" i="95"/>
  <c r="H89" i="95"/>
  <c r="D89" i="95"/>
  <c r="B89" i="95"/>
  <c r="Z88" i="95"/>
  <c r="X88" i="95"/>
  <c r="N88" i="95"/>
  <c r="L88" i="95"/>
  <c r="B88" i="95"/>
  <c r="Z87" i="95"/>
  <c r="X87" i="95"/>
  <c r="N87" i="95"/>
  <c r="L87" i="95"/>
  <c r="B87" i="95"/>
  <c r="T86" i="95"/>
  <c r="Z86" i="95" s="1"/>
  <c r="P86" i="95"/>
  <c r="X86" i="95" s="1"/>
  <c r="N86" i="95"/>
  <c r="H86" i="95"/>
  <c r="D86" i="95"/>
  <c r="L86" i="95" s="1"/>
  <c r="B86" i="95"/>
  <c r="X85" i="95"/>
  <c r="Z85" i="95" s="1"/>
  <c r="N85" i="95"/>
  <c r="L85" i="95"/>
  <c r="B85" i="95"/>
  <c r="X84" i="95"/>
  <c r="Z84" i="95" s="1"/>
  <c r="N84" i="95"/>
  <c r="L84" i="95"/>
  <c r="B84" i="95"/>
  <c r="T83" i="95"/>
  <c r="P83" i="95"/>
  <c r="X83" i="95" s="1"/>
  <c r="Z83" i="95" s="1"/>
  <c r="L83" i="95"/>
  <c r="N83" i="95" s="1"/>
  <c r="H83" i="95"/>
  <c r="D83" i="95"/>
  <c r="B83" i="95"/>
  <c r="Z82" i="95"/>
  <c r="X82" i="95"/>
  <c r="N82" i="95"/>
  <c r="L82" i="95"/>
  <c r="B82" i="95"/>
  <c r="Z81" i="95"/>
  <c r="X81" i="95"/>
  <c r="N81" i="95"/>
  <c r="L81" i="95"/>
  <c r="B81" i="95"/>
  <c r="Z80" i="95"/>
  <c r="X80" i="95"/>
  <c r="N80" i="95"/>
  <c r="L80" i="95"/>
  <c r="B80" i="95"/>
  <c r="X79" i="95"/>
  <c r="Z79" i="95" s="1"/>
  <c r="N79" i="95"/>
  <c r="L79" i="95"/>
  <c r="B79" i="95"/>
  <c r="Z78" i="95"/>
  <c r="X78" i="95"/>
  <c r="N78" i="95"/>
  <c r="L78" i="95"/>
  <c r="B78" i="95"/>
  <c r="Z77" i="95"/>
  <c r="X77" i="95"/>
  <c r="N77" i="95"/>
  <c r="L77" i="95"/>
  <c r="B77" i="95"/>
  <c r="Z76" i="95"/>
  <c r="X76" i="95"/>
  <c r="N76" i="95"/>
  <c r="L76" i="95"/>
  <c r="B76" i="95"/>
  <c r="T75" i="95"/>
  <c r="P75" i="95"/>
  <c r="H75" i="95"/>
  <c r="L75" i="95" s="1"/>
  <c r="N75" i="95" s="1"/>
  <c r="D75" i="95"/>
  <c r="B75" i="95"/>
  <c r="Z74" i="95"/>
  <c r="X74" i="95"/>
  <c r="L74" i="95"/>
  <c r="N74" i="95" s="1"/>
  <c r="B74" i="95"/>
  <c r="T73" i="95"/>
  <c r="P73" i="95"/>
  <c r="X73" i="95" s="1"/>
  <c r="H73" i="95"/>
  <c r="D73" i="95"/>
  <c r="L73" i="95" s="1"/>
  <c r="N73" i="95" s="1"/>
  <c r="B73" i="95"/>
  <c r="Z72" i="95"/>
  <c r="X72" i="95"/>
  <c r="N72" i="95"/>
  <c r="L72" i="95"/>
  <c r="B72" i="95"/>
  <c r="X71" i="95"/>
  <c r="Z71" i="95" s="1"/>
  <c r="L71" i="95"/>
  <c r="N71" i="95" s="1"/>
  <c r="B71" i="95"/>
  <c r="X70" i="95"/>
  <c r="Z70" i="95" s="1"/>
  <c r="N70" i="95"/>
  <c r="L70" i="95"/>
  <c r="B70" i="95"/>
  <c r="X69" i="95"/>
  <c r="Z69" i="95" s="1"/>
  <c r="N69" i="95"/>
  <c r="L69" i="95"/>
  <c r="B69" i="95"/>
  <c r="X68" i="95"/>
  <c r="Z68" i="95" s="1"/>
  <c r="N68" i="95"/>
  <c r="L68" i="95"/>
  <c r="B68" i="95"/>
  <c r="T67" i="95"/>
  <c r="P67" i="95"/>
  <c r="X67" i="95" s="1"/>
  <c r="Z67" i="95" s="1"/>
  <c r="L67" i="95"/>
  <c r="N67" i="95" s="1"/>
  <c r="H67" i="95"/>
  <c r="D67" i="95"/>
  <c r="B67" i="95"/>
  <c r="X66" i="95"/>
  <c r="Z66" i="95" s="1"/>
  <c r="N66" i="95"/>
  <c r="L66" i="95"/>
  <c r="B66" i="95"/>
  <c r="Z65" i="95"/>
  <c r="X65" i="95"/>
  <c r="N65" i="95"/>
  <c r="L65" i="95"/>
  <c r="B65" i="95"/>
  <c r="Z64" i="95"/>
  <c r="X64" i="95"/>
  <c r="T64" i="95"/>
  <c r="P64" i="95"/>
  <c r="H64" i="95"/>
  <c r="D64" i="95"/>
  <c r="L64" i="95" s="1"/>
  <c r="N64" i="95" s="1"/>
  <c r="B64" i="95"/>
  <c r="Z63" i="95"/>
  <c r="X63" i="95"/>
  <c r="L63" i="95"/>
  <c r="N63" i="95" s="1"/>
  <c r="B63" i="95"/>
  <c r="T62" i="95"/>
  <c r="P62" i="95"/>
  <c r="H62" i="95"/>
  <c r="D62" i="95"/>
  <c r="L62" i="95" s="1"/>
  <c r="B62" i="95"/>
  <c r="X61" i="95"/>
  <c r="Z61" i="95" s="1"/>
  <c r="N61" i="95"/>
  <c r="L61" i="95"/>
  <c r="B61" i="95"/>
  <c r="T60" i="95"/>
  <c r="P60" i="95"/>
  <c r="X60" i="95" s="1"/>
  <c r="H60" i="95"/>
  <c r="N60" i="95" s="1"/>
  <c r="D60" i="95"/>
  <c r="L60" i="95" s="1"/>
  <c r="B60" i="95"/>
  <c r="X59" i="95"/>
  <c r="Z59" i="95" s="1"/>
  <c r="N59" i="95"/>
  <c r="L59" i="95"/>
  <c r="B59" i="95"/>
  <c r="X58" i="95"/>
  <c r="Z58" i="95" s="1"/>
  <c r="T58" i="95"/>
  <c r="P58" i="95"/>
  <c r="N58" i="95"/>
  <c r="L58" i="95"/>
  <c r="H58" i="95"/>
  <c r="D58" i="95"/>
  <c r="B58" i="95"/>
  <c r="Z57" i="95"/>
  <c r="X57" i="95"/>
  <c r="L57" i="95"/>
  <c r="N57" i="95" s="1"/>
  <c r="B57" i="95"/>
  <c r="T56" i="95"/>
  <c r="P56" i="95"/>
  <c r="X56" i="95" s="1"/>
  <c r="J56" i="95"/>
  <c r="H56" i="95"/>
  <c r="D56" i="95"/>
  <c r="L56" i="95" s="1"/>
  <c r="B56" i="95"/>
  <c r="X55" i="95"/>
  <c r="Z55" i="95" s="1"/>
  <c r="L55" i="95"/>
  <c r="N55" i="95" s="1"/>
  <c r="B55" i="95"/>
  <c r="Z54" i="95"/>
  <c r="X54" i="95"/>
  <c r="N54" i="95"/>
  <c r="L54" i="95"/>
  <c r="B54" i="95"/>
  <c r="X53" i="95"/>
  <c r="Z53" i="95" s="1"/>
  <c r="T53" i="95"/>
  <c r="P53" i="95"/>
  <c r="H53" i="95"/>
  <c r="D53" i="95"/>
  <c r="L53" i="95" s="1"/>
  <c r="N53" i="95" s="1"/>
  <c r="B53" i="95"/>
  <c r="X52" i="95"/>
  <c r="Z52" i="95" s="1"/>
  <c r="N52" i="95"/>
  <c r="L52" i="95"/>
  <c r="B52" i="95"/>
  <c r="T51" i="95"/>
  <c r="P51" i="95"/>
  <c r="H51" i="95"/>
  <c r="L51" i="95" s="1"/>
  <c r="N51" i="95" s="1"/>
  <c r="D51" i="95"/>
  <c r="B51" i="95"/>
  <c r="Z50" i="95"/>
  <c r="X50" i="95"/>
  <c r="L50" i="95"/>
  <c r="N50" i="95" s="1"/>
  <c r="B50" i="95"/>
  <c r="T49" i="95"/>
  <c r="P49" i="95"/>
  <c r="X49" i="95" s="1"/>
  <c r="H49" i="95"/>
  <c r="D49" i="95"/>
  <c r="L49" i="95" s="1"/>
  <c r="N49" i="95" s="1"/>
  <c r="B49" i="95"/>
  <c r="X48" i="95"/>
  <c r="Z48" i="95" s="1"/>
  <c r="N48" i="95"/>
  <c r="L48" i="95"/>
  <c r="B48" i="95"/>
  <c r="T47" i="95"/>
  <c r="P47" i="95"/>
  <c r="X47" i="95" s="1"/>
  <c r="Z47" i="95" s="1"/>
  <c r="L47" i="95"/>
  <c r="N47" i="95" s="1"/>
  <c r="J47" i="95"/>
  <c r="H47" i="95"/>
  <c r="D47" i="95"/>
  <c r="B47" i="95"/>
  <c r="Z46" i="95"/>
  <c r="X46" i="95"/>
  <c r="N46" i="95"/>
  <c r="L46" i="95"/>
  <c r="J46" i="95"/>
  <c r="B46" i="95"/>
  <c r="Z45" i="95"/>
  <c r="X45" i="95"/>
  <c r="N45" i="95"/>
  <c r="L45" i="95"/>
  <c r="B45" i="95"/>
  <c r="X44" i="95"/>
  <c r="Z44" i="95" s="1"/>
  <c r="N44" i="95"/>
  <c r="L44" i="95"/>
  <c r="B44" i="95"/>
  <c r="X43" i="95"/>
  <c r="Z43" i="95" s="1"/>
  <c r="N43" i="95"/>
  <c r="L43" i="95"/>
  <c r="B43" i="95"/>
  <c r="Z42" i="95"/>
  <c r="X42" i="95"/>
  <c r="N42" i="95"/>
  <c r="L42" i="95"/>
  <c r="J42" i="95"/>
  <c r="B42" i="95"/>
  <c r="Z41" i="95"/>
  <c r="X41" i="95"/>
  <c r="N41" i="95"/>
  <c r="L41" i="95"/>
  <c r="B41" i="95"/>
  <c r="X40" i="95"/>
  <c r="Z40" i="95" s="1"/>
  <c r="N40" i="95"/>
  <c r="L40" i="95"/>
  <c r="B40" i="95"/>
  <c r="Z39" i="95"/>
  <c r="X39" i="95"/>
  <c r="V39" i="95"/>
  <c r="N39" i="95"/>
  <c r="L39" i="95"/>
  <c r="J39" i="95"/>
  <c r="B39" i="95"/>
  <c r="X38" i="95"/>
  <c r="Z38" i="95" s="1"/>
  <c r="L38" i="95"/>
  <c r="N38" i="95" s="1"/>
  <c r="J38" i="95"/>
  <c r="B38" i="95"/>
  <c r="Z37" i="95"/>
  <c r="X37" i="95"/>
  <c r="N37" i="95"/>
  <c r="L37" i="95"/>
  <c r="B37" i="95"/>
  <c r="T36" i="95"/>
  <c r="P36" i="95"/>
  <c r="L36" i="95"/>
  <c r="N36" i="95" s="1"/>
  <c r="H36" i="95"/>
  <c r="D36" i="95"/>
  <c r="B36" i="95"/>
  <c r="Z35" i="95"/>
  <c r="X35" i="95"/>
  <c r="N35" i="95"/>
  <c r="L35" i="95"/>
  <c r="J35" i="95"/>
  <c r="B35" i="95"/>
  <c r="X34" i="95"/>
  <c r="Z34" i="95" s="1"/>
  <c r="L34" i="95"/>
  <c r="N34" i="95" s="1"/>
  <c r="B34" i="95"/>
  <c r="Z33" i="95"/>
  <c r="X33" i="95"/>
  <c r="L33" i="95"/>
  <c r="N33" i="95" s="1"/>
  <c r="J33" i="95"/>
  <c r="B33" i="95"/>
  <c r="Z32" i="95"/>
  <c r="X32" i="95"/>
  <c r="N32" i="95"/>
  <c r="L32" i="95"/>
  <c r="J32" i="95"/>
  <c r="B32" i="95"/>
  <c r="Z31" i="95"/>
  <c r="X31" i="95"/>
  <c r="N31" i="95"/>
  <c r="L31" i="95"/>
  <c r="J31" i="95"/>
  <c r="B31" i="95"/>
  <c r="Z30" i="95"/>
  <c r="X30" i="95"/>
  <c r="L30" i="95"/>
  <c r="N30" i="95" s="1"/>
  <c r="B30" i="95"/>
  <c r="Z29" i="95"/>
  <c r="X29" i="95"/>
  <c r="L29" i="95"/>
  <c r="N29" i="95" s="1"/>
  <c r="J29" i="95"/>
  <c r="B29" i="95"/>
  <c r="X28" i="95"/>
  <c r="Z28" i="95" s="1"/>
  <c r="L28" i="95"/>
  <c r="N28" i="95" s="1"/>
  <c r="J28" i="95"/>
  <c r="B28" i="95"/>
  <c r="X27" i="95"/>
  <c r="Z27" i="95" s="1"/>
  <c r="L27" i="95"/>
  <c r="N27" i="95" s="1"/>
  <c r="J27" i="95"/>
  <c r="B27" i="95"/>
  <c r="X26" i="95"/>
  <c r="T26" i="95"/>
  <c r="Z26" i="95" s="1"/>
  <c r="P26" i="95"/>
  <c r="H26" i="95"/>
  <c r="D26" i="95"/>
  <c r="L26" i="95" s="1"/>
  <c r="B26" i="95"/>
  <c r="T25" i="95"/>
  <c r="P25" i="95"/>
  <c r="H25" i="95"/>
  <c r="D25" i="95"/>
  <c r="Z21" i="95"/>
  <c r="X21" i="95"/>
  <c r="N21" i="95"/>
  <c r="L21" i="95"/>
  <c r="J21" i="95"/>
  <c r="B21" i="95"/>
  <c r="Z20" i="95"/>
  <c r="X20" i="95"/>
  <c r="N20" i="95"/>
  <c r="L20" i="95"/>
  <c r="J20" i="95"/>
  <c r="B20" i="95"/>
  <c r="X19" i="95"/>
  <c r="Z19" i="95" s="1"/>
  <c r="L19" i="95"/>
  <c r="N19" i="95" s="1"/>
  <c r="J19" i="95"/>
  <c r="B19" i="95"/>
  <c r="T18" i="95"/>
  <c r="P18" i="95"/>
  <c r="X18" i="95" s="1"/>
  <c r="Z18" i="95" s="1"/>
  <c r="H18" i="95"/>
  <c r="D18" i="95"/>
  <c r="L18" i="95" s="1"/>
  <c r="Z16" i="95"/>
  <c r="X16" i="95"/>
  <c r="P16" i="95"/>
  <c r="N16" i="95"/>
  <c r="D16" i="95"/>
  <c r="L16" i="95" s="1"/>
  <c r="B16" i="95"/>
  <c r="P15" i="95"/>
  <c r="X15" i="95" s="1"/>
  <c r="Z15" i="95" s="1"/>
  <c r="D15" i="95"/>
  <c r="L15" i="95" s="1"/>
  <c r="N15" i="95" s="1"/>
  <c r="B15" i="95"/>
  <c r="Z14" i="95"/>
  <c r="P14" i="95"/>
  <c r="X14" i="95" s="1"/>
  <c r="N14" i="95"/>
  <c r="L14" i="95"/>
  <c r="D14" i="95"/>
  <c r="B14" i="95"/>
  <c r="P13" i="95"/>
  <c r="X13" i="95" s="1"/>
  <c r="Z13" i="95" s="1"/>
  <c r="N13" i="95"/>
  <c r="L13" i="95"/>
  <c r="D13" i="95"/>
  <c r="B13" i="95"/>
  <c r="T12" i="95"/>
  <c r="V31" i="95" s="1"/>
  <c r="H12" i="95"/>
  <c r="D6" i="95"/>
  <c r="D4" i="95"/>
  <c r="Z80" i="94"/>
  <c r="X80" i="94"/>
  <c r="N80" i="94"/>
  <c r="L80" i="94"/>
  <c r="F80" i="94"/>
  <c r="V78" i="94"/>
  <c r="V76" i="94"/>
  <c r="T76" i="94"/>
  <c r="Z76" i="94" s="1"/>
  <c r="P76" i="94"/>
  <c r="H76" i="94"/>
  <c r="N76" i="94" s="1"/>
  <c r="D76" i="94"/>
  <c r="L76" i="94" s="1"/>
  <c r="Z74" i="94"/>
  <c r="X74" i="94"/>
  <c r="V74" i="94"/>
  <c r="N74" i="94"/>
  <c r="L74" i="94"/>
  <c r="B74" i="94"/>
  <c r="Z73" i="94"/>
  <c r="V73" i="94"/>
  <c r="T73" i="94"/>
  <c r="P73" i="94"/>
  <c r="X73" i="94" s="1"/>
  <c r="N73" i="94"/>
  <c r="H73" i="94"/>
  <c r="D73" i="94"/>
  <c r="L73" i="94" s="1"/>
  <c r="B73" i="94"/>
  <c r="Z72" i="94"/>
  <c r="X72" i="94"/>
  <c r="N72" i="94"/>
  <c r="L72" i="94"/>
  <c r="B72" i="94"/>
  <c r="X71" i="94"/>
  <c r="T71" i="94"/>
  <c r="Z71" i="94" s="1"/>
  <c r="R71" i="94"/>
  <c r="P71" i="94"/>
  <c r="N71" i="94"/>
  <c r="L71" i="94"/>
  <c r="H71" i="94"/>
  <c r="D71" i="94"/>
  <c r="B71" i="94"/>
  <c r="Z70" i="94"/>
  <c r="X70" i="94"/>
  <c r="V70" i="94"/>
  <c r="R70" i="94"/>
  <c r="N70" i="94"/>
  <c r="L70" i="94"/>
  <c r="B70" i="94"/>
  <c r="T69" i="94"/>
  <c r="Z69" i="94" s="1"/>
  <c r="P69" i="94"/>
  <c r="X69" i="94" s="1"/>
  <c r="N69" i="94"/>
  <c r="H69" i="94"/>
  <c r="D69" i="94"/>
  <c r="L69" i="94" s="1"/>
  <c r="B69" i="94"/>
  <c r="Z68" i="94"/>
  <c r="X68" i="94"/>
  <c r="V68" i="94"/>
  <c r="N68" i="94"/>
  <c r="L68" i="94"/>
  <c r="B68" i="94"/>
  <c r="Z67" i="94"/>
  <c r="X67" i="94"/>
  <c r="N67" i="94"/>
  <c r="L67" i="94"/>
  <c r="B67" i="94"/>
  <c r="Z66" i="94"/>
  <c r="X66" i="94"/>
  <c r="V66" i="94"/>
  <c r="N66" i="94"/>
  <c r="L66" i="94"/>
  <c r="B66" i="94"/>
  <c r="Z65" i="94"/>
  <c r="V65" i="94"/>
  <c r="T65" i="94"/>
  <c r="P65" i="94"/>
  <c r="X65" i="94" s="1"/>
  <c r="N65" i="94"/>
  <c r="H65" i="94"/>
  <c r="D65" i="94"/>
  <c r="L65" i="94" s="1"/>
  <c r="B65" i="94"/>
  <c r="Z64" i="94"/>
  <c r="X64" i="94"/>
  <c r="N64" i="94"/>
  <c r="L64" i="94"/>
  <c r="B64" i="94"/>
  <c r="X63" i="94"/>
  <c r="V63" i="94"/>
  <c r="T63" i="94"/>
  <c r="Z63" i="94" s="1"/>
  <c r="R63" i="94"/>
  <c r="P63" i="94"/>
  <c r="N63" i="94"/>
  <c r="L63" i="94"/>
  <c r="H63" i="94"/>
  <c r="D63" i="94"/>
  <c r="B63" i="94"/>
  <c r="Z62" i="94"/>
  <c r="X62" i="94"/>
  <c r="V62" i="94"/>
  <c r="R62" i="94"/>
  <c r="N62" i="94"/>
  <c r="L62" i="94"/>
  <c r="B62" i="94"/>
  <c r="V61" i="94"/>
  <c r="T61" i="94"/>
  <c r="Z61" i="94" s="1"/>
  <c r="P61" i="94"/>
  <c r="X61" i="94" s="1"/>
  <c r="N61" i="94"/>
  <c r="H61" i="94"/>
  <c r="D61" i="94"/>
  <c r="L61" i="94" s="1"/>
  <c r="B61" i="94"/>
  <c r="Z60" i="94"/>
  <c r="X60" i="94"/>
  <c r="V60" i="94"/>
  <c r="N60" i="94"/>
  <c r="L60" i="94"/>
  <c r="B60" i="94"/>
  <c r="Z59" i="94"/>
  <c r="T59" i="94"/>
  <c r="P59" i="94"/>
  <c r="X59" i="94" s="1"/>
  <c r="N59" i="94"/>
  <c r="J59" i="94"/>
  <c r="H59" i="94"/>
  <c r="D59" i="94"/>
  <c r="L59" i="94" s="1"/>
  <c r="B59" i="94"/>
  <c r="Z58" i="94"/>
  <c r="X58" i="94"/>
  <c r="N58" i="94"/>
  <c r="L58" i="94"/>
  <c r="B58" i="94"/>
  <c r="Z57" i="94"/>
  <c r="X57" i="94"/>
  <c r="V57" i="94"/>
  <c r="N57" i="94"/>
  <c r="L57" i="94"/>
  <c r="B57" i="94"/>
  <c r="X56" i="94"/>
  <c r="T56" i="94"/>
  <c r="Z56" i="94" s="1"/>
  <c r="P56" i="94"/>
  <c r="H56" i="94"/>
  <c r="N56" i="94" s="1"/>
  <c r="D56" i="94"/>
  <c r="L56" i="94" s="1"/>
  <c r="B56" i="94"/>
  <c r="Z55" i="94"/>
  <c r="X55" i="94"/>
  <c r="V55" i="94"/>
  <c r="N55" i="94"/>
  <c r="L55" i="94"/>
  <c r="B55" i="94"/>
  <c r="V54" i="94"/>
  <c r="T54" i="94"/>
  <c r="Z54" i="94" s="1"/>
  <c r="P54" i="94"/>
  <c r="X54" i="94" s="1"/>
  <c r="N54" i="94"/>
  <c r="L54" i="94"/>
  <c r="H54" i="94"/>
  <c r="D54" i="94"/>
  <c r="B54" i="94"/>
  <c r="Z53" i="94"/>
  <c r="X53" i="94"/>
  <c r="V53" i="94"/>
  <c r="N53" i="94"/>
  <c r="L53" i="94"/>
  <c r="B53" i="94"/>
  <c r="V52" i="94"/>
  <c r="T52" i="94"/>
  <c r="Z52" i="94" s="1"/>
  <c r="P52" i="94"/>
  <c r="X52" i="94" s="1"/>
  <c r="L52" i="94"/>
  <c r="H52" i="94"/>
  <c r="N52" i="94" s="1"/>
  <c r="D52" i="94"/>
  <c r="B52" i="94"/>
  <c r="Z51" i="94"/>
  <c r="X51" i="94"/>
  <c r="V51" i="94"/>
  <c r="N51" i="94"/>
  <c r="L51" i="94"/>
  <c r="B51" i="94"/>
  <c r="T50" i="94"/>
  <c r="Z50" i="94" s="1"/>
  <c r="P50" i="94"/>
  <c r="X50" i="94" s="1"/>
  <c r="L50" i="94"/>
  <c r="H50" i="94"/>
  <c r="N50" i="94" s="1"/>
  <c r="D50" i="94"/>
  <c r="B50" i="94"/>
  <c r="Z49" i="94"/>
  <c r="X49" i="94"/>
  <c r="V49" i="94"/>
  <c r="L49" i="94"/>
  <c r="N49" i="94" s="1"/>
  <c r="J49" i="94"/>
  <c r="B49" i="94"/>
  <c r="Z48" i="94"/>
  <c r="X48" i="94"/>
  <c r="V48" i="94"/>
  <c r="T48" i="94"/>
  <c r="P48" i="94"/>
  <c r="H48" i="94"/>
  <c r="D48" i="94"/>
  <c r="L48" i="94" s="1"/>
  <c r="B48" i="94"/>
  <c r="Z47" i="94"/>
  <c r="X47" i="94"/>
  <c r="V47" i="94"/>
  <c r="N47" i="94"/>
  <c r="L47" i="94"/>
  <c r="B47" i="94"/>
  <c r="X46" i="94"/>
  <c r="V46" i="94"/>
  <c r="T46" i="94"/>
  <c r="Z46" i="94" s="1"/>
  <c r="P46" i="94"/>
  <c r="H46" i="94"/>
  <c r="N46" i="94" s="1"/>
  <c r="D46" i="94"/>
  <c r="L46" i="94" s="1"/>
  <c r="B46" i="94"/>
  <c r="Z45" i="94"/>
  <c r="X45" i="94"/>
  <c r="V45" i="94"/>
  <c r="N45" i="94"/>
  <c r="L45" i="94"/>
  <c r="B45" i="94"/>
  <c r="X44" i="94"/>
  <c r="T44" i="94"/>
  <c r="Z44" i="94" s="1"/>
  <c r="P44" i="94"/>
  <c r="H44" i="94"/>
  <c r="N44" i="94" s="1"/>
  <c r="D44" i="94"/>
  <c r="L44" i="94" s="1"/>
  <c r="B44" i="94"/>
  <c r="Z43" i="94"/>
  <c r="X43" i="94"/>
  <c r="V43" i="94"/>
  <c r="N43" i="94"/>
  <c r="L43" i="94"/>
  <c r="B43" i="94"/>
  <c r="Z42" i="94"/>
  <c r="X42" i="94"/>
  <c r="V42" i="94"/>
  <c r="R42" i="94"/>
  <c r="N42" i="94"/>
  <c r="L42" i="94"/>
  <c r="B42" i="94"/>
  <c r="Z41" i="94"/>
  <c r="X41" i="94"/>
  <c r="V41" i="94"/>
  <c r="N41" i="94"/>
  <c r="L41" i="94"/>
  <c r="J41" i="94"/>
  <c r="B41" i="94"/>
  <c r="Z40" i="94"/>
  <c r="X40" i="94"/>
  <c r="V40" i="94"/>
  <c r="N40" i="94"/>
  <c r="L40" i="94"/>
  <c r="J40" i="94"/>
  <c r="B40" i="94"/>
  <c r="Z39" i="94"/>
  <c r="X39" i="94"/>
  <c r="V39" i="94"/>
  <c r="N39" i="94"/>
  <c r="L39" i="94"/>
  <c r="B39" i="94"/>
  <c r="Z38" i="94"/>
  <c r="X38" i="94"/>
  <c r="V38" i="94"/>
  <c r="R38" i="94"/>
  <c r="N38" i="94"/>
  <c r="L38" i="94"/>
  <c r="J38" i="94"/>
  <c r="B38" i="94"/>
  <c r="Z37" i="94"/>
  <c r="X37" i="94"/>
  <c r="V37" i="94"/>
  <c r="N37" i="94"/>
  <c r="L37" i="94"/>
  <c r="J37" i="94"/>
  <c r="B37" i="94"/>
  <c r="Z36" i="94"/>
  <c r="X36" i="94"/>
  <c r="V36" i="94"/>
  <c r="N36" i="94"/>
  <c r="L36" i="94"/>
  <c r="J36" i="94"/>
  <c r="B36" i="94"/>
  <c r="Z35" i="94"/>
  <c r="X35" i="94"/>
  <c r="V35" i="94"/>
  <c r="N35" i="94"/>
  <c r="L35" i="94"/>
  <c r="B35" i="94"/>
  <c r="Z34" i="94"/>
  <c r="X34" i="94"/>
  <c r="V34" i="94"/>
  <c r="R34" i="94"/>
  <c r="N34" i="94"/>
  <c r="L34" i="94"/>
  <c r="J34" i="94"/>
  <c r="B34" i="94"/>
  <c r="V33" i="94"/>
  <c r="T33" i="94"/>
  <c r="Z33" i="94" s="1"/>
  <c r="P33" i="94"/>
  <c r="X33" i="94" s="1"/>
  <c r="N33" i="94"/>
  <c r="J33" i="94"/>
  <c r="H33" i="94"/>
  <c r="D33" i="94"/>
  <c r="L33" i="94" s="1"/>
  <c r="B33" i="94"/>
  <c r="Z32" i="94"/>
  <c r="X32" i="94"/>
  <c r="V32" i="94"/>
  <c r="N32" i="94"/>
  <c r="L32" i="94"/>
  <c r="B32" i="94"/>
  <c r="Z31" i="94"/>
  <c r="X31" i="94"/>
  <c r="V31" i="94"/>
  <c r="N31" i="94"/>
  <c r="L31" i="94"/>
  <c r="B31" i="94"/>
  <c r="Z30" i="94"/>
  <c r="X30" i="94"/>
  <c r="V30" i="94"/>
  <c r="N30" i="94"/>
  <c r="L30" i="94"/>
  <c r="B30" i="94"/>
  <c r="Z29" i="94"/>
  <c r="X29" i="94"/>
  <c r="V29" i="94"/>
  <c r="N29" i="94"/>
  <c r="L29" i="94"/>
  <c r="J29" i="94"/>
  <c r="B29" i="94"/>
  <c r="Z28" i="94"/>
  <c r="X28" i="94"/>
  <c r="V28" i="94"/>
  <c r="N28" i="94"/>
  <c r="L28" i="94"/>
  <c r="B28" i="94"/>
  <c r="Z27" i="94"/>
  <c r="X27" i="94"/>
  <c r="V27" i="94"/>
  <c r="N27" i="94"/>
  <c r="L27" i="94"/>
  <c r="B27" i="94"/>
  <c r="Z26" i="94"/>
  <c r="X26" i="94"/>
  <c r="V26" i="94"/>
  <c r="N26" i="94"/>
  <c r="L26" i="94"/>
  <c r="B26" i="94"/>
  <c r="Z25" i="94"/>
  <c r="X25" i="94"/>
  <c r="V25" i="94"/>
  <c r="N25" i="94"/>
  <c r="L25" i="94"/>
  <c r="J25" i="94"/>
  <c r="B25" i="94"/>
  <c r="Z24" i="94"/>
  <c r="X24" i="94"/>
  <c r="V24" i="94"/>
  <c r="N24" i="94"/>
  <c r="L24" i="94"/>
  <c r="B24" i="94"/>
  <c r="Z23" i="94"/>
  <c r="V23" i="94"/>
  <c r="T23" i="94"/>
  <c r="P23" i="94"/>
  <c r="X23" i="94" s="1"/>
  <c r="N23" i="94"/>
  <c r="J23" i="94"/>
  <c r="H23" i="94"/>
  <c r="D23" i="94"/>
  <c r="L23" i="94" s="1"/>
  <c r="B23" i="94"/>
  <c r="V22" i="94"/>
  <c r="T22" i="94"/>
  <c r="P22" i="94"/>
  <c r="X22" i="94" s="1"/>
  <c r="H22" i="94"/>
  <c r="D22" i="94"/>
  <c r="L22" i="94" s="1"/>
  <c r="V20" i="94"/>
  <c r="T20" i="94"/>
  <c r="H20" i="94"/>
  <c r="Z18" i="94"/>
  <c r="X18" i="94"/>
  <c r="V18" i="94"/>
  <c r="N18" i="94"/>
  <c r="L18" i="94"/>
  <c r="J18" i="94"/>
  <c r="F18" i="94"/>
  <c r="B18" i="94"/>
  <c r="Z17" i="94"/>
  <c r="X17" i="94"/>
  <c r="V17" i="94"/>
  <c r="T17" i="94"/>
  <c r="P17" i="94"/>
  <c r="N17" i="94"/>
  <c r="L17" i="94"/>
  <c r="J17" i="94"/>
  <c r="H17" i="94"/>
  <c r="F17" i="94"/>
  <c r="D17" i="94"/>
  <c r="Z15" i="94"/>
  <c r="P15" i="94"/>
  <c r="X15" i="94" s="1"/>
  <c r="N15" i="94"/>
  <c r="L15" i="94"/>
  <c r="D15" i="94"/>
  <c r="B15" i="94"/>
  <c r="Z14" i="94"/>
  <c r="X14" i="94"/>
  <c r="P14" i="94"/>
  <c r="N14" i="94"/>
  <c r="D14" i="94"/>
  <c r="L14" i="94" s="1"/>
  <c r="B14" i="94"/>
  <c r="Z13" i="94"/>
  <c r="P13" i="94"/>
  <c r="X13" i="94" s="1"/>
  <c r="N13" i="94"/>
  <c r="L13" i="94"/>
  <c r="D13" i="94"/>
  <c r="D12" i="94" s="1"/>
  <c r="B13" i="94"/>
  <c r="Z12" i="94"/>
  <c r="X12" i="94"/>
  <c r="T12" i="94"/>
  <c r="V72" i="94" s="1"/>
  <c r="P12" i="94"/>
  <c r="R54" i="94" s="1"/>
  <c r="N12" i="94"/>
  <c r="H12" i="94"/>
  <c r="J85" i="94" s="1"/>
  <c r="D6" i="94"/>
  <c r="D4" i="94"/>
  <c r="Z81" i="93"/>
  <c r="X81" i="93"/>
  <c r="N81" i="93"/>
  <c r="L81" i="93"/>
  <c r="T77" i="93"/>
  <c r="Z77" i="93" s="1"/>
  <c r="P77" i="93"/>
  <c r="X77" i="93" s="1"/>
  <c r="L77" i="93"/>
  <c r="H77" i="93"/>
  <c r="N77" i="93" s="1"/>
  <c r="D77" i="93"/>
  <c r="Z75" i="93"/>
  <c r="X75" i="93"/>
  <c r="N75" i="93"/>
  <c r="L75" i="93"/>
  <c r="B75" i="93"/>
  <c r="Z74" i="93"/>
  <c r="X74" i="93"/>
  <c r="T74" i="93"/>
  <c r="P74" i="93"/>
  <c r="N74" i="93"/>
  <c r="L74" i="93"/>
  <c r="H74" i="93"/>
  <c r="D74" i="93"/>
  <c r="B74" i="93"/>
  <c r="Z73" i="93"/>
  <c r="X73" i="93"/>
  <c r="N73" i="93"/>
  <c r="L73" i="93"/>
  <c r="B73" i="93"/>
  <c r="Z72" i="93"/>
  <c r="X72" i="93"/>
  <c r="N72" i="93"/>
  <c r="L72" i="93"/>
  <c r="B72" i="93"/>
  <c r="T71" i="93"/>
  <c r="Z71" i="93" s="1"/>
  <c r="P71" i="93"/>
  <c r="X71" i="93" s="1"/>
  <c r="N71" i="93"/>
  <c r="H71" i="93"/>
  <c r="D71" i="93"/>
  <c r="L71" i="93" s="1"/>
  <c r="B71" i="93"/>
  <c r="Z70" i="93"/>
  <c r="X70" i="93"/>
  <c r="V70" i="93"/>
  <c r="N70" i="93"/>
  <c r="L70" i="93"/>
  <c r="B70" i="93"/>
  <c r="Z69" i="93"/>
  <c r="X69" i="93"/>
  <c r="N69" i="93"/>
  <c r="L69" i="93"/>
  <c r="B69" i="93"/>
  <c r="Z68" i="93"/>
  <c r="X68" i="93"/>
  <c r="N68" i="93"/>
  <c r="L68" i="93"/>
  <c r="B68" i="93"/>
  <c r="Z67" i="93"/>
  <c r="X67" i="93"/>
  <c r="N67" i="93"/>
  <c r="L67" i="93"/>
  <c r="B67" i="93"/>
  <c r="Z66" i="93"/>
  <c r="X66" i="93"/>
  <c r="V66" i="93"/>
  <c r="N66" i="93"/>
  <c r="L66" i="93"/>
  <c r="B66" i="93"/>
  <c r="Z65" i="93"/>
  <c r="X65" i="93"/>
  <c r="N65" i="93"/>
  <c r="L65" i="93"/>
  <c r="B65" i="93"/>
  <c r="Z64" i="93"/>
  <c r="X64" i="93"/>
  <c r="N64" i="93"/>
  <c r="L64" i="93"/>
  <c r="B64" i="93"/>
  <c r="Z63" i="93"/>
  <c r="X63" i="93"/>
  <c r="N63" i="93"/>
  <c r="L63" i="93"/>
  <c r="B63" i="93"/>
  <c r="Z62" i="93"/>
  <c r="V62" i="93"/>
  <c r="T62" i="93"/>
  <c r="P62" i="93"/>
  <c r="X62" i="93" s="1"/>
  <c r="N62" i="93"/>
  <c r="H62" i="93"/>
  <c r="D62" i="93"/>
  <c r="L62" i="93" s="1"/>
  <c r="B62" i="93"/>
  <c r="Z61" i="93"/>
  <c r="X61" i="93"/>
  <c r="N61" i="93"/>
  <c r="L61" i="93"/>
  <c r="B61" i="93"/>
  <c r="Z60" i="93"/>
  <c r="X60" i="93"/>
  <c r="N60" i="93"/>
  <c r="L60" i="93"/>
  <c r="B60" i="93"/>
  <c r="T59" i="93"/>
  <c r="Z59" i="93" s="1"/>
  <c r="P59" i="93"/>
  <c r="X59" i="93" s="1"/>
  <c r="L59" i="93"/>
  <c r="H59" i="93"/>
  <c r="N59" i="93" s="1"/>
  <c r="D59" i="93"/>
  <c r="B59" i="93"/>
  <c r="Z58" i="93"/>
  <c r="X58" i="93"/>
  <c r="N58" i="93"/>
  <c r="L58" i="93"/>
  <c r="J58" i="93"/>
  <c r="B58" i="93"/>
  <c r="Z57" i="93"/>
  <c r="X57" i="93"/>
  <c r="N57" i="93"/>
  <c r="L57" i="93"/>
  <c r="B57" i="93"/>
  <c r="Z56" i="93"/>
  <c r="X56" i="93"/>
  <c r="V56" i="93"/>
  <c r="N56" i="93"/>
  <c r="L56" i="93"/>
  <c r="B56" i="93"/>
  <c r="T55" i="93"/>
  <c r="Z55" i="93" s="1"/>
  <c r="P55" i="93"/>
  <c r="X55" i="93" s="1"/>
  <c r="N55" i="93"/>
  <c r="H55" i="93"/>
  <c r="D55" i="93"/>
  <c r="L55" i="93" s="1"/>
  <c r="B55" i="93"/>
  <c r="Z54" i="93"/>
  <c r="X54" i="93"/>
  <c r="V54" i="93"/>
  <c r="N54" i="93"/>
  <c r="L54" i="93"/>
  <c r="B54" i="93"/>
  <c r="T53" i="93"/>
  <c r="Z53" i="93" s="1"/>
  <c r="P53" i="93"/>
  <c r="X53" i="93" s="1"/>
  <c r="L53" i="93"/>
  <c r="H53" i="93"/>
  <c r="N53" i="93" s="1"/>
  <c r="D53" i="93"/>
  <c r="B53" i="93"/>
  <c r="Z52" i="93"/>
  <c r="X52" i="93"/>
  <c r="N52" i="93"/>
  <c r="L52" i="93"/>
  <c r="J52" i="93"/>
  <c r="B52" i="93"/>
  <c r="T51" i="93"/>
  <c r="Z51" i="93" s="1"/>
  <c r="P51" i="93"/>
  <c r="X51" i="93" s="1"/>
  <c r="L51" i="93"/>
  <c r="H51" i="93"/>
  <c r="N51" i="93" s="1"/>
  <c r="D51" i="93"/>
  <c r="B51" i="93"/>
  <c r="Z50" i="93"/>
  <c r="X50" i="93"/>
  <c r="N50" i="93"/>
  <c r="L50" i="93"/>
  <c r="J50" i="93"/>
  <c r="B50" i="93"/>
  <c r="T49" i="93"/>
  <c r="P49" i="93"/>
  <c r="X49" i="93" s="1"/>
  <c r="Z49" i="93" s="1"/>
  <c r="H49" i="93"/>
  <c r="D49" i="93"/>
  <c r="B49" i="93"/>
  <c r="Z48" i="93"/>
  <c r="X48" i="93"/>
  <c r="N48" i="93"/>
  <c r="L48" i="93"/>
  <c r="B48" i="93"/>
  <c r="X47" i="93"/>
  <c r="T47" i="93"/>
  <c r="Z47" i="93" s="1"/>
  <c r="P47" i="93"/>
  <c r="H47" i="93"/>
  <c r="N47" i="93" s="1"/>
  <c r="D47" i="93"/>
  <c r="L47" i="93" s="1"/>
  <c r="B47" i="93"/>
  <c r="Z46" i="93"/>
  <c r="X46" i="93"/>
  <c r="N46" i="93"/>
  <c r="L46" i="93"/>
  <c r="B46" i="93"/>
  <c r="X45" i="93"/>
  <c r="T45" i="93"/>
  <c r="Z45" i="93" s="1"/>
  <c r="P45" i="93"/>
  <c r="H45" i="93"/>
  <c r="N45" i="93" s="1"/>
  <c r="D45" i="93"/>
  <c r="L45" i="93" s="1"/>
  <c r="B45" i="93"/>
  <c r="Z44" i="93"/>
  <c r="X44" i="93"/>
  <c r="V44" i="93"/>
  <c r="N44" i="93"/>
  <c r="L44" i="93"/>
  <c r="B44" i="93"/>
  <c r="T43" i="93"/>
  <c r="Z43" i="93" s="1"/>
  <c r="P43" i="93"/>
  <c r="X43" i="93" s="1"/>
  <c r="N43" i="93"/>
  <c r="H43" i="93"/>
  <c r="D43" i="93"/>
  <c r="L43" i="93" s="1"/>
  <c r="B43" i="93"/>
  <c r="Z42" i="93"/>
  <c r="X42" i="93"/>
  <c r="V42" i="93"/>
  <c r="N42" i="93"/>
  <c r="L42" i="93"/>
  <c r="B42" i="93"/>
  <c r="Z41" i="93"/>
  <c r="X41" i="93"/>
  <c r="N41" i="93"/>
  <c r="L41" i="93"/>
  <c r="B41" i="93"/>
  <c r="Z40" i="93"/>
  <c r="X40" i="93"/>
  <c r="N40" i="93"/>
  <c r="L40" i="93"/>
  <c r="B40" i="93"/>
  <c r="Z39" i="93"/>
  <c r="X39" i="93"/>
  <c r="N39" i="93"/>
  <c r="L39" i="93"/>
  <c r="B39" i="93"/>
  <c r="Z38" i="93"/>
  <c r="X38" i="93"/>
  <c r="V38" i="93"/>
  <c r="N38" i="93"/>
  <c r="L38" i="93"/>
  <c r="B38" i="93"/>
  <c r="Z37" i="93"/>
  <c r="X37" i="93"/>
  <c r="N37" i="93"/>
  <c r="L37" i="93"/>
  <c r="B37" i="93"/>
  <c r="Z36" i="93"/>
  <c r="X36" i="93"/>
  <c r="N36" i="93"/>
  <c r="L36" i="93"/>
  <c r="B36" i="93"/>
  <c r="Z35" i="93"/>
  <c r="X35" i="93"/>
  <c r="N35" i="93"/>
  <c r="L35" i="93"/>
  <c r="B35" i="93"/>
  <c r="Z34" i="93"/>
  <c r="X34" i="93"/>
  <c r="V34" i="93"/>
  <c r="N34" i="93"/>
  <c r="L34" i="93"/>
  <c r="B34" i="93"/>
  <c r="Z33" i="93"/>
  <c r="X33" i="93"/>
  <c r="N33" i="93"/>
  <c r="L33" i="93"/>
  <c r="B33" i="93"/>
  <c r="Z32" i="93"/>
  <c r="T32" i="93"/>
  <c r="P32" i="93"/>
  <c r="X32" i="93" s="1"/>
  <c r="N32" i="93"/>
  <c r="J32" i="93"/>
  <c r="H32" i="93"/>
  <c r="D32" i="93"/>
  <c r="L32" i="93" s="1"/>
  <c r="B32" i="93"/>
  <c r="Z31" i="93"/>
  <c r="X31" i="93"/>
  <c r="N31" i="93"/>
  <c r="L31" i="93"/>
  <c r="B31" i="93"/>
  <c r="Z30" i="93"/>
  <c r="X30" i="93"/>
  <c r="N30" i="93"/>
  <c r="L30" i="93"/>
  <c r="B30" i="93"/>
  <c r="Z29" i="93"/>
  <c r="X29" i="93"/>
  <c r="N29" i="93"/>
  <c r="L29" i="93"/>
  <c r="B29" i="93"/>
  <c r="Z28" i="93"/>
  <c r="X28" i="93"/>
  <c r="N28" i="93"/>
  <c r="L28" i="93"/>
  <c r="J28" i="93"/>
  <c r="B28" i="93"/>
  <c r="Z27" i="93"/>
  <c r="X27" i="93"/>
  <c r="N27" i="93"/>
  <c r="L27" i="93"/>
  <c r="B27" i="93"/>
  <c r="Z26" i="93"/>
  <c r="X26" i="93"/>
  <c r="N26" i="93"/>
  <c r="L26" i="93"/>
  <c r="B26" i="93"/>
  <c r="Z25" i="93"/>
  <c r="X25" i="93"/>
  <c r="N25" i="93"/>
  <c r="L25" i="93"/>
  <c r="B25" i="93"/>
  <c r="Z24" i="93"/>
  <c r="X24" i="93"/>
  <c r="N24" i="93"/>
  <c r="L24" i="93"/>
  <c r="J24" i="93"/>
  <c r="B24" i="93"/>
  <c r="Z23" i="93"/>
  <c r="X23" i="93"/>
  <c r="N23" i="93"/>
  <c r="L23" i="93"/>
  <c r="B23" i="93"/>
  <c r="Z22" i="93"/>
  <c r="X22" i="93"/>
  <c r="T22" i="93"/>
  <c r="P22" i="93"/>
  <c r="N22" i="93"/>
  <c r="L22" i="93"/>
  <c r="H22" i="93"/>
  <c r="D22" i="93"/>
  <c r="B22" i="93"/>
  <c r="T21" i="93"/>
  <c r="P21" i="93"/>
  <c r="H21" i="93"/>
  <c r="D21" i="93"/>
  <c r="H19" i="93"/>
  <c r="Z17" i="93"/>
  <c r="X17" i="93"/>
  <c r="N17" i="93"/>
  <c r="L17" i="93"/>
  <c r="B17" i="93"/>
  <c r="Z16" i="93"/>
  <c r="V16" i="93"/>
  <c r="T16" i="93"/>
  <c r="P16" i="93"/>
  <c r="X16" i="93" s="1"/>
  <c r="H16" i="93"/>
  <c r="N16" i="93" s="1"/>
  <c r="D16" i="93"/>
  <c r="L16" i="93" s="1"/>
  <c r="Z14" i="93"/>
  <c r="P14" i="93"/>
  <c r="X14" i="93" s="1"/>
  <c r="N14" i="93"/>
  <c r="L14" i="93"/>
  <c r="D14" i="93"/>
  <c r="B14" i="93"/>
  <c r="Z13" i="93"/>
  <c r="X13" i="93"/>
  <c r="P13" i="93"/>
  <c r="N13" i="93"/>
  <c r="D13" i="93"/>
  <c r="B13" i="93"/>
  <c r="Z12" i="93"/>
  <c r="T12" i="93"/>
  <c r="V61" i="93" s="1"/>
  <c r="H12" i="93"/>
  <c r="J79" i="93" s="1"/>
  <c r="D6" i="93"/>
  <c r="D4" i="93"/>
  <c r="Z80" i="92"/>
  <c r="X80" i="92"/>
  <c r="N80" i="92"/>
  <c r="L80" i="92"/>
  <c r="Z76" i="92"/>
  <c r="X76" i="92"/>
  <c r="T76" i="92"/>
  <c r="P76" i="92"/>
  <c r="N76" i="92"/>
  <c r="L76" i="92"/>
  <c r="H76" i="92"/>
  <c r="D76" i="92"/>
  <c r="Z74" i="92"/>
  <c r="X74" i="92"/>
  <c r="N74" i="92"/>
  <c r="L74" i="92"/>
  <c r="B74" i="92"/>
  <c r="T73" i="92"/>
  <c r="Z73" i="92" s="1"/>
  <c r="P73" i="92"/>
  <c r="L73" i="92"/>
  <c r="H73" i="92"/>
  <c r="N73" i="92" s="1"/>
  <c r="D73" i="92"/>
  <c r="B73" i="92"/>
  <c r="Z72" i="92"/>
  <c r="X72" i="92"/>
  <c r="N72" i="92"/>
  <c r="L72" i="92"/>
  <c r="B72" i="92"/>
  <c r="Z71" i="92"/>
  <c r="X71" i="92"/>
  <c r="N71" i="92"/>
  <c r="L71" i="92"/>
  <c r="B71" i="92"/>
  <c r="Z70" i="92"/>
  <c r="V70" i="92"/>
  <c r="T70" i="92"/>
  <c r="P70" i="92"/>
  <c r="X70" i="92" s="1"/>
  <c r="H70" i="92"/>
  <c r="N70" i="92" s="1"/>
  <c r="D70" i="92"/>
  <c r="L70" i="92" s="1"/>
  <c r="B70" i="92"/>
  <c r="Z69" i="92"/>
  <c r="X69" i="92"/>
  <c r="N69" i="92"/>
  <c r="L69" i="92"/>
  <c r="B69" i="92"/>
  <c r="Z68" i="92"/>
  <c r="X68" i="92"/>
  <c r="N68" i="92"/>
  <c r="L68" i="92"/>
  <c r="B68" i="92"/>
  <c r="Z67" i="92"/>
  <c r="X67" i="92"/>
  <c r="N67" i="92"/>
  <c r="L67" i="92"/>
  <c r="B67" i="92"/>
  <c r="Z66" i="92"/>
  <c r="X66" i="92"/>
  <c r="N66" i="92"/>
  <c r="L66" i="92"/>
  <c r="B66" i="92"/>
  <c r="Z65" i="92"/>
  <c r="X65" i="92"/>
  <c r="N65" i="92"/>
  <c r="L65" i="92"/>
  <c r="B65" i="92"/>
  <c r="Z64" i="92"/>
  <c r="T64" i="92"/>
  <c r="P64" i="92"/>
  <c r="X64" i="92" s="1"/>
  <c r="N64" i="92"/>
  <c r="H64" i="92"/>
  <c r="D64" i="92"/>
  <c r="L64" i="92" s="1"/>
  <c r="B64" i="92"/>
  <c r="Z63" i="92"/>
  <c r="X63" i="92"/>
  <c r="N63" i="92"/>
  <c r="L63" i="92"/>
  <c r="B63" i="92"/>
  <c r="Z62" i="92"/>
  <c r="X62" i="92"/>
  <c r="N62" i="92"/>
  <c r="L62" i="92"/>
  <c r="B62" i="92"/>
  <c r="Z61" i="92"/>
  <c r="X61" i="92"/>
  <c r="N61" i="92"/>
  <c r="L61" i="92"/>
  <c r="B61" i="92"/>
  <c r="Z60" i="92"/>
  <c r="X60" i="92"/>
  <c r="N60" i="92"/>
  <c r="L60" i="92"/>
  <c r="B60" i="92"/>
  <c r="T59" i="92"/>
  <c r="Z59" i="92" s="1"/>
  <c r="P59" i="92"/>
  <c r="H59" i="92"/>
  <c r="N59" i="92" s="1"/>
  <c r="D59" i="92"/>
  <c r="B59" i="92"/>
  <c r="Z58" i="92"/>
  <c r="X58" i="92"/>
  <c r="N58" i="92"/>
  <c r="L58" i="92"/>
  <c r="B58" i="92"/>
  <c r="T57" i="92"/>
  <c r="Z57" i="92" s="1"/>
  <c r="P57" i="92"/>
  <c r="X57" i="92" s="1"/>
  <c r="N57" i="92"/>
  <c r="H57" i="92"/>
  <c r="D57" i="92"/>
  <c r="L57" i="92" s="1"/>
  <c r="B57" i="92"/>
  <c r="Z56" i="92"/>
  <c r="X56" i="92"/>
  <c r="N56" i="92"/>
  <c r="L56" i="92"/>
  <c r="B56" i="92"/>
  <c r="Z55" i="92"/>
  <c r="X55" i="92"/>
  <c r="N55" i="92"/>
  <c r="L55" i="92"/>
  <c r="B55" i="92"/>
  <c r="Z54" i="92"/>
  <c r="T54" i="92"/>
  <c r="P54" i="92"/>
  <c r="X54" i="92" s="1"/>
  <c r="N54" i="92"/>
  <c r="H54" i="92"/>
  <c r="D54" i="92"/>
  <c r="L54" i="92" s="1"/>
  <c r="B54" i="92"/>
  <c r="Z53" i="92"/>
  <c r="X53" i="92"/>
  <c r="N53" i="92"/>
  <c r="L53" i="92"/>
  <c r="B53" i="92"/>
  <c r="Z52" i="92"/>
  <c r="X52" i="92"/>
  <c r="T52" i="92"/>
  <c r="P52" i="92"/>
  <c r="N52" i="92"/>
  <c r="L52" i="92"/>
  <c r="H52" i="92"/>
  <c r="D52" i="92"/>
  <c r="B52" i="92"/>
  <c r="Z51" i="92"/>
  <c r="X51" i="92"/>
  <c r="N51" i="92"/>
  <c r="L51" i="92"/>
  <c r="B51" i="92"/>
  <c r="Z50" i="92"/>
  <c r="T50" i="92"/>
  <c r="P50" i="92"/>
  <c r="X50" i="92" s="1"/>
  <c r="H50" i="92"/>
  <c r="N50" i="92" s="1"/>
  <c r="D50" i="92"/>
  <c r="L50" i="92" s="1"/>
  <c r="B50" i="92"/>
  <c r="Z49" i="92"/>
  <c r="X49" i="92"/>
  <c r="N49" i="92"/>
  <c r="L49" i="92"/>
  <c r="B49" i="92"/>
  <c r="Z48" i="92"/>
  <c r="V48" i="92"/>
  <c r="T48" i="92"/>
  <c r="P48" i="92"/>
  <c r="X48" i="92" s="1"/>
  <c r="N48" i="92"/>
  <c r="H48" i="92"/>
  <c r="D48" i="92"/>
  <c r="L48" i="92" s="1"/>
  <c r="B48" i="92"/>
  <c r="X47" i="92"/>
  <c r="Z47" i="92" s="1"/>
  <c r="N47" i="92"/>
  <c r="L47" i="92"/>
  <c r="B47" i="92"/>
  <c r="X46" i="92"/>
  <c r="Z46" i="92" s="1"/>
  <c r="N46" i="92"/>
  <c r="L46" i="92"/>
  <c r="B46" i="92"/>
  <c r="T45" i="92"/>
  <c r="P45" i="92"/>
  <c r="H45" i="92"/>
  <c r="D45" i="92"/>
  <c r="B45" i="92"/>
  <c r="Z44" i="92"/>
  <c r="X44" i="92"/>
  <c r="N44" i="92"/>
  <c r="L44" i="92"/>
  <c r="B44" i="92"/>
  <c r="Z43" i="92"/>
  <c r="T43" i="92"/>
  <c r="P43" i="92"/>
  <c r="X43" i="92" s="1"/>
  <c r="H43" i="92"/>
  <c r="N43" i="92" s="1"/>
  <c r="D43" i="92"/>
  <c r="L43" i="92" s="1"/>
  <c r="B43" i="92"/>
  <c r="Z42" i="92"/>
  <c r="X42" i="92"/>
  <c r="N42" i="92"/>
  <c r="L42" i="92"/>
  <c r="B42" i="92"/>
  <c r="X41" i="92"/>
  <c r="T41" i="92"/>
  <c r="Z41" i="92" s="1"/>
  <c r="P41" i="92"/>
  <c r="L41" i="92"/>
  <c r="H41" i="92"/>
  <c r="N41" i="92" s="1"/>
  <c r="D41" i="92"/>
  <c r="B41" i="92"/>
  <c r="Z40" i="92"/>
  <c r="X40" i="92"/>
  <c r="N40" i="92"/>
  <c r="L40" i="92"/>
  <c r="B40" i="92"/>
  <c r="Z39" i="92"/>
  <c r="X39" i="92"/>
  <c r="N39" i="92"/>
  <c r="L39" i="92"/>
  <c r="B39" i="92"/>
  <c r="Z38" i="92"/>
  <c r="X38" i="92"/>
  <c r="N38" i="92"/>
  <c r="L38" i="92"/>
  <c r="J38" i="92"/>
  <c r="B38" i="92"/>
  <c r="Z37" i="92"/>
  <c r="X37" i="92"/>
  <c r="N37" i="92"/>
  <c r="L37" i="92"/>
  <c r="B37" i="92"/>
  <c r="Z36" i="92"/>
  <c r="X36" i="92"/>
  <c r="V36" i="92"/>
  <c r="N36" i="92"/>
  <c r="L36" i="92"/>
  <c r="J36" i="92"/>
  <c r="B36" i="92"/>
  <c r="Z35" i="92"/>
  <c r="X35" i="92"/>
  <c r="N35" i="92"/>
  <c r="L35" i="92"/>
  <c r="B35" i="92"/>
  <c r="Z34" i="92"/>
  <c r="X34" i="92"/>
  <c r="N34" i="92"/>
  <c r="L34" i="92"/>
  <c r="B34" i="92"/>
  <c r="Z33" i="92"/>
  <c r="X33" i="92"/>
  <c r="N33" i="92"/>
  <c r="L33" i="92"/>
  <c r="J33" i="92"/>
  <c r="B33" i="92"/>
  <c r="Z32" i="92"/>
  <c r="X32" i="92"/>
  <c r="N32" i="92"/>
  <c r="L32" i="92"/>
  <c r="B32" i="92"/>
  <c r="Z31" i="92"/>
  <c r="X31" i="92"/>
  <c r="N31" i="92"/>
  <c r="L31" i="92"/>
  <c r="B31" i="92"/>
  <c r="T30" i="92"/>
  <c r="Z30" i="92" s="1"/>
  <c r="P30" i="92"/>
  <c r="N30" i="92"/>
  <c r="L30" i="92"/>
  <c r="H30" i="92"/>
  <c r="D30" i="92"/>
  <c r="B30" i="92"/>
  <c r="Z29" i="92"/>
  <c r="X29" i="92"/>
  <c r="V29" i="92"/>
  <c r="N29" i="92"/>
  <c r="L29" i="92"/>
  <c r="J29" i="92"/>
  <c r="B29" i="92"/>
  <c r="Z28" i="92"/>
  <c r="X28" i="92"/>
  <c r="N28" i="92"/>
  <c r="L28" i="92"/>
  <c r="B28" i="92"/>
  <c r="Z27" i="92"/>
  <c r="X27" i="92"/>
  <c r="N27" i="92"/>
  <c r="L27" i="92"/>
  <c r="B27" i="92"/>
  <c r="Z26" i="92"/>
  <c r="X26" i="92"/>
  <c r="V26" i="92"/>
  <c r="N26" i="92"/>
  <c r="L26" i="92"/>
  <c r="B26" i="92"/>
  <c r="Z25" i="92"/>
  <c r="X25" i="92"/>
  <c r="N25" i="92"/>
  <c r="L25" i="92"/>
  <c r="B25" i="92"/>
  <c r="Z24" i="92"/>
  <c r="X24" i="92"/>
  <c r="V24" i="92"/>
  <c r="N24" i="92"/>
  <c r="L24" i="92"/>
  <c r="B24" i="92"/>
  <c r="Z23" i="92"/>
  <c r="X23" i="92"/>
  <c r="N23" i="92"/>
  <c r="L23" i="92"/>
  <c r="B23" i="92"/>
  <c r="Z22" i="92"/>
  <c r="X22" i="92"/>
  <c r="V22" i="92"/>
  <c r="N22" i="92"/>
  <c r="L22" i="92"/>
  <c r="B22" i="92"/>
  <c r="Z21" i="92"/>
  <c r="V21" i="92"/>
  <c r="T21" i="92"/>
  <c r="P21" i="92"/>
  <c r="X21" i="92" s="1"/>
  <c r="H21" i="92"/>
  <c r="N21" i="92" s="1"/>
  <c r="D21" i="92"/>
  <c r="L21" i="92" s="1"/>
  <c r="B21" i="92"/>
  <c r="V20" i="92"/>
  <c r="T20" i="92"/>
  <c r="P20" i="92"/>
  <c r="X20" i="92" s="1"/>
  <c r="Z20" i="92" s="1"/>
  <c r="H20" i="92"/>
  <c r="D20" i="92"/>
  <c r="V18" i="92"/>
  <c r="Z16" i="92"/>
  <c r="X16" i="92"/>
  <c r="V16" i="92"/>
  <c r="N16" i="92"/>
  <c r="L16" i="92"/>
  <c r="J16" i="92"/>
  <c r="B16" i="92"/>
  <c r="V15" i="92"/>
  <c r="T15" i="92"/>
  <c r="Z15" i="92" s="1"/>
  <c r="P15" i="92"/>
  <c r="X15" i="92" s="1"/>
  <c r="H15" i="92"/>
  <c r="N15" i="92" s="1"/>
  <c r="D15" i="92"/>
  <c r="L15" i="92" s="1"/>
  <c r="Z13" i="92"/>
  <c r="P13" i="92"/>
  <c r="N13" i="92"/>
  <c r="D13" i="92"/>
  <c r="L13" i="92" s="1"/>
  <c r="B13" i="92"/>
  <c r="T12" i="92"/>
  <c r="V80" i="92" s="1"/>
  <c r="N12" i="92"/>
  <c r="H12" i="92"/>
  <c r="J22" i="92" s="1"/>
  <c r="D6" i="92"/>
  <c r="D4" i="92"/>
  <c r="Z84" i="91"/>
  <c r="X84" i="91"/>
  <c r="N84" i="91"/>
  <c r="L84" i="91"/>
  <c r="Z80" i="91"/>
  <c r="X80" i="91"/>
  <c r="P80" i="91"/>
  <c r="N80" i="91"/>
  <c r="L80" i="91"/>
  <c r="D80" i="91"/>
  <c r="B80" i="91"/>
  <c r="Z79" i="91"/>
  <c r="X79" i="91"/>
  <c r="V79" i="91"/>
  <c r="P79" i="91"/>
  <c r="N79" i="91"/>
  <c r="D79" i="91"/>
  <c r="B79" i="91"/>
  <c r="Z78" i="91"/>
  <c r="T78" i="91"/>
  <c r="P78" i="91"/>
  <c r="X78" i="91" s="1"/>
  <c r="H78" i="91"/>
  <c r="N78" i="91" s="1"/>
  <c r="Z76" i="91"/>
  <c r="X76" i="91"/>
  <c r="N76" i="91"/>
  <c r="L76" i="91"/>
  <c r="B76" i="91"/>
  <c r="T75" i="91"/>
  <c r="P75" i="91"/>
  <c r="H75" i="91"/>
  <c r="D75" i="91"/>
  <c r="L75" i="91" s="1"/>
  <c r="B75" i="91"/>
  <c r="Z74" i="91"/>
  <c r="X74" i="91"/>
  <c r="N74" i="91"/>
  <c r="L74" i="91"/>
  <c r="B74" i="91"/>
  <c r="V73" i="91"/>
  <c r="T73" i="91"/>
  <c r="Z73" i="91" s="1"/>
  <c r="P73" i="91"/>
  <c r="X73" i="91" s="1"/>
  <c r="L73" i="91"/>
  <c r="J73" i="91"/>
  <c r="H73" i="91"/>
  <c r="N73" i="91" s="1"/>
  <c r="D73" i="91"/>
  <c r="B73" i="91"/>
  <c r="X72" i="91"/>
  <c r="Z72" i="91" s="1"/>
  <c r="N72" i="91"/>
  <c r="L72" i="91"/>
  <c r="B72" i="91"/>
  <c r="T71" i="91"/>
  <c r="P71" i="91"/>
  <c r="H71" i="91"/>
  <c r="D71" i="91"/>
  <c r="L71" i="91" s="1"/>
  <c r="B71" i="91"/>
  <c r="Z70" i="91"/>
  <c r="X70" i="91"/>
  <c r="N70" i="91"/>
  <c r="L70" i="91"/>
  <c r="B70" i="91"/>
  <c r="Z69" i="91"/>
  <c r="X69" i="91"/>
  <c r="N69" i="91"/>
  <c r="L69" i="91"/>
  <c r="B69" i="91"/>
  <c r="Z68" i="91"/>
  <c r="X68" i="91"/>
  <c r="N68" i="91"/>
  <c r="L68" i="91"/>
  <c r="B68" i="91"/>
  <c r="Z67" i="91"/>
  <c r="X67" i="91"/>
  <c r="N67" i="91"/>
  <c r="L67" i="91"/>
  <c r="B67" i="91"/>
  <c r="Z66" i="91"/>
  <c r="X66" i="91"/>
  <c r="N66" i="91"/>
  <c r="L66" i="91"/>
  <c r="B66" i="91"/>
  <c r="Z65" i="91"/>
  <c r="X65" i="91"/>
  <c r="N65" i="91"/>
  <c r="L65" i="91"/>
  <c r="B65" i="91"/>
  <c r="Z64" i="91"/>
  <c r="X64" i="91"/>
  <c r="N64" i="91"/>
  <c r="L64" i="91"/>
  <c r="J64" i="91"/>
  <c r="B64" i="91"/>
  <c r="Z63" i="91"/>
  <c r="X63" i="91"/>
  <c r="V63" i="91"/>
  <c r="T63" i="91"/>
  <c r="P63" i="91"/>
  <c r="H63" i="91"/>
  <c r="N63" i="91" s="1"/>
  <c r="D63" i="91"/>
  <c r="L63" i="91" s="1"/>
  <c r="B63" i="91"/>
  <c r="Z62" i="91"/>
  <c r="X62" i="91"/>
  <c r="V62" i="91"/>
  <c r="N62" i="91"/>
  <c r="L62" i="91"/>
  <c r="B62" i="91"/>
  <c r="X61" i="91"/>
  <c r="Z61" i="91" s="1"/>
  <c r="V61" i="91"/>
  <c r="L61" i="91"/>
  <c r="N61" i="91" s="1"/>
  <c r="J61" i="91"/>
  <c r="B61" i="91"/>
  <c r="Z60" i="91"/>
  <c r="X60" i="91"/>
  <c r="N60" i="91"/>
  <c r="L60" i="91"/>
  <c r="B60" i="91"/>
  <c r="Z59" i="91"/>
  <c r="X59" i="91"/>
  <c r="N59" i="91"/>
  <c r="L59" i="91"/>
  <c r="B59" i="91"/>
  <c r="V58" i="91"/>
  <c r="T58" i="91"/>
  <c r="P58" i="91"/>
  <c r="H58" i="91"/>
  <c r="D58" i="91"/>
  <c r="L58" i="91" s="1"/>
  <c r="N58" i="91" s="1"/>
  <c r="B58" i="91"/>
  <c r="Z57" i="91"/>
  <c r="X57" i="91"/>
  <c r="V57" i="91"/>
  <c r="N57" i="91"/>
  <c r="L57" i="91"/>
  <c r="B57" i="91"/>
  <c r="Z56" i="91"/>
  <c r="X56" i="91"/>
  <c r="V56" i="91"/>
  <c r="N56" i="91"/>
  <c r="L56" i="91"/>
  <c r="B56" i="91"/>
  <c r="T55" i="91"/>
  <c r="Z55" i="91" s="1"/>
  <c r="P55" i="91"/>
  <c r="X55" i="91" s="1"/>
  <c r="N55" i="91"/>
  <c r="L55" i="91"/>
  <c r="J55" i="91"/>
  <c r="H55" i="91"/>
  <c r="D55" i="91"/>
  <c r="B55" i="91"/>
  <c r="X54" i="91"/>
  <c r="Z54" i="91" s="1"/>
  <c r="N54" i="91"/>
  <c r="L54" i="91"/>
  <c r="B54" i="91"/>
  <c r="X53" i="91"/>
  <c r="Z53" i="91" s="1"/>
  <c r="T53" i="91"/>
  <c r="P53" i="91"/>
  <c r="H53" i="91"/>
  <c r="L53" i="91" s="1"/>
  <c r="N53" i="91" s="1"/>
  <c r="D53" i="91"/>
  <c r="B53" i="91"/>
  <c r="Z52" i="91"/>
  <c r="X52" i="91"/>
  <c r="N52" i="91"/>
  <c r="L52" i="91"/>
  <c r="B52" i="91"/>
  <c r="Z51" i="91"/>
  <c r="T51" i="91"/>
  <c r="P51" i="91"/>
  <c r="X51" i="91" s="1"/>
  <c r="J51" i="91"/>
  <c r="H51" i="91"/>
  <c r="N51" i="91" s="1"/>
  <c r="D51" i="91"/>
  <c r="L51" i="91" s="1"/>
  <c r="B51" i="91"/>
  <c r="Z50" i="91"/>
  <c r="X50" i="91"/>
  <c r="V50" i="91"/>
  <c r="N50" i="91"/>
  <c r="L50" i="91"/>
  <c r="B50" i="91"/>
  <c r="Z49" i="91"/>
  <c r="X49" i="91"/>
  <c r="V49" i="91"/>
  <c r="T49" i="91"/>
  <c r="P49" i="91"/>
  <c r="H49" i="91"/>
  <c r="N49" i="91" s="1"/>
  <c r="D49" i="91"/>
  <c r="L49" i="91" s="1"/>
  <c r="B49" i="91"/>
  <c r="Z48" i="91"/>
  <c r="X48" i="91"/>
  <c r="N48" i="91"/>
  <c r="L48" i="91"/>
  <c r="B48" i="91"/>
  <c r="Z47" i="91"/>
  <c r="T47" i="91"/>
  <c r="X47" i="91" s="1"/>
  <c r="R47" i="91"/>
  <c r="P47" i="91"/>
  <c r="N47" i="91"/>
  <c r="L47" i="91"/>
  <c r="H47" i="91"/>
  <c r="D47" i="91"/>
  <c r="B47" i="91"/>
  <c r="Z46" i="91"/>
  <c r="X46" i="91"/>
  <c r="V46" i="91"/>
  <c r="R46" i="91"/>
  <c r="L46" i="91"/>
  <c r="N46" i="91" s="1"/>
  <c r="B46" i="91"/>
  <c r="Z45" i="91"/>
  <c r="X45" i="91"/>
  <c r="V45" i="91"/>
  <c r="N45" i="91"/>
  <c r="L45" i="91"/>
  <c r="J45" i="91"/>
  <c r="B45" i="91"/>
  <c r="T44" i="91"/>
  <c r="P44" i="91"/>
  <c r="X44" i="91" s="1"/>
  <c r="Z44" i="91" s="1"/>
  <c r="H44" i="91"/>
  <c r="D44" i="91"/>
  <c r="L44" i="91" s="1"/>
  <c r="B44" i="91"/>
  <c r="Z43" i="91"/>
  <c r="X43" i="91"/>
  <c r="V43" i="91"/>
  <c r="N43" i="91"/>
  <c r="L43" i="91"/>
  <c r="B43" i="91"/>
  <c r="V42" i="91"/>
  <c r="T42" i="91"/>
  <c r="Z42" i="91" s="1"/>
  <c r="P42" i="91"/>
  <c r="X42" i="91" s="1"/>
  <c r="L42" i="91"/>
  <c r="H42" i="91"/>
  <c r="N42" i="91" s="1"/>
  <c r="D42" i="91"/>
  <c r="B42" i="91"/>
  <c r="Z41" i="91"/>
  <c r="X41" i="91"/>
  <c r="N41" i="91"/>
  <c r="L41" i="91"/>
  <c r="J41" i="91"/>
  <c r="B41" i="91"/>
  <c r="Z40" i="91"/>
  <c r="X40" i="91"/>
  <c r="T40" i="91"/>
  <c r="P40" i="91"/>
  <c r="H40" i="91"/>
  <c r="D40" i="91"/>
  <c r="B40" i="91"/>
  <c r="Z39" i="91"/>
  <c r="X39" i="91"/>
  <c r="V39" i="91"/>
  <c r="N39" i="91"/>
  <c r="L39" i="91"/>
  <c r="B39" i="91"/>
  <c r="Z38" i="91"/>
  <c r="X38" i="91"/>
  <c r="V38" i="91"/>
  <c r="R38" i="91"/>
  <c r="N38" i="91"/>
  <c r="L38" i="91"/>
  <c r="B38" i="91"/>
  <c r="Z37" i="91"/>
  <c r="X37" i="91"/>
  <c r="V37" i="91"/>
  <c r="N37" i="91"/>
  <c r="L37" i="91"/>
  <c r="J37" i="91"/>
  <c r="B37" i="91"/>
  <c r="Z36" i="91"/>
  <c r="X36" i="91"/>
  <c r="N36" i="91"/>
  <c r="L36" i="91"/>
  <c r="B36" i="91"/>
  <c r="Z35" i="91"/>
  <c r="X35" i="91"/>
  <c r="V35" i="91"/>
  <c r="N35" i="91"/>
  <c r="L35" i="91"/>
  <c r="B35" i="91"/>
  <c r="Z34" i="91"/>
  <c r="X34" i="91"/>
  <c r="V34" i="91"/>
  <c r="N34" i="91"/>
  <c r="L34" i="91"/>
  <c r="B34" i="91"/>
  <c r="Z33" i="91"/>
  <c r="X33" i="91"/>
  <c r="V33" i="91"/>
  <c r="N33" i="91"/>
  <c r="L33" i="91"/>
  <c r="J33" i="91"/>
  <c r="B33" i="91"/>
  <c r="Z32" i="91"/>
  <c r="X32" i="91"/>
  <c r="N32" i="91"/>
  <c r="L32" i="91"/>
  <c r="B32" i="91"/>
  <c r="Z31" i="91"/>
  <c r="X31" i="91"/>
  <c r="V31" i="91"/>
  <c r="N31" i="91"/>
  <c r="L31" i="91"/>
  <c r="B31" i="91"/>
  <c r="Z30" i="91"/>
  <c r="X30" i="91"/>
  <c r="V30" i="91"/>
  <c r="R30" i="91"/>
  <c r="N30" i="91"/>
  <c r="L30" i="91"/>
  <c r="B30" i="91"/>
  <c r="V29" i="91"/>
  <c r="T29" i="91"/>
  <c r="Z29" i="91" s="1"/>
  <c r="P29" i="91"/>
  <c r="X29" i="91" s="1"/>
  <c r="N29" i="91"/>
  <c r="H29" i="91"/>
  <c r="D29" i="91"/>
  <c r="L29" i="91" s="1"/>
  <c r="B29" i="91"/>
  <c r="X28" i="91"/>
  <c r="Z28" i="91" s="1"/>
  <c r="V28" i="91"/>
  <c r="L28" i="91"/>
  <c r="N28" i="91" s="1"/>
  <c r="B28" i="91"/>
  <c r="Z27" i="91"/>
  <c r="X27" i="91"/>
  <c r="V27" i="91"/>
  <c r="N27" i="91"/>
  <c r="L27" i="91"/>
  <c r="B27" i="91"/>
  <c r="Z26" i="91"/>
  <c r="X26" i="91"/>
  <c r="V26" i="91"/>
  <c r="N26" i="91"/>
  <c r="L26" i="91"/>
  <c r="B26" i="91"/>
  <c r="Z25" i="91"/>
  <c r="X25" i="91"/>
  <c r="V25" i="91"/>
  <c r="N25" i="91"/>
  <c r="L25" i="91"/>
  <c r="B25" i="91"/>
  <c r="Z24" i="91"/>
  <c r="X24" i="91"/>
  <c r="V24" i="91"/>
  <c r="N24" i="91"/>
  <c r="L24" i="91"/>
  <c r="B24" i="91"/>
  <c r="Z23" i="91"/>
  <c r="X23" i="91"/>
  <c r="V23" i="91"/>
  <c r="N23" i="91"/>
  <c r="L23" i="91"/>
  <c r="B23" i="91"/>
  <c r="X22" i="91"/>
  <c r="Z22" i="91" s="1"/>
  <c r="V22" i="91"/>
  <c r="L22" i="91"/>
  <c r="N22" i="91" s="1"/>
  <c r="F22" i="91"/>
  <c r="B22" i="91"/>
  <c r="Z21" i="91"/>
  <c r="X21" i="91"/>
  <c r="V21" i="91"/>
  <c r="N21" i="91"/>
  <c r="L21" i="91"/>
  <c r="B21" i="91"/>
  <c r="Z20" i="91"/>
  <c r="X20" i="91"/>
  <c r="V20" i="91"/>
  <c r="N20" i="91"/>
  <c r="L20" i="91"/>
  <c r="B20" i="91"/>
  <c r="V19" i="91"/>
  <c r="T19" i="91"/>
  <c r="R19" i="91"/>
  <c r="P19" i="91"/>
  <c r="X19" i="91" s="1"/>
  <c r="L19" i="91"/>
  <c r="N19" i="91" s="1"/>
  <c r="J19" i="91"/>
  <c r="H19" i="91"/>
  <c r="D19" i="91"/>
  <c r="B19" i="91"/>
  <c r="T18" i="91"/>
  <c r="P18" i="91"/>
  <c r="H18" i="91"/>
  <c r="D18" i="91"/>
  <c r="T14" i="91"/>
  <c r="Z14" i="91" s="1"/>
  <c r="P14" i="91"/>
  <c r="N14" i="91"/>
  <c r="L14" i="91"/>
  <c r="H14" i="91"/>
  <c r="D14" i="91"/>
  <c r="T12" i="91"/>
  <c r="V84" i="91" s="1"/>
  <c r="P12" i="91"/>
  <c r="H12" i="91"/>
  <c r="J71" i="91" s="1"/>
  <c r="D12" i="91"/>
  <c r="D6" i="91"/>
  <c r="D4" i="91"/>
  <c r="J39" i="88"/>
  <c r="J36" i="88"/>
  <c r="Z34" i="88"/>
  <c r="X34" i="88"/>
  <c r="N34" i="88"/>
  <c r="L34" i="88"/>
  <c r="J34" i="88"/>
  <c r="R32" i="88"/>
  <c r="X30" i="88"/>
  <c r="T30" i="88"/>
  <c r="Z30" i="88" s="1"/>
  <c r="R30" i="88"/>
  <c r="P30" i="88"/>
  <c r="H30" i="88"/>
  <c r="N30" i="88" s="1"/>
  <c r="D30" i="88"/>
  <c r="Z28" i="88"/>
  <c r="X28" i="88"/>
  <c r="R28" i="88"/>
  <c r="N28" i="88"/>
  <c r="L28" i="88"/>
  <c r="B28" i="88"/>
  <c r="Z27" i="88"/>
  <c r="T27" i="88"/>
  <c r="X27" i="88" s="1"/>
  <c r="R27" i="88"/>
  <c r="P27" i="88"/>
  <c r="N27" i="88"/>
  <c r="L27" i="88"/>
  <c r="H27" i="88"/>
  <c r="D27" i="88"/>
  <c r="B27" i="88"/>
  <c r="Z26" i="88"/>
  <c r="X26" i="88"/>
  <c r="V26" i="88"/>
  <c r="R26" i="88"/>
  <c r="N26" i="88"/>
  <c r="L26" i="88"/>
  <c r="J26" i="88"/>
  <c r="B26" i="88"/>
  <c r="V25" i="88"/>
  <c r="T25" i="88"/>
  <c r="Z25" i="88" s="1"/>
  <c r="R25" i="88"/>
  <c r="P25" i="88"/>
  <c r="X25" i="88" s="1"/>
  <c r="N25" i="88"/>
  <c r="J25" i="88"/>
  <c r="H25" i="88"/>
  <c r="D25" i="88"/>
  <c r="L25" i="88" s="1"/>
  <c r="B25" i="88"/>
  <c r="Z24" i="88"/>
  <c r="X24" i="88"/>
  <c r="R24" i="88"/>
  <c r="N24" i="88"/>
  <c r="L24" i="88"/>
  <c r="B24" i="88"/>
  <c r="Z23" i="88"/>
  <c r="T23" i="88"/>
  <c r="R23" i="88"/>
  <c r="P23" i="88"/>
  <c r="X23" i="88" s="1"/>
  <c r="N23" i="88"/>
  <c r="L23" i="88"/>
  <c r="J23" i="88"/>
  <c r="H23" i="88"/>
  <c r="D23" i="88"/>
  <c r="B23" i="88"/>
  <c r="X22" i="88"/>
  <c r="Z22" i="88" s="1"/>
  <c r="R22" i="88"/>
  <c r="N22" i="88"/>
  <c r="L22" i="88"/>
  <c r="J22" i="88"/>
  <c r="B22" i="88"/>
  <c r="Z21" i="88"/>
  <c r="X21" i="88"/>
  <c r="T21" i="88"/>
  <c r="R21" i="88"/>
  <c r="P21" i="88"/>
  <c r="N21" i="88"/>
  <c r="J21" i="88"/>
  <c r="H21" i="88"/>
  <c r="L21" i="88" s="1"/>
  <c r="D21" i="88"/>
  <c r="B21" i="88"/>
  <c r="Z20" i="88"/>
  <c r="X20" i="88"/>
  <c r="R20" i="88"/>
  <c r="N20" i="88"/>
  <c r="L20" i="88"/>
  <c r="J20" i="88"/>
  <c r="B20" i="88"/>
  <c r="Z19" i="88"/>
  <c r="V19" i="88"/>
  <c r="T19" i="88"/>
  <c r="P19" i="88"/>
  <c r="X19" i="88" s="1"/>
  <c r="J19" i="88"/>
  <c r="H19" i="88"/>
  <c r="N19" i="88" s="1"/>
  <c r="D19" i="88"/>
  <c r="L19" i="88" s="1"/>
  <c r="B19" i="88"/>
  <c r="T18" i="88"/>
  <c r="P18" i="88"/>
  <c r="X18" i="88" s="1"/>
  <c r="J18" i="88"/>
  <c r="H18" i="88"/>
  <c r="D18" i="88"/>
  <c r="J16" i="88"/>
  <c r="D16" i="88"/>
  <c r="X14" i="88"/>
  <c r="T14" i="88"/>
  <c r="Z14" i="88" s="1"/>
  <c r="P14" i="88"/>
  <c r="P16" i="88" s="1"/>
  <c r="L14" i="88"/>
  <c r="J14" i="88"/>
  <c r="H14" i="88"/>
  <c r="N14" i="88" s="1"/>
  <c r="F14" i="88"/>
  <c r="D14" i="88"/>
  <c r="X12" i="88"/>
  <c r="T12" i="88"/>
  <c r="V32" i="88" s="1"/>
  <c r="P12" i="88"/>
  <c r="R19" i="88" s="1"/>
  <c r="H12" i="88"/>
  <c r="J24" i="88" s="1"/>
  <c r="D12" i="88"/>
  <c r="D6" i="88"/>
  <c r="D4" i="88"/>
  <c r="Z88" i="87"/>
  <c r="X88" i="87"/>
  <c r="N88" i="87"/>
  <c r="L88" i="87"/>
  <c r="T84" i="87"/>
  <c r="Z84" i="87" s="1"/>
  <c r="P84" i="87"/>
  <c r="X84" i="87" s="1"/>
  <c r="L84" i="87"/>
  <c r="H84" i="87"/>
  <c r="N84" i="87" s="1"/>
  <c r="D84" i="87"/>
  <c r="Z82" i="87"/>
  <c r="X82" i="87"/>
  <c r="N82" i="87"/>
  <c r="L82" i="87"/>
  <c r="B82" i="87"/>
  <c r="Z81" i="87"/>
  <c r="T81" i="87"/>
  <c r="P81" i="87"/>
  <c r="X81" i="87" s="1"/>
  <c r="N81" i="87"/>
  <c r="L81" i="87"/>
  <c r="H81" i="87"/>
  <c r="D81" i="87"/>
  <c r="B81" i="87"/>
  <c r="Z80" i="87"/>
  <c r="X80" i="87"/>
  <c r="N80" i="87"/>
  <c r="L80" i="87"/>
  <c r="B80" i="87"/>
  <c r="Z79" i="87"/>
  <c r="X79" i="87"/>
  <c r="T79" i="87"/>
  <c r="P79" i="87"/>
  <c r="H79" i="87"/>
  <c r="L79" i="87" s="1"/>
  <c r="D79" i="87"/>
  <c r="B79" i="87"/>
  <c r="Z78" i="87"/>
  <c r="X78" i="87"/>
  <c r="N78" i="87"/>
  <c r="L78" i="87"/>
  <c r="B78" i="87"/>
  <c r="Z77" i="87"/>
  <c r="T77" i="87"/>
  <c r="P77" i="87"/>
  <c r="X77" i="87" s="1"/>
  <c r="H77" i="87"/>
  <c r="N77" i="87" s="1"/>
  <c r="D77" i="87"/>
  <c r="L77" i="87" s="1"/>
  <c r="B77" i="87"/>
  <c r="Z76" i="87"/>
  <c r="X76" i="87"/>
  <c r="N76" i="87"/>
  <c r="L76" i="87"/>
  <c r="B76" i="87"/>
  <c r="Z75" i="87"/>
  <c r="X75" i="87"/>
  <c r="N75" i="87"/>
  <c r="L75" i="87"/>
  <c r="B75" i="87"/>
  <c r="Z74" i="87"/>
  <c r="X74" i="87"/>
  <c r="N74" i="87"/>
  <c r="L74" i="87"/>
  <c r="B74" i="87"/>
  <c r="Z73" i="87"/>
  <c r="X73" i="87"/>
  <c r="N73" i="87"/>
  <c r="L73" i="87"/>
  <c r="B73" i="87"/>
  <c r="Z72" i="87"/>
  <c r="X72" i="87"/>
  <c r="N72" i="87"/>
  <c r="L72" i="87"/>
  <c r="B72" i="87"/>
  <c r="Z71" i="87"/>
  <c r="X71" i="87"/>
  <c r="V71" i="87"/>
  <c r="N71" i="87"/>
  <c r="L71" i="87"/>
  <c r="B71" i="87"/>
  <c r="Z70" i="87"/>
  <c r="X70" i="87"/>
  <c r="N70" i="87"/>
  <c r="L70" i="87"/>
  <c r="B70" i="87"/>
  <c r="Z69" i="87"/>
  <c r="X69" i="87"/>
  <c r="N69" i="87"/>
  <c r="L69" i="87"/>
  <c r="B69" i="87"/>
  <c r="Z68" i="87"/>
  <c r="X68" i="87"/>
  <c r="N68" i="87"/>
  <c r="L68" i="87"/>
  <c r="B68" i="87"/>
  <c r="Z67" i="87"/>
  <c r="X67" i="87"/>
  <c r="T67" i="87"/>
  <c r="P67" i="87"/>
  <c r="N67" i="87"/>
  <c r="H67" i="87"/>
  <c r="D67" i="87"/>
  <c r="L67" i="87" s="1"/>
  <c r="B67" i="87"/>
  <c r="Z66" i="87"/>
  <c r="X66" i="87"/>
  <c r="N66" i="87"/>
  <c r="L66" i="87"/>
  <c r="B66" i="87"/>
  <c r="Z65" i="87"/>
  <c r="X65" i="87"/>
  <c r="T65" i="87"/>
  <c r="P65" i="87"/>
  <c r="N65" i="87"/>
  <c r="L65" i="87"/>
  <c r="H65" i="87"/>
  <c r="D65" i="87"/>
  <c r="B65" i="87"/>
  <c r="Z64" i="87"/>
  <c r="X64" i="87"/>
  <c r="N64" i="87"/>
  <c r="L64" i="87"/>
  <c r="J64" i="87"/>
  <c r="B64" i="87"/>
  <c r="Z63" i="87"/>
  <c r="X63" i="87"/>
  <c r="N63" i="87"/>
  <c r="L63" i="87"/>
  <c r="B63" i="87"/>
  <c r="Z62" i="87"/>
  <c r="X62" i="87"/>
  <c r="N62" i="87"/>
  <c r="L62" i="87"/>
  <c r="B62" i="87"/>
  <c r="Z61" i="87"/>
  <c r="X61" i="87"/>
  <c r="N61" i="87"/>
  <c r="L61" i="87"/>
  <c r="J61" i="87"/>
  <c r="B61" i="87"/>
  <c r="Z60" i="87"/>
  <c r="T60" i="87"/>
  <c r="P60" i="87"/>
  <c r="X60" i="87" s="1"/>
  <c r="N60" i="87"/>
  <c r="H60" i="87"/>
  <c r="D60" i="87"/>
  <c r="L60" i="87" s="1"/>
  <c r="B60" i="87"/>
  <c r="Z59" i="87"/>
  <c r="X59" i="87"/>
  <c r="N59" i="87"/>
  <c r="L59" i="87"/>
  <c r="B59" i="87"/>
  <c r="T58" i="87"/>
  <c r="Z58" i="87" s="1"/>
  <c r="P58" i="87"/>
  <c r="X58" i="87" s="1"/>
  <c r="H58" i="87"/>
  <c r="N58" i="87" s="1"/>
  <c r="D58" i="87"/>
  <c r="L58" i="87" s="1"/>
  <c r="B58" i="87"/>
  <c r="Z57" i="87"/>
  <c r="X57" i="87"/>
  <c r="N57" i="87"/>
  <c r="L57" i="87"/>
  <c r="B57" i="87"/>
  <c r="Z56" i="87"/>
  <c r="X56" i="87"/>
  <c r="N56" i="87"/>
  <c r="L56" i="87"/>
  <c r="B56" i="87"/>
  <c r="Z55" i="87"/>
  <c r="X55" i="87"/>
  <c r="T55" i="87"/>
  <c r="P55" i="87"/>
  <c r="N55" i="87"/>
  <c r="L55" i="87"/>
  <c r="H55" i="87"/>
  <c r="D55" i="87"/>
  <c r="B55" i="87"/>
  <c r="Z54" i="87"/>
  <c r="X54" i="87"/>
  <c r="L54" i="87"/>
  <c r="N54" i="87" s="1"/>
  <c r="J54" i="87"/>
  <c r="B54" i="87"/>
  <c r="Z53" i="87"/>
  <c r="T53" i="87"/>
  <c r="X53" i="87" s="1"/>
  <c r="P53" i="87"/>
  <c r="H53" i="87"/>
  <c r="D53" i="87"/>
  <c r="B53" i="87"/>
  <c r="Z52" i="87"/>
  <c r="X52" i="87"/>
  <c r="N52" i="87"/>
  <c r="L52" i="87"/>
  <c r="B52" i="87"/>
  <c r="Z51" i="87"/>
  <c r="T51" i="87"/>
  <c r="P51" i="87"/>
  <c r="X51" i="87" s="1"/>
  <c r="N51" i="87"/>
  <c r="H51" i="87"/>
  <c r="D51" i="87"/>
  <c r="L51" i="87" s="1"/>
  <c r="B51" i="87"/>
  <c r="X50" i="87"/>
  <c r="Z50" i="87" s="1"/>
  <c r="N50" i="87"/>
  <c r="L50" i="87"/>
  <c r="B50" i="87"/>
  <c r="T49" i="87"/>
  <c r="P49" i="87"/>
  <c r="L49" i="87"/>
  <c r="N49" i="87" s="1"/>
  <c r="H49" i="87"/>
  <c r="F49" i="87"/>
  <c r="D49" i="87"/>
  <c r="B49" i="87"/>
  <c r="X48" i="87"/>
  <c r="Z48" i="87" s="1"/>
  <c r="L48" i="87"/>
  <c r="N48" i="87" s="1"/>
  <c r="B48" i="87"/>
  <c r="Z47" i="87"/>
  <c r="X47" i="87"/>
  <c r="V47" i="87"/>
  <c r="N47" i="87"/>
  <c r="L47" i="87"/>
  <c r="B47" i="87"/>
  <c r="T46" i="87"/>
  <c r="P46" i="87"/>
  <c r="H46" i="87"/>
  <c r="D46" i="87"/>
  <c r="L46" i="87" s="1"/>
  <c r="B46" i="87"/>
  <c r="Z45" i="87"/>
  <c r="X45" i="87"/>
  <c r="N45" i="87"/>
  <c r="L45" i="87"/>
  <c r="B45" i="87"/>
  <c r="V44" i="87"/>
  <c r="T44" i="87"/>
  <c r="Z44" i="87" s="1"/>
  <c r="P44" i="87"/>
  <c r="X44" i="87" s="1"/>
  <c r="H44" i="87"/>
  <c r="N44" i="87" s="1"/>
  <c r="D44" i="87"/>
  <c r="L44" i="87" s="1"/>
  <c r="B44" i="87"/>
  <c r="Z43" i="87"/>
  <c r="X43" i="87"/>
  <c r="N43" i="87"/>
  <c r="L43" i="87"/>
  <c r="B43" i="87"/>
  <c r="T42" i="87"/>
  <c r="Z42" i="87" s="1"/>
  <c r="P42" i="87"/>
  <c r="H42" i="87"/>
  <c r="N42" i="87" s="1"/>
  <c r="D42" i="87"/>
  <c r="L42" i="87" s="1"/>
  <c r="B42" i="87"/>
  <c r="Z41" i="87"/>
  <c r="X41" i="87"/>
  <c r="N41" i="87"/>
  <c r="L41" i="87"/>
  <c r="B41" i="87"/>
  <c r="Z40" i="87"/>
  <c r="X40" i="87"/>
  <c r="V40" i="87"/>
  <c r="N40" i="87"/>
  <c r="L40" i="87"/>
  <c r="B40" i="87"/>
  <c r="Z39" i="87"/>
  <c r="X39" i="87"/>
  <c r="N39" i="87"/>
  <c r="L39" i="87"/>
  <c r="B39" i="87"/>
  <c r="Z38" i="87"/>
  <c r="X38" i="87"/>
  <c r="N38" i="87"/>
  <c r="L38" i="87"/>
  <c r="B38" i="87"/>
  <c r="Z37" i="87"/>
  <c r="X37" i="87"/>
  <c r="N37" i="87"/>
  <c r="L37" i="87"/>
  <c r="B37" i="87"/>
  <c r="Z36" i="87"/>
  <c r="X36" i="87"/>
  <c r="N36" i="87"/>
  <c r="L36" i="87"/>
  <c r="J36" i="87"/>
  <c r="B36" i="87"/>
  <c r="Z35" i="87"/>
  <c r="X35" i="87"/>
  <c r="N35" i="87"/>
  <c r="L35" i="87"/>
  <c r="B35" i="87"/>
  <c r="Z34" i="87"/>
  <c r="X34" i="87"/>
  <c r="N34" i="87"/>
  <c r="L34" i="87"/>
  <c r="J34" i="87"/>
  <c r="B34" i="87"/>
  <c r="Z33" i="87"/>
  <c r="X33" i="87"/>
  <c r="V33" i="87"/>
  <c r="N33" i="87"/>
  <c r="L33" i="87"/>
  <c r="B33" i="87"/>
  <c r="Z32" i="87"/>
  <c r="X32" i="87"/>
  <c r="N32" i="87"/>
  <c r="L32" i="87"/>
  <c r="J32" i="87"/>
  <c r="B32" i="87"/>
  <c r="T31" i="87"/>
  <c r="Z31" i="87" s="1"/>
  <c r="P31" i="87"/>
  <c r="X31" i="87" s="1"/>
  <c r="J31" i="87"/>
  <c r="H31" i="87"/>
  <c r="N31" i="87" s="1"/>
  <c r="D31" i="87"/>
  <c r="L31" i="87" s="1"/>
  <c r="B31" i="87"/>
  <c r="Z30" i="87"/>
  <c r="X30" i="87"/>
  <c r="N30" i="87"/>
  <c r="L30" i="87"/>
  <c r="F30" i="87"/>
  <c r="B30" i="87"/>
  <c r="Z29" i="87"/>
  <c r="X29" i="87"/>
  <c r="N29" i="87"/>
  <c r="L29" i="87"/>
  <c r="B29" i="87"/>
  <c r="Z28" i="87"/>
  <c r="X28" i="87"/>
  <c r="N28" i="87"/>
  <c r="L28" i="87"/>
  <c r="B28" i="87"/>
  <c r="Z27" i="87"/>
  <c r="X27" i="87"/>
  <c r="N27" i="87"/>
  <c r="L27" i="87"/>
  <c r="J27" i="87"/>
  <c r="B27" i="87"/>
  <c r="Z26" i="87"/>
  <c r="X26" i="87"/>
  <c r="N26" i="87"/>
  <c r="L26" i="87"/>
  <c r="F26" i="87"/>
  <c r="B26" i="87"/>
  <c r="Z25" i="87"/>
  <c r="X25" i="87"/>
  <c r="N25" i="87"/>
  <c r="L25" i="87"/>
  <c r="B25" i="87"/>
  <c r="Z24" i="87"/>
  <c r="X24" i="87"/>
  <c r="N24" i="87"/>
  <c r="L24" i="87"/>
  <c r="B24" i="87"/>
  <c r="Z23" i="87"/>
  <c r="X23" i="87"/>
  <c r="N23" i="87"/>
  <c r="L23" i="87"/>
  <c r="J23" i="87"/>
  <c r="B23" i="87"/>
  <c r="Z22" i="87"/>
  <c r="T22" i="87"/>
  <c r="P22" i="87"/>
  <c r="X22" i="87" s="1"/>
  <c r="L22" i="87"/>
  <c r="J22" i="87"/>
  <c r="H22" i="87"/>
  <c r="N22" i="87" s="1"/>
  <c r="D22" i="87"/>
  <c r="B22" i="87"/>
  <c r="T21" i="87"/>
  <c r="P21" i="87"/>
  <c r="X21" i="87" s="1"/>
  <c r="J21" i="87"/>
  <c r="H21" i="87"/>
  <c r="D21" i="87"/>
  <c r="J19" i="87"/>
  <c r="Z17" i="87"/>
  <c r="X17" i="87"/>
  <c r="N17" i="87"/>
  <c r="L17" i="87"/>
  <c r="J17" i="87"/>
  <c r="B17" i="87"/>
  <c r="Z16" i="87"/>
  <c r="T16" i="87"/>
  <c r="X16" i="87" s="1"/>
  <c r="P16" i="87"/>
  <c r="H16" i="87"/>
  <c r="D16" i="87"/>
  <c r="Z14" i="87"/>
  <c r="X14" i="87"/>
  <c r="P14" i="87"/>
  <c r="N14" i="87"/>
  <c r="L14" i="87"/>
  <c r="D14" i="87"/>
  <c r="B14" i="87"/>
  <c r="Z13" i="87"/>
  <c r="P13" i="87"/>
  <c r="N13" i="87"/>
  <c r="D13" i="87"/>
  <c r="L13" i="87" s="1"/>
  <c r="B13" i="87"/>
  <c r="T12" i="87"/>
  <c r="V77" i="87" s="1"/>
  <c r="N12" i="87"/>
  <c r="H12" i="87"/>
  <c r="J43" i="87" s="1"/>
  <c r="D12" i="87"/>
  <c r="D6" i="87"/>
  <c r="D4" i="87"/>
  <c r="Z30" i="85"/>
  <c r="X30" i="85"/>
  <c r="R30" i="85"/>
  <c r="L30" i="85"/>
  <c r="N30" i="85" s="1"/>
  <c r="J30" i="85"/>
  <c r="Z26" i="85"/>
  <c r="V26" i="85"/>
  <c r="T26" i="85"/>
  <c r="P26" i="85"/>
  <c r="X26" i="85" s="1"/>
  <c r="L26" i="85"/>
  <c r="H26" i="85"/>
  <c r="N26" i="85" s="1"/>
  <c r="D26" i="85"/>
  <c r="X24" i="85"/>
  <c r="Z24" i="85" s="1"/>
  <c r="V24" i="85"/>
  <c r="N24" i="85"/>
  <c r="L24" i="85"/>
  <c r="B24" i="85"/>
  <c r="T23" i="85"/>
  <c r="P23" i="85"/>
  <c r="X23" i="85" s="1"/>
  <c r="Z23" i="85" s="1"/>
  <c r="J23" i="85"/>
  <c r="H23" i="85"/>
  <c r="N23" i="85" s="1"/>
  <c r="D23" i="85"/>
  <c r="L23" i="85" s="1"/>
  <c r="B23" i="85"/>
  <c r="T22" i="85"/>
  <c r="X22" i="85" s="1"/>
  <c r="Z22" i="85" s="1"/>
  <c r="R22" i="85"/>
  <c r="P22" i="85"/>
  <c r="H22" i="85"/>
  <c r="D22" i="85"/>
  <c r="H20" i="85"/>
  <c r="Z18" i="85"/>
  <c r="X18" i="85"/>
  <c r="N18" i="85"/>
  <c r="L18" i="85"/>
  <c r="J18" i="85"/>
  <c r="B18" i="85"/>
  <c r="Z17" i="85"/>
  <c r="X17" i="85"/>
  <c r="N17" i="85"/>
  <c r="L17" i="85"/>
  <c r="J17" i="85"/>
  <c r="B17" i="85"/>
  <c r="T16" i="85"/>
  <c r="P16" i="85"/>
  <c r="N16" i="85"/>
  <c r="L16" i="85"/>
  <c r="H16" i="85"/>
  <c r="D16" i="85"/>
  <c r="Z14" i="85"/>
  <c r="X14" i="85"/>
  <c r="P14" i="85"/>
  <c r="N14" i="85"/>
  <c r="D14" i="85"/>
  <c r="L14" i="85" s="1"/>
  <c r="B14" i="85"/>
  <c r="P13" i="85"/>
  <c r="X13" i="85" s="1"/>
  <c r="Z13" i="85" s="1"/>
  <c r="D13" i="85"/>
  <c r="D12" i="85" s="1"/>
  <c r="B13" i="85"/>
  <c r="X12" i="85"/>
  <c r="T12" i="85"/>
  <c r="V17" i="85" s="1"/>
  <c r="P12" i="85"/>
  <c r="R17" i="85" s="1"/>
  <c r="H12" i="85"/>
  <c r="D6" i="85"/>
  <c r="D4" i="85"/>
  <c r="Z119" i="84"/>
  <c r="X119" i="84"/>
  <c r="L119" i="84"/>
  <c r="N119" i="84" s="1"/>
  <c r="T115" i="84"/>
  <c r="Z115" i="84" s="1"/>
  <c r="P115" i="84"/>
  <c r="X115" i="84" s="1"/>
  <c r="L115" i="84"/>
  <c r="H115" i="84"/>
  <c r="N115" i="84" s="1"/>
  <c r="D115" i="84"/>
  <c r="X113" i="84"/>
  <c r="Z113" i="84" s="1"/>
  <c r="N113" i="84"/>
  <c r="L113" i="84"/>
  <c r="B113" i="84"/>
  <c r="T112" i="84"/>
  <c r="P112" i="84"/>
  <c r="X112" i="84" s="1"/>
  <c r="Z112" i="84" s="1"/>
  <c r="H112" i="84"/>
  <c r="D112" i="84"/>
  <c r="L112" i="84" s="1"/>
  <c r="B112" i="84"/>
  <c r="Z111" i="84"/>
  <c r="X111" i="84"/>
  <c r="N111" i="84"/>
  <c r="L111" i="84"/>
  <c r="B111" i="84"/>
  <c r="Z110" i="84"/>
  <c r="X110" i="84"/>
  <c r="N110" i="84"/>
  <c r="L110" i="84"/>
  <c r="B110" i="84"/>
  <c r="T109" i="84"/>
  <c r="P109" i="84"/>
  <c r="N109" i="84"/>
  <c r="L109" i="84"/>
  <c r="H109" i="84"/>
  <c r="D109" i="84"/>
  <c r="B109" i="84"/>
  <c r="Z108" i="84"/>
  <c r="X108" i="84"/>
  <c r="V108" i="84"/>
  <c r="N108" i="84"/>
  <c r="L108" i="84"/>
  <c r="B108" i="84"/>
  <c r="Z107" i="84"/>
  <c r="T107" i="84"/>
  <c r="P107" i="84"/>
  <c r="X107" i="84" s="1"/>
  <c r="N107" i="84"/>
  <c r="L107" i="84"/>
  <c r="H107" i="84"/>
  <c r="D107" i="84"/>
  <c r="B107" i="84"/>
  <c r="Z106" i="84"/>
  <c r="X106" i="84"/>
  <c r="N106" i="84"/>
  <c r="L106" i="84"/>
  <c r="B106" i="84"/>
  <c r="X105" i="84"/>
  <c r="Z105" i="84" s="1"/>
  <c r="N105" i="84"/>
  <c r="L105" i="84"/>
  <c r="B105" i="84"/>
  <c r="T104" i="84"/>
  <c r="P104" i="84"/>
  <c r="X104" i="84" s="1"/>
  <c r="Z104" i="84" s="1"/>
  <c r="H104" i="84"/>
  <c r="D104" i="84"/>
  <c r="L104" i="84" s="1"/>
  <c r="B104" i="84"/>
  <c r="Z103" i="84"/>
  <c r="X103" i="84"/>
  <c r="N103" i="84"/>
  <c r="L103" i="84"/>
  <c r="B103" i="84"/>
  <c r="Z102" i="84"/>
  <c r="X102" i="84"/>
  <c r="N102" i="84"/>
  <c r="L102" i="84"/>
  <c r="B102" i="84"/>
  <c r="Z101" i="84"/>
  <c r="X101" i="84"/>
  <c r="L101" i="84"/>
  <c r="N101" i="84" s="1"/>
  <c r="B101" i="84"/>
  <c r="X100" i="84"/>
  <c r="Z100" i="84" s="1"/>
  <c r="N100" i="84"/>
  <c r="L100" i="84"/>
  <c r="B100" i="84"/>
  <c r="Z99" i="84"/>
  <c r="X99" i="84"/>
  <c r="N99" i="84"/>
  <c r="L99" i="84"/>
  <c r="B99" i="84"/>
  <c r="Z98" i="84"/>
  <c r="X98" i="84"/>
  <c r="N98" i="84"/>
  <c r="L98" i="84"/>
  <c r="B98" i="84"/>
  <c r="T97" i="84"/>
  <c r="P97" i="84"/>
  <c r="X97" i="84" s="1"/>
  <c r="N97" i="84"/>
  <c r="L97" i="84"/>
  <c r="H97" i="84"/>
  <c r="D97" i="84"/>
  <c r="B97" i="84"/>
  <c r="Z96" i="84"/>
  <c r="X96" i="84"/>
  <c r="V96" i="84"/>
  <c r="N96" i="84"/>
  <c r="L96" i="84"/>
  <c r="B96" i="84"/>
  <c r="Z95" i="84"/>
  <c r="X95" i="84"/>
  <c r="N95" i="84"/>
  <c r="L95" i="84"/>
  <c r="B95" i="84"/>
  <c r="T94" i="84"/>
  <c r="P94" i="84"/>
  <c r="X94" i="84" s="1"/>
  <c r="H94" i="84"/>
  <c r="N94" i="84" s="1"/>
  <c r="D94" i="84"/>
  <c r="L94" i="84" s="1"/>
  <c r="B94" i="84"/>
  <c r="X93" i="84"/>
  <c r="Z93" i="84" s="1"/>
  <c r="V93" i="84"/>
  <c r="N93" i="84"/>
  <c r="L93" i="84"/>
  <c r="B93" i="84"/>
  <c r="Z92" i="84"/>
  <c r="X92" i="84"/>
  <c r="L92" i="84"/>
  <c r="N92" i="84" s="1"/>
  <c r="B92" i="84"/>
  <c r="Z91" i="84"/>
  <c r="X91" i="84"/>
  <c r="N91" i="84"/>
  <c r="L91" i="84"/>
  <c r="B91" i="84"/>
  <c r="T90" i="84"/>
  <c r="P90" i="84"/>
  <c r="X90" i="84" s="1"/>
  <c r="H90" i="84"/>
  <c r="D90" i="84"/>
  <c r="L90" i="84" s="1"/>
  <c r="N90" i="84" s="1"/>
  <c r="B90" i="84"/>
  <c r="X89" i="84"/>
  <c r="Z89" i="84" s="1"/>
  <c r="L89" i="84"/>
  <c r="N89" i="84" s="1"/>
  <c r="B89" i="84"/>
  <c r="Z88" i="84"/>
  <c r="X88" i="84"/>
  <c r="N88" i="84"/>
  <c r="L88" i="84"/>
  <c r="B88" i="84"/>
  <c r="T87" i="84"/>
  <c r="X87" i="84" s="1"/>
  <c r="Z87" i="84" s="1"/>
  <c r="P87" i="84"/>
  <c r="H87" i="84"/>
  <c r="D87" i="84"/>
  <c r="L87" i="84" s="1"/>
  <c r="B87" i="84"/>
  <c r="Z86" i="84"/>
  <c r="X86" i="84"/>
  <c r="L86" i="84"/>
  <c r="N86" i="84" s="1"/>
  <c r="B86" i="84"/>
  <c r="X85" i="84"/>
  <c r="Z85" i="84" s="1"/>
  <c r="T85" i="84"/>
  <c r="P85" i="84"/>
  <c r="H85" i="84"/>
  <c r="D85" i="84"/>
  <c r="L85" i="84" s="1"/>
  <c r="N85" i="84" s="1"/>
  <c r="B85" i="84"/>
  <c r="Z84" i="84"/>
  <c r="X84" i="84"/>
  <c r="N84" i="84"/>
  <c r="L84" i="84"/>
  <c r="B84" i="84"/>
  <c r="X83" i="84"/>
  <c r="T83" i="84"/>
  <c r="Z83" i="84" s="1"/>
  <c r="P83" i="84"/>
  <c r="H83" i="84"/>
  <c r="N83" i="84" s="1"/>
  <c r="D83" i="84"/>
  <c r="L83" i="84" s="1"/>
  <c r="B83" i="84"/>
  <c r="Z82" i="84"/>
  <c r="X82" i="84"/>
  <c r="N82" i="84"/>
  <c r="L82" i="84"/>
  <c r="B82" i="84"/>
  <c r="T81" i="84"/>
  <c r="P81" i="84"/>
  <c r="N81" i="84"/>
  <c r="L81" i="84"/>
  <c r="H81" i="84"/>
  <c r="D81" i="84"/>
  <c r="B81" i="84"/>
  <c r="Z80" i="84"/>
  <c r="X80" i="84"/>
  <c r="V80" i="84"/>
  <c r="N80" i="84"/>
  <c r="L80" i="84"/>
  <c r="B80" i="84"/>
  <c r="T79" i="84"/>
  <c r="P79" i="84"/>
  <c r="X79" i="84" s="1"/>
  <c r="Z79" i="84" s="1"/>
  <c r="L79" i="84"/>
  <c r="N79" i="84" s="1"/>
  <c r="H79" i="84"/>
  <c r="D79" i="84"/>
  <c r="B79" i="84"/>
  <c r="X78" i="84"/>
  <c r="Z78" i="84" s="1"/>
  <c r="N78" i="84"/>
  <c r="L78" i="84"/>
  <c r="B78" i="84"/>
  <c r="X77" i="84"/>
  <c r="Z77" i="84" s="1"/>
  <c r="V77" i="84"/>
  <c r="N77" i="84"/>
  <c r="L77" i="84"/>
  <c r="B77" i="84"/>
  <c r="T76" i="84"/>
  <c r="P76" i="84"/>
  <c r="X76" i="84" s="1"/>
  <c r="Z76" i="84" s="1"/>
  <c r="H76" i="84"/>
  <c r="N76" i="84" s="1"/>
  <c r="D76" i="84"/>
  <c r="L76" i="84" s="1"/>
  <c r="B76" i="84"/>
  <c r="Z75" i="84"/>
  <c r="X75" i="84"/>
  <c r="N75" i="84"/>
  <c r="L75" i="84"/>
  <c r="B75" i="84"/>
  <c r="Z74" i="84"/>
  <c r="X74" i="84"/>
  <c r="T74" i="84"/>
  <c r="P74" i="84"/>
  <c r="L74" i="84"/>
  <c r="H74" i="84"/>
  <c r="D74" i="84"/>
  <c r="B74" i="84"/>
  <c r="Z73" i="84"/>
  <c r="X73" i="84"/>
  <c r="N73" i="84"/>
  <c r="L73" i="84"/>
  <c r="J73" i="84"/>
  <c r="B73" i="84"/>
  <c r="V72" i="84"/>
  <c r="T72" i="84"/>
  <c r="Z72" i="84" s="1"/>
  <c r="P72" i="84"/>
  <c r="X72" i="84" s="1"/>
  <c r="H72" i="84"/>
  <c r="N72" i="84" s="1"/>
  <c r="D72" i="84"/>
  <c r="L72" i="84" s="1"/>
  <c r="B72" i="84"/>
  <c r="X71" i="84"/>
  <c r="Z71" i="84" s="1"/>
  <c r="N71" i="84"/>
  <c r="L71" i="84"/>
  <c r="B71" i="84"/>
  <c r="T70" i="84"/>
  <c r="Z70" i="84" s="1"/>
  <c r="P70" i="84"/>
  <c r="X70" i="84" s="1"/>
  <c r="H70" i="84"/>
  <c r="D70" i="84"/>
  <c r="L70" i="84" s="1"/>
  <c r="N70" i="84" s="1"/>
  <c r="B70" i="84"/>
  <c r="X69" i="84"/>
  <c r="Z69" i="84" s="1"/>
  <c r="L69" i="84"/>
  <c r="N69" i="84" s="1"/>
  <c r="B69" i="84"/>
  <c r="X68" i="84"/>
  <c r="T68" i="84"/>
  <c r="P68" i="84"/>
  <c r="N68" i="84"/>
  <c r="L68" i="84"/>
  <c r="H68" i="84"/>
  <c r="D68" i="84"/>
  <c r="B68" i="84"/>
  <c r="Z67" i="84"/>
  <c r="X67" i="84"/>
  <c r="L67" i="84"/>
  <c r="N67" i="84" s="1"/>
  <c r="B67" i="84"/>
  <c r="T66" i="84"/>
  <c r="P66" i="84"/>
  <c r="J66" i="84"/>
  <c r="H66" i="84"/>
  <c r="D66" i="84"/>
  <c r="L66" i="84" s="1"/>
  <c r="B66" i="84"/>
  <c r="X65" i="84"/>
  <c r="Z65" i="84" s="1"/>
  <c r="V65" i="84"/>
  <c r="L65" i="84"/>
  <c r="N65" i="84" s="1"/>
  <c r="B65" i="84"/>
  <c r="T64" i="84"/>
  <c r="P64" i="84"/>
  <c r="X64" i="84" s="1"/>
  <c r="Z64" i="84" s="1"/>
  <c r="H64" i="84"/>
  <c r="N64" i="84" s="1"/>
  <c r="D64" i="84"/>
  <c r="L64" i="84" s="1"/>
  <c r="B64" i="84"/>
  <c r="Z63" i="84"/>
  <c r="X63" i="84"/>
  <c r="N63" i="84"/>
  <c r="L63" i="84"/>
  <c r="B63" i="84"/>
  <c r="Z62" i="84"/>
  <c r="X62" i="84"/>
  <c r="N62" i="84"/>
  <c r="L62" i="84"/>
  <c r="B62" i="84"/>
  <c r="X61" i="84"/>
  <c r="Z61" i="84" s="1"/>
  <c r="L61" i="84"/>
  <c r="N61" i="84" s="1"/>
  <c r="B61" i="84"/>
  <c r="X60" i="84"/>
  <c r="Z60" i="84" s="1"/>
  <c r="N60" i="84"/>
  <c r="L60" i="84"/>
  <c r="B60" i="84"/>
  <c r="Z59" i="84"/>
  <c r="X59" i="84"/>
  <c r="N59" i="84"/>
  <c r="L59" i="84"/>
  <c r="B59" i="84"/>
  <c r="Z58" i="84"/>
  <c r="X58" i="84"/>
  <c r="N58" i="84"/>
  <c r="L58" i="84"/>
  <c r="B58" i="84"/>
  <c r="X57" i="84"/>
  <c r="Z57" i="84" s="1"/>
  <c r="L57" i="84"/>
  <c r="N57" i="84" s="1"/>
  <c r="B57" i="84"/>
  <c r="Z56" i="84"/>
  <c r="X56" i="84"/>
  <c r="N56" i="84"/>
  <c r="L56" i="84"/>
  <c r="B56" i="84"/>
  <c r="Z55" i="84"/>
  <c r="X55" i="84"/>
  <c r="N55" i="84"/>
  <c r="L55" i="84"/>
  <c r="B55" i="84"/>
  <c r="Z54" i="84"/>
  <c r="X54" i="84"/>
  <c r="N54" i="84"/>
  <c r="L54" i="84"/>
  <c r="B54" i="84"/>
  <c r="T53" i="84"/>
  <c r="P53" i="84"/>
  <c r="N53" i="84"/>
  <c r="L53" i="84"/>
  <c r="H53" i="84"/>
  <c r="D53" i="84"/>
  <c r="B53" i="84"/>
  <c r="X52" i="84"/>
  <c r="Z52" i="84" s="1"/>
  <c r="V52" i="84"/>
  <c r="N52" i="84"/>
  <c r="L52" i="84"/>
  <c r="B52" i="84"/>
  <c r="Z51" i="84"/>
  <c r="X51" i="84"/>
  <c r="L51" i="84"/>
  <c r="N51" i="84" s="1"/>
  <c r="B51" i="84"/>
  <c r="Z50" i="84"/>
  <c r="X50" i="84"/>
  <c r="L50" i="84"/>
  <c r="N50" i="84" s="1"/>
  <c r="B50" i="84"/>
  <c r="Z49" i="84"/>
  <c r="X49" i="84"/>
  <c r="N49" i="84"/>
  <c r="L49" i="84"/>
  <c r="B49" i="84"/>
  <c r="X48" i="84"/>
  <c r="Z48" i="84" s="1"/>
  <c r="V48" i="84"/>
  <c r="N48" i="84"/>
  <c r="L48" i="84"/>
  <c r="B48" i="84"/>
  <c r="Z47" i="84"/>
  <c r="X47" i="84"/>
  <c r="L47" i="84"/>
  <c r="N47" i="84" s="1"/>
  <c r="B47" i="84"/>
  <c r="Z46" i="84"/>
  <c r="X46" i="84"/>
  <c r="L46" i="84"/>
  <c r="N46" i="84" s="1"/>
  <c r="B46" i="84"/>
  <c r="X45" i="84"/>
  <c r="Z45" i="84" s="1"/>
  <c r="L45" i="84"/>
  <c r="N45" i="84" s="1"/>
  <c r="B45" i="84"/>
  <c r="X44" i="84"/>
  <c r="Z44" i="84" s="1"/>
  <c r="V44" i="84"/>
  <c r="N44" i="84"/>
  <c r="L44" i="84"/>
  <c r="B44" i="84"/>
  <c r="T43" i="84"/>
  <c r="P43" i="84"/>
  <c r="X43" i="84" s="1"/>
  <c r="Z43" i="84" s="1"/>
  <c r="L43" i="84"/>
  <c r="N43" i="84" s="1"/>
  <c r="H43" i="84"/>
  <c r="D43" i="84"/>
  <c r="B43" i="84"/>
  <c r="T42" i="84"/>
  <c r="P42" i="84"/>
  <c r="X42" i="84" s="1"/>
  <c r="H42" i="84"/>
  <c r="D42" i="84"/>
  <c r="L42" i="84" s="1"/>
  <c r="N42" i="84" s="1"/>
  <c r="T40" i="84"/>
  <c r="Z38" i="84"/>
  <c r="X38" i="84"/>
  <c r="N38" i="84"/>
  <c r="L38" i="84"/>
  <c r="B38" i="84"/>
  <c r="Z37" i="84"/>
  <c r="X37" i="84"/>
  <c r="V37" i="84"/>
  <c r="N37" i="84"/>
  <c r="L37" i="84"/>
  <c r="B37" i="84"/>
  <c r="Z36" i="84"/>
  <c r="X36" i="84"/>
  <c r="N36" i="84"/>
  <c r="L36" i="84"/>
  <c r="B36" i="84"/>
  <c r="Z35" i="84"/>
  <c r="X35" i="84"/>
  <c r="V35" i="84"/>
  <c r="N35" i="84"/>
  <c r="L35" i="84"/>
  <c r="J35" i="84"/>
  <c r="B35" i="84"/>
  <c r="X34" i="84"/>
  <c r="Z34" i="84" s="1"/>
  <c r="N34" i="84"/>
  <c r="L34" i="84"/>
  <c r="B34" i="84"/>
  <c r="Z33" i="84"/>
  <c r="V33" i="84"/>
  <c r="T33" i="84"/>
  <c r="P33" i="84"/>
  <c r="X33" i="84" s="1"/>
  <c r="L33" i="84"/>
  <c r="N33" i="84" s="1"/>
  <c r="J33" i="84"/>
  <c r="H33" i="84"/>
  <c r="D33" i="84"/>
  <c r="Z31" i="84"/>
  <c r="P31" i="84"/>
  <c r="X31" i="84" s="1"/>
  <c r="N31" i="84"/>
  <c r="D31" i="84"/>
  <c r="L31" i="84" s="1"/>
  <c r="B31" i="84"/>
  <c r="Z30" i="84"/>
  <c r="P30" i="84"/>
  <c r="X30" i="84" s="1"/>
  <c r="N30" i="84"/>
  <c r="D30" i="84"/>
  <c r="L30" i="84" s="1"/>
  <c r="B30" i="84"/>
  <c r="Z29" i="84"/>
  <c r="P29" i="84"/>
  <c r="X29" i="84" s="1"/>
  <c r="N29" i="84"/>
  <c r="D29" i="84"/>
  <c r="L29" i="84" s="1"/>
  <c r="B29" i="84"/>
  <c r="Z28" i="84"/>
  <c r="X28" i="84"/>
  <c r="P28" i="84"/>
  <c r="N28" i="84"/>
  <c r="D28" i="84"/>
  <c r="L28" i="84" s="1"/>
  <c r="B28" i="84"/>
  <c r="Z27" i="84"/>
  <c r="P27" i="84"/>
  <c r="X27" i="84" s="1"/>
  <c r="N27" i="84"/>
  <c r="D27" i="84"/>
  <c r="L27" i="84" s="1"/>
  <c r="B27" i="84"/>
  <c r="Z26" i="84"/>
  <c r="X26" i="84"/>
  <c r="P26" i="84"/>
  <c r="N26" i="84"/>
  <c r="D26" i="84"/>
  <c r="L26" i="84" s="1"/>
  <c r="B26" i="84"/>
  <c r="Z25" i="84"/>
  <c r="X25" i="84"/>
  <c r="P25" i="84"/>
  <c r="N25" i="84"/>
  <c r="L25" i="84"/>
  <c r="D25" i="84"/>
  <c r="B25" i="84"/>
  <c r="Z24" i="84"/>
  <c r="X24" i="84"/>
  <c r="P24" i="84"/>
  <c r="N24" i="84"/>
  <c r="D24" i="84"/>
  <c r="L24" i="84" s="1"/>
  <c r="B24" i="84"/>
  <c r="Z23" i="84"/>
  <c r="P23" i="84"/>
  <c r="X23" i="84" s="1"/>
  <c r="N23" i="84"/>
  <c r="L23" i="84"/>
  <c r="D23" i="84"/>
  <c r="B23" i="84"/>
  <c r="Z22" i="84"/>
  <c r="P22" i="84"/>
  <c r="X22" i="84" s="1"/>
  <c r="N22" i="84"/>
  <c r="D22" i="84"/>
  <c r="L22" i="84" s="1"/>
  <c r="B22" i="84"/>
  <c r="Z21" i="84"/>
  <c r="P21" i="84"/>
  <c r="X21" i="84" s="1"/>
  <c r="N21" i="84"/>
  <c r="L21" i="84"/>
  <c r="D21" i="84"/>
  <c r="B21" i="84"/>
  <c r="Z20" i="84"/>
  <c r="P20" i="84"/>
  <c r="X20" i="84" s="1"/>
  <c r="N20" i="84"/>
  <c r="L20" i="84"/>
  <c r="D20" i="84"/>
  <c r="B20" i="84"/>
  <c r="Z19" i="84"/>
  <c r="P19" i="84"/>
  <c r="X19" i="84" s="1"/>
  <c r="N19" i="84"/>
  <c r="D19" i="84"/>
  <c r="L19" i="84" s="1"/>
  <c r="B19" i="84"/>
  <c r="Z18" i="84"/>
  <c r="P18" i="84"/>
  <c r="X18" i="84" s="1"/>
  <c r="N18" i="84"/>
  <c r="D18" i="84"/>
  <c r="L18" i="84" s="1"/>
  <c r="B18" i="84"/>
  <c r="Z17" i="84"/>
  <c r="P17" i="84"/>
  <c r="X17" i="84" s="1"/>
  <c r="N17" i="84"/>
  <c r="D17" i="84"/>
  <c r="L17" i="84" s="1"/>
  <c r="B17" i="84"/>
  <c r="Z16" i="84"/>
  <c r="X16" i="84"/>
  <c r="P16" i="84"/>
  <c r="N16" i="84"/>
  <c r="D16" i="84"/>
  <c r="L16" i="84" s="1"/>
  <c r="B16" i="84"/>
  <c r="Z15" i="84"/>
  <c r="P15" i="84"/>
  <c r="X15" i="84" s="1"/>
  <c r="N15" i="84"/>
  <c r="D15" i="84"/>
  <c r="B15" i="84"/>
  <c r="Z14" i="84"/>
  <c r="X14" i="84"/>
  <c r="P14" i="84"/>
  <c r="N14" i="84"/>
  <c r="D14" i="84"/>
  <c r="L14" i="84" s="1"/>
  <c r="B14" i="84"/>
  <c r="X13" i="84"/>
  <c r="Z13" i="84" s="1"/>
  <c r="P13" i="84"/>
  <c r="L13" i="84"/>
  <c r="N13" i="84" s="1"/>
  <c r="D13" i="84"/>
  <c r="B13" i="84"/>
  <c r="T12" i="84"/>
  <c r="V110" i="84" s="1"/>
  <c r="H12" i="84"/>
  <c r="J83" i="84" s="1"/>
  <c r="D6" i="84"/>
  <c r="D4" i="84"/>
  <c r="X90" i="83"/>
  <c r="Z90" i="83" s="1"/>
  <c r="L90" i="83"/>
  <c r="N90" i="83" s="1"/>
  <c r="F88" i="83"/>
  <c r="Z86" i="83"/>
  <c r="X86" i="83"/>
  <c r="T86" i="83"/>
  <c r="P86" i="83"/>
  <c r="H86" i="83"/>
  <c r="N86" i="83" s="1"/>
  <c r="D86" i="83"/>
  <c r="L86" i="83" s="1"/>
  <c r="X84" i="83"/>
  <c r="Z84" i="83" s="1"/>
  <c r="L84" i="83"/>
  <c r="N84" i="83" s="1"/>
  <c r="B84" i="83"/>
  <c r="V83" i="83"/>
  <c r="T83" i="83"/>
  <c r="P83" i="83"/>
  <c r="X83" i="83" s="1"/>
  <c r="Z83" i="83" s="1"/>
  <c r="H83" i="83"/>
  <c r="D83" i="83"/>
  <c r="L83" i="83" s="1"/>
  <c r="N83" i="83" s="1"/>
  <c r="B83" i="83"/>
  <c r="X82" i="83"/>
  <c r="Z82" i="83" s="1"/>
  <c r="L82" i="83"/>
  <c r="N82" i="83" s="1"/>
  <c r="B82" i="83"/>
  <c r="X81" i="83"/>
  <c r="T81" i="83"/>
  <c r="Z81" i="83" s="1"/>
  <c r="P81" i="83"/>
  <c r="L81" i="83"/>
  <c r="N81" i="83" s="1"/>
  <c r="H81" i="83"/>
  <c r="D81" i="83"/>
  <c r="B81" i="83"/>
  <c r="X80" i="83"/>
  <c r="Z80" i="83" s="1"/>
  <c r="L80" i="83"/>
  <c r="N80" i="83" s="1"/>
  <c r="B80" i="83"/>
  <c r="Z79" i="83"/>
  <c r="X79" i="83"/>
  <c r="N79" i="83"/>
  <c r="L79" i="83"/>
  <c r="J79" i="83"/>
  <c r="B79" i="83"/>
  <c r="T78" i="83"/>
  <c r="P78" i="83"/>
  <c r="H78" i="83"/>
  <c r="D78" i="83"/>
  <c r="B78" i="83"/>
  <c r="Z77" i="83"/>
  <c r="X77" i="83"/>
  <c r="V77" i="83"/>
  <c r="L77" i="83"/>
  <c r="N77" i="83" s="1"/>
  <c r="B77" i="83"/>
  <c r="X76" i="83"/>
  <c r="Z76" i="83" s="1"/>
  <c r="L76" i="83"/>
  <c r="N76" i="83" s="1"/>
  <c r="B76" i="83"/>
  <c r="Z75" i="83"/>
  <c r="X75" i="83"/>
  <c r="V75" i="83"/>
  <c r="L75" i="83"/>
  <c r="N75" i="83" s="1"/>
  <c r="B75" i="83"/>
  <c r="Z74" i="83"/>
  <c r="X74" i="83"/>
  <c r="L74" i="83"/>
  <c r="N74" i="83" s="1"/>
  <c r="B74" i="83"/>
  <c r="Z73" i="83"/>
  <c r="X73" i="83"/>
  <c r="V73" i="83"/>
  <c r="N73" i="83"/>
  <c r="L73" i="83"/>
  <c r="B73" i="83"/>
  <c r="T72" i="83"/>
  <c r="P72" i="83"/>
  <c r="X72" i="83" s="1"/>
  <c r="H72" i="83"/>
  <c r="N72" i="83" s="1"/>
  <c r="D72" i="83"/>
  <c r="L72" i="83" s="1"/>
  <c r="B72" i="83"/>
  <c r="X71" i="83"/>
  <c r="Z71" i="83" s="1"/>
  <c r="N71" i="83"/>
  <c r="L71" i="83"/>
  <c r="B71" i="83"/>
  <c r="X70" i="83"/>
  <c r="Z70" i="83" s="1"/>
  <c r="T70" i="83"/>
  <c r="P70" i="83"/>
  <c r="L70" i="83"/>
  <c r="H70" i="83"/>
  <c r="N70" i="83" s="1"/>
  <c r="D70" i="83"/>
  <c r="B70" i="83"/>
  <c r="Z69" i="83"/>
  <c r="X69" i="83"/>
  <c r="N69" i="83"/>
  <c r="L69" i="83"/>
  <c r="J69" i="83"/>
  <c r="B69" i="83"/>
  <c r="X68" i="83"/>
  <c r="Z68" i="83" s="1"/>
  <c r="R68" i="83"/>
  <c r="L68" i="83"/>
  <c r="N68" i="83" s="1"/>
  <c r="B68" i="83"/>
  <c r="Z67" i="83"/>
  <c r="X67" i="83"/>
  <c r="N67" i="83"/>
  <c r="L67" i="83"/>
  <c r="J67" i="83"/>
  <c r="B67" i="83"/>
  <c r="T66" i="83"/>
  <c r="P66" i="83"/>
  <c r="H66" i="83"/>
  <c r="D66" i="83"/>
  <c r="B66" i="83"/>
  <c r="Z65" i="83"/>
  <c r="X65" i="83"/>
  <c r="V65" i="83"/>
  <c r="N65" i="83"/>
  <c r="L65" i="83"/>
  <c r="B65" i="83"/>
  <c r="X64" i="83"/>
  <c r="Z64" i="83" s="1"/>
  <c r="V64" i="83"/>
  <c r="L64" i="83"/>
  <c r="N64" i="83" s="1"/>
  <c r="B64" i="83"/>
  <c r="Z63" i="83"/>
  <c r="X63" i="83"/>
  <c r="V63" i="83"/>
  <c r="N63" i="83"/>
  <c r="L63" i="83"/>
  <c r="B63" i="83"/>
  <c r="X62" i="83"/>
  <c r="Z62" i="83" s="1"/>
  <c r="V62" i="83"/>
  <c r="N62" i="83"/>
  <c r="L62" i="83"/>
  <c r="B62" i="83"/>
  <c r="V61" i="83"/>
  <c r="T61" i="83"/>
  <c r="P61" i="83"/>
  <c r="X61" i="83" s="1"/>
  <c r="Z61" i="83" s="1"/>
  <c r="J61" i="83"/>
  <c r="H61" i="83"/>
  <c r="D61" i="83"/>
  <c r="L61" i="83" s="1"/>
  <c r="N61" i="83" s="1"/>
  <c r="B61" i="83"/>
  <c r="X60" i="83"/>
  <c r="Z60" i="83" s="1"/>
  <c r="L60" i="83"/>
  <c r="N60" i="83" s="1"/>
  <c r="F60" i="83"/>
  <c r="B60" i="83"/>
  <c r="X59" i="83"/>
  <c r="Z59" i="83" s="1"/>
  <c r="V59" i="83"/>
  <c r="T59" i="83"/>
  <c r="P59" i="83"/>
  <c r="L59" i="83"/>
  <c r="J59" i="83"/>
  <c r="H59" i="83"/>
  <c r="N59" i="83" s="1"/>
  <c r="F59" i="83"/>
  <c r="D59" i="83"/>
  <c r="B59" i="83"/>
  <c r="Z58" i="83"/>
  <c r="X58" i="83"/>
  <c r="L58" i="83"/>
  <c r="N58" i="83" s="1"/>
  <c r="B58" i="83"/>
  <c r="Z57" i="83"/>
  <c r="T57" i="83"/>
  <c r="X57" i="83" s="1"/>
  <c r="P57" i="83"/>
  <c r="H57" i="83"/>
  <c r="D57" i="83"/>
  <c r="L57" i="83" s="1"/>
  <c r="N57" i="83" s="1"/>
  <c r="B57" i="83"/>
  <c r="X56" i="83"/>
  <c r="Z56" i="83" s="1"/>
  <c r="V56" i="83"/>
  <c r="N56" i="83"/>
  <c r="L56" i="83"/>
  <c r="B56" i="83"/>
  <c r="V55" i="83"/>
  <c r="T55" i="83"/>
  <c r="P55" i="83"/>
  <c r="X55" i="83" s="1"/>
  <c r="Z55" i="83" s="1"/>
  <c r="N55" i="83"/>
  <c r="J55" i="83"/>
  <c r="H55" i="83"/>
  <c r="D55" i="83"/>
  <c r="L55" i="83" s="1"/>
  <c r="B55" i="83"/>
  <c r="X54" i="83"/>
  <c r="Z54" i="83" s="1"/>
  <c r="N54" i="83"/>
  <c r="L54" i="83"/>
  <c r="B54" i="83"/>
  <c r="X53" i="83"/>
  <c r="V53" i="83"/>
  <c r="T53" i="83"/>
  <c r="Z53" i="83" s="1"/>
  <c r="P53" i="83"/>
  <c r="L53" i="83"/>
  <c r="N53" i="83" s="1"/>
  <c r="H53" i="83"/>
  <c r="D53" i="83"/>
  <c r="B53" i="83"/>
  <c r="X52" i="83"/>
  <c r="Z52" i="83" s="1"/>
  <c r="V52" i="83"/>
  <c r="R52" i="83"/>
  <c r="L52" i="83"/>
  <c r="N52" i="83" s="1"/>
  <c r="J52" i="83"/>
  <c r="B52" i="83"/>
  <c r="Z51" i="83"/>
  <c r="X51" i="83"/>
  <c r="N51" i="83"/>
  <c r="L51" i="83"/>
  <c r="J51" i="83"/>
  <c r="B51" i="83"/>
  <c r="T50" i="83"/>
  <c r="P50" i="83"/>
  <c r="H50" i="83"/>
  <c r="D50" i="83"/>
  <c r="B50" i="83"/>
  <c r="Z49" i="83"/>
  <c r="X49" i="83"/>
  <c r="V49" i="83"/>
  <c r="L49" i="83"/>
  <c r="N49" i="83" s="1"/>
  <c r="J49" i="83"/>
  <c r="B49" i="83"/>
  <c r="V48" i="83"/>
  <c r="T48" i="83"/>
  <c r="Z48" i="83" s="1"/>
  <c r="P48" i="83"/>
  <c r="X48" i="83" s="1"/>
  <c r="H48" i="83"/>
  <c r="D48" i="83"/>
  <c r="L48" i="83" s="1"/>
  <c r="B48" i="83"/>
  <c r="X47" i="83"/>
  <c r="Z47" i="83" s="1"/>
  <c r="V47" i="83"/>
  <c r="N47" i="83"/>
  <c r="L47" i="83"/>
  <c r="B47" i="83"/>
  <c r="X46" i="83"/>
  <c r="T46" i="83"/>
  <c r="Z46" i="83" s="1"/>
  <c r="P46" i="83"/>
  <c r="L46" i="83"/>
  <c r="H46" i="83"/>
  <c r="N46" i="83" s="1"/>
  <c r="D46" i="83"/>
  <c r="B46" i="83"/>
  <c r="Z45" i="83"/>
  <c r="X45" i="83"/>
  <c r="V45" i="83"/>
  <c r="N45" i="83"/>
  <c r="L45" i="83"/>
  <c r="J45" i="83"/>
  <c r="B45" i="83"/>
  <c r="T44" i="83"/>
  <c r="P44" i="83"/>
  <c r="H44" i="83"/>
  <c r="D44" i="83"/>
  <c r="B44" i="83"/>
  <c r="Z43" i="83"/>
  <c r="X43" i="83"/>
  <c r="V43" i="83"/>
  <c r="N43" i="83"/>
  <c r="L43" i="83"/>
  <c r="J43" i="83"/>
  <c r="B43" i="83"/>
  <c r="Z42" i="83"/>
  <c r="X42" i="83"/>
  <c r="V42" i="83"/>
  <c r="N42" i="83"/>
  <c r="L42" i="83"/>
  <c r="B42" i="83"/>
  <c r="Z41" i="83"/>
  <c r="X41" i="83"/>
  <c r="V41" i="83"/>
  <c r="L41" i="83"/>
  <c r="N41" i="83" s="1"/>
  <c r="J41" i="83"/>
  <c r="B41" i="83"/>
  <c r="X40" i="83"/>
  <c r="Z40" i="83" s="1"/>
  <c r="V40" i="83"/>
  <c r="N40" i="83"/>
  <c r="L40" i="83"/>
  <c r="B40" i="83"/>
  <c r="Z39" i="83"/>
  <c r="X39" i="83"/>
  <c r="V39" i="83"/>
  <c r="N39" i="83"/>
  <c r="L39" i="83"/>
  <c r="J39" i="83"/>
  <c r="B39" i="83"/>
  <c r="X38" i="83"/>
  <c r="Z38" i="83" s="1"/>
  <c r="V38" i="83"/>
  <c r="L38" i="83"/>
  <c r="N38" i="83" s="1"/>
  <c r="B38" i="83"/>
  <c r="Z37" i="83"/>
  <c r="X37" i="83"/>
  <c r="V37" i="83"/>
  <c r="N37" i="83"/>
  <c r="L37" i="83"/>
  <c r="J37" i="83"/>
  <c r="B37" i="83"/>
  <c r="Z36" i="83"/>
  <c r="X36" i="83"/>
  <c r="V36" i="83"/>
  <c r="N36" i="83"/>
  <c r="L36" i="83"/>
  <c r="B36" i="83"/>
  <c r="Z35" i="83"/>
  <c r="X35" i="83"/>
  <c r="V35" i="83"/>
  <c r="L35" i="83"/>
  <c r="N35" i="83" s="1"/>
  <c r="J35" i="83"/>
  <c r="B35" i="83"/>
  <c r="Z34" i="83"/>
  <c r="X34" i="83"/>
  <c r="V34" i="83"/>
  <c r="N34" i="83"/>
  <c r="L34" i="83"/>
  <c r="B34" i="83"/>
  <c r="V33" i="83"/>
  <c r="T33" i="83"/>
  <c r="P33" i="83"/>
  <c r="X33" i="83" s="1"/>
  <c r="Z33" i="83" s="1"/>
  <c r="J33" i="83"/>
  <c r="H33" i="83"/>
  <c r="D33" i="83"/>
  <c r="L33" i="83" s="1"/>
  <c r="N33" i="83" s="1"/>
  <c r="B33" i="83"/>
  <c r="X32" i="83"/>
  <c r="Z32" i="83" s="1"/>
  <c r="V32" i="83"/>
  <c r="N32" i="83"/>
  <c r="L32" i="83"/>
  <c r="J32" i="83"/>
  <c r="F32" i="83"/>
  <c r="B32" i="83"/>
  <c r="X31" i="83"/>
  <c r="Z31" i="83" s="1"/>
  <c r="V31" i="83"/>
  <c r="N31" i="83"/>
  <c r="L31" i="83"/>
  <c r="B31" i="83"/>
  <c r="Z30" i="83"/>
  <c r="X30" i="83"/>
  <c r="N30" i="83"/>
  <c r="L30" i="83"/>
  <c r="B30" i="83"/>
  <c r="X29" i="83"/>
  <c r="Z29" i="83" s="1"/>
  <c r="V29" i="83"/>
  <c r="N29" i="83"/>
  <c r="L29" i="83"/>
  <c r="J29" i="83"/>
  <c r="B29" i="83"/>
  <c r="X28" i="83"/>
  <c r="Z28" i="83" s="1"/>
  <c r="V28" i="83"/>
  <c r="N28" i="83"/>
  <c r="L28" i="83"/>
  <c r="J28" i="83"/>
  <c r="F28" i="83"/>
  <c r="B28" i="83"/>
  <c r="X27" i="83"/>
  <c r="Z27" i="83" s="1"/>
  <c r="V27" i="83"/>
  <c r="N27" i="83"/>
  <c r="L27" i="83"/>
  <c r="B27" i="83"/>
  <c r="X26" i="83"/>
  <c r="Z26" i="83" s="1"/>
  <c r="N26" i="83"/>
  <c r="L26" i="83"/>
  <c r="B26" i="83"/>
  <c r="X25" i="83"/>
  <c r="Z25" i="83" s="1"/>
  <c r="V25" i="83"/>
  <c r="N25" i="83"/>
  <c r="L25" i="83"/>
  <c r="J25" i="83"/>
  <c r="B25" i="83"/>
  <c r="X24" i="83"/>
  <c r="V24" i="83"/>
  <c r="T24" i="83"/>
  <c r="Z24" i="83" s="1"/>
  <c r="P24" i="83"/>
  <c r="L24" i="83"/>
  <c r="H24" i="83"/>
  <c r="N24" i="83" s="1"/>
  <c r="D24" i="83"/>
  <c r="B24" i="83"/>
  <c r="T23" i="83"/>
  <c r="V23" i="83" s="1"/>
  <c r="P23" i="83"/>
  <c r="X23" i="83" s="1"/>
  <c r="Z23" i="83" s="1"/>
  <c r="H23" i="83"/>
  <c r="J23" i="83" s="1"/>
  <c r="D23" i="83"/>
  <c r="L23" i="83" s="1"/>
  <c r="Z19" i="83"/>
  <c r="X19" i="83"/>
  <c r="V19" i="83"/>
  <c r="N19" i="83"/>
  <c r="L19" i="83"/>
  <c r="J19" i="83"/>
  <c r="B19" i="83"/>
  <c r="Z18" i="83"/>
  <c r="X18" i="83"/>
  <c r="V18" i="83"/>
  <c r="N18" i="83"/>
  <c r="L18" i="83"/>
  <c r="J18" i="83"/>
  <c r="B18" i="83"/>
  <c r="Z17" i="83"/>
  <c r="X17" i="83"/>
  <c r="V17" i="83"/>
  <c r="N17" i="83"/>
  <c r="L17" i="83"/>
  <c r="J17" i="83"/>
  <c r="B17" i="83"/>
  <c r="T16" i="83"/>
  <c r="P16" i="83"/>
  <c r="H16" i="83"/>
  <c r="H21" i="83" s="1"/>
  <c r="D16" i="83"/>
  <c r="Z14" i="83"/>
  <c r="X14" i="83"/>
  <c r="P14" i="83"/>
  <c r="N14" i="83"/>
  <c r="D14" i="83"/>
  <c r="L14" i="83" s="1"/>
  <c r="B14" i="83"/>
  <c r="P13" i="83"/>
  <c r="P12" i="83" s="1"/>
  <c r="R81" i="83" s="1"/>
  <c r="D13" i="83"/>
  <c r="L13" i="83" s="1"/>
  <c r="N13" i="83" s="1"/>
  <c r="B13" i="83"/>
  <c r="X12" i="83"/>
  <c r="Z12" i="83" s="1"/>
  <c r="T12" i="83"/>
  <c r="V82" i="83" s="1"/>
  <c r="H12" i="83"/>
  <c r="J83" i="83" s="1"/>
  <c r="D12" i="83"/>
  <c r="F79" i="83" s="1"/>
  <c r="D6" i="83"/>
  <c r="D4" i="83"/>
  <c r="Z51" i="82"/>
  <c r="X51" i="82"/>
  <c r="L51" i="82"/>
  <c r="N51" i="82" s="1"/>
  <c r="J51" i="82"/>
  <c r="X47" i="82"/>
  <c r="T47" i="82"/>
  <c r="Z47" i="82" s="1"/>
  <c r="P47" i="82"/>
  <c r="N47" i="82"/>
  <c r="L47" i="82"/>
  <c r="H47" i="82"/>
  <c r="D47" i="82"/>
  <c r="Z45" i="82"/>
  <c r="X45" i="82"/>
  <c r="N45" i="82"/>
  <c r="L45" i="82"/>
  <c r="F45" i="82"/>
  <c r="B45" i="82"/>
  <c r="Z44" i="82"/>
  <c r="X44" i="82"/>
  <c r="N44" i="82"/>
  <c r="L44" i="82"/>
  <c r="B44" i="82"/>
  <c r="Z43" i="82"/>
  <c r="X43" i="82"/>
  <c r="N43" i="82"/>
  <c r="L43" i="82"/>
  <c r="B43" i="82"/>
  <c r="Z42" i="82"/>
  <c r="X42" i="82"/>
  <c r="N42" i="82"/>
  <c r="L42" i="82"/>
  <c r="B42" i="82"/>
  <c r="Z41" i="82"/>
  <c r="X41" i="82"/>
  <c r="N41" i="82"/>
  <c r="L41" i="82"/>
  <c r="F41" i="82"/>
  <c r="B41" i="82"/>
  <c r="Z40" i="82"/>
  <c r="X40" i="82"/>
  <c r="N40" i="82"/>
  <c r="L40" i="82"/>
  <c r="B40" i="82"/>
  <c r="Z39" i="82"/>
  <c r="X39" i="82"/>
  <c r="N39" i="82"/>
  <c r="L39" i="82"/>
  <c r="B39" i="82"/>
  <c r="Z38" i="82"/>
  <c r="X38" i="82"/>
  <c r="N38" i="82"/>
  <c r="L38" i="82"/>
  <c r="B38" i="82"/>
  <c r="Z37" i="82"/>
  <c r="X37" i="82"/>
  <c r="N37" i="82"/>
  <c r="L37" i="82"/>
  <c r="F37" i="82"/>
  <c r="B37" i="82"/>
  <c r="Z36" i="82"/>
  <c r="X36" i="82"/>
  <c r="N36" i="82"/>
  <c r="L36" i="82"/>
  <c r="B36" i="82"/>
  <c r="Z35" i="82"/>
  <c r="X35" i="82"/>
  <c r="T35" i="82"/>
  <c r="P35" i="82"/>
  <c r="L35" i="82"/>
  <c r="H35" i="82"/>
  <c r="N35" i="82" s="1"/>
  <c r="D35" i="82"/>
  <c r="B35" i="82"/>
  <c r="Z34" i="82"/>
  <c r="X34" i="82"/>
  <c r="N34" i="82"/>
  <c r="L34" i="82"/>
  <c r="J34" i="82"/>
  <c r="B34" i="82"/>
  <c r="Z33" i="82"/>
  <c r="X33" i="82"/>
  <c r="N33" i="82"/>
  <c r="L33" i="82"/>
  <c r="J33" i="82"/>
  <c r="B33" i="82"/>
  <c r="Z32" i="82"/>
  <c r="X32" i="82"/>
  <c r="N32" i="82"/>
  <c r="L32" i="82"/>
  <c r="J32" i="82"/>
  <c r="B32" i="82"/>
  <c r="Z31" i="82"/>
  <c r="X31" i="82"/>
  <c r="N31" i="82"/>
  <c r="L31" i="82"/>
  <c r="J31" i="82"/>
  <c r="B31" i="82"/>
  <c r="Z30" i="82"/>
  <c r="X30" i="82"/>
  <c r="N30" i="82"/>
  <c r="L30" i="82"/>
  <c r="J30" i="82"/>
  <c r="B30" i="82"/>
  <c r="Z29" i="82"/>
  <c r="X29" i="82"/>
  <c r="N29" i="82"/>
  <c r="L29" i="82"/>
  <c r="J29" i="82"/>
  <c r="B29" i="82"/>
  <c r="Z28" i="82"/>
  <c r="X28" i="82"/>
  <c r="N28" i="82"/>
  <c r="L28" i="82"/>
  <c r="J28" i="82"/>
  <c r="B28" i="82"/>
  <c r="Z27" i="82"/>
  <c r="X27" i="82"/>
  <c r="N27" i="82"/>
  <c r="L27" i="82"/>
  <c r="J27" i="82"/>
  <c r="B27" i="82"/>
  <c r="Z26" i="82"/>
  <c r="T26" i="82"/>
  <c r="P26" i="82"/>
  <c r="X26" i="82" s="1"/>
  <c r="N26" i="82"/>
  <c r="H26" i="82"/>
  <c r="D26" i="82"/>
  <c r="L26" i="82" s="1"/>
  <c r="B26" i="82"/>
  <c r="T25" i="82"/>
  <c r="Z25" i="82" s="1"/>
  <c r="P25" i="82"/>
  <c r="H25" i="82"/>
  <c r="D25" i="82"/>
  <c r="L25" i="82" s="1"/>
  <c r="J23" i="82"/>
  <c r="H23" i="82"/>
  <c r="D23" i="82"/>
  <c r="Z21" i="82"/>
  <c r="X21" i="82"/>
  <c r="N21" i="82"/>
  <c r="L21" i="82"/>
  <c r="B21" i="82"/>
  <c r="Z20" i="82"/>
  <c r="X20" i="82"/>
  <c r="V20" i="82"/>
  <c r="N20" i="82"/>
  <c r="L20" i="82"/>
  <c r="J20" i="82"/>
  <c r="B20" i="82"/>
  <c r="X19" i="82"/>
  <c r="Z19" i="82" s="1"/>
  <c r="V19" i="82"/>
  <c r="L19" i="82"/>
  <c r="N19" i="82" s="1"/>
  <c r="B19" i="82"/>
  <c r="V18" i="82"/>
  <c r="T18" i="82"/>
  <c r="P18" i="82"/>
  <c r="X18" i="82" s="1"/>
  <c r="Z18" i="82" s="1"/>
  <c r="J18" i="82"/>
  <c r="H18" i="82"/>
  <c r="D18" i="82"/>
  <c r="L18" i="82" s="1"/>
  <c r="N18" i="82" s="1"/>
  <c r="Z16" i="82"/>
  <c r="P16" i="82"/>
  <c r="X16" i="82" s="1"/>
  <c r="N16" i="82"/>
  <c r="D16" i="82"/>
  <c r="L16" i="82" s="1"/>
  <c r="B16" i="82"/>
  <c r="Z15" i="82"/>
  <c r="X15" i="82"/>
  <c r="P15" i="82"/>
  <c r="N15" i="82"/>
  <c r="L15" i="82"/>
  <c r="D15" i="82"/>
  <c r="B15" i="82"/>
  <c r="Z14" i="82"/>
  <c r="P14" i="82"/>
  <c r="X14" i="82" s="1"/>
  <c r="N14" i="82"/>
  <c r="L14" i="82"/>
  <c r="D14" i="82"/>
  <c r="B14" i="82"/>
  <c r="P13" i="82"/>
  <c r="X13" i="82" s="1"/>
  <c r="Z13" i="82" s="1"/>
  <c r="D13" i="82"/>
  <c r="D12" i="82" s="1"/>
  <c r="B13" i="82"/>
  <c r="T12" i="82"/>
  <c r="V43" i="82" s="1"/>
  <c r="H12" i="82"/>
  <c r="D6" i="82"/>
  <c r="D4" i="82"/>
  <c r="Z72" i="80"/>
  <c r="X72" i="80"/>
  <c r="N72" i="80"/>
  <c r="L72" i="80"/>
  <c r="J72" i="80"/>
  <c r="R70" i="80"/>
  <c r="X68" i="80"/>
  <c r="T68" i="80"/>
  <c r="Z68" i="80" s="1"/>
  <c r="R68" i="80"/>
  <c r="P68" i="80"/>
  <c r="N68" i="80"/>
  <c r="L68" i="80"/>
  <c r="H68" i="80"/>
  <c r="D68" i="80"/>
  <c r="Z66" i="80"/>
  <c r="X66" i="80"/>
  <c r="N66" i="80"/>
  <c r="L66" i="80"/>
  <c r="B66" i="80"/>
  <c r="X65" i="80"/>
  <c r="T65" i="80"/>
  <c r="Z65" i="80" s="1"/>
  <c r="P65" i="80"/>
  <c r="N65" i="80"/>
  <c r="L65" i="80"/>
  <c r="H65" i="80"/>
  <c r="D65" i="80"/>
  <c r="B65" i="80"/>
  <c r="Z64" i="80"/>
  <c r="X64" i="80"/>
  <c r="N64" i="80"/>
  <c r="L64" i="80"/>
  <c r="J64" i="80"/>
  <c r="B64" i="80"/>
  <c r="T63" i="80"/>
  <c r="P63" i="80"/>
  <c r="H63" i="80"/>
  <c r="D63" i="80"/>
  <c r="B63" i="80"/>
  <c r="Z62" i="80"/>
  <c r="X62" i="80"/>
  <c r="V62" i="80"/>
  <c r="N62" i="80"/>
  <c r="L62" i="80"/>
  <c r="B62" i="80"/>
  <c r="Z61" i="80"/>
  <c r="X61" i="80"/>
  <c r="N61" i="80"/>
  <c r="L61" i="80"/>
  <c r="B61" i="80"/>
  <c r="Z60" i="80"/>
  <c r="X60" i="80"/>
  <c r="V60" i="80"/>
  <c r="N60" i="80"/>
  <c r="L60" i="80"/>
  <c r="B60" i="80"/>
  <c r="Z59" i="80"/>
  <c r="X59" i="80"/>
  <c r="N59" i="80"/>
  <c r="L59" i="80"/>
  <c r="B59" i="80"/>
  <c r="Z58" i="80"/>
  <c r="V58" i="80"/>
  <c r="T58" i="80"/>
  <c r="P58" i="80"/>
  <c r="X58" i="80" s="1"/>
  <c r="N58" i="80"/>
  <c r="H58" i="80"/>
  <c r="D58" i="80"/>
  <c r="L58" i="80" s="1"/>
  <c r="B58" i="80"/>
  <c r="Z57" i="80"/>
  <c r="X57" i="80"/>
  <c r="N57" i="80"/>
  <c r="L57" i="80"/>
  <c r="B57" i="80"/>
  <c r="Z56" i="80"/>
  <c r="X56" i="80"/>
  <c r="N56" i="80"/>
  <c r="L56" i="80"/>
  <c r="B56" i="80"/>
  <c r="Z55" i="80"/>
  <c r="X55" i="80"/>
  <c r="T55" i="80"/>
  <c r="P55" i="80"/>
  <c r="L55" i="80"/>
  <c r="H55" i="80"/>
  <c r="N55" i="80" s="1"/>
  <c r="D55" i="80"/>
  <c r="B55" i="80"/>
  <c r="Z54" i="80"/>
  <c r="X54" i="80"/>
  <c r="N54" i="80"/>
  <c r="L54" i="80"/>
  <c r="B54" i="80"/>
  <c r="Z53" i="80"/>
  <c r="X53" i="80"/>
  <c r="N53" i="80"/>
  <c r="L53" i="80"/>
  <c r="B53" i="80"/>
  <c r="Z52" i="80"/>
  <c r="T52" i="80"/>
  <c r="P52" i="80"/>
  <c r="X52" i="80" s="1"/>
  <c r="N52" i="80"/>
  <c r="H52" i="80"/>
  <c r="D52" i="80"/>
  <c r="L52" i="80" s="1"/>
  <c r="B52" i="80"/>
  <c r="Z51" i="80"/>
  <c r="X51" i="80"/>
  <c r="V51" i="80"/>
  <c r="N51" i="80"/>
  <c r="L51" i="80"/>
  <c r="B51" i="80"/>
  <c r="Z50" i="80"/>
  <c r="V50" i="80"/>
  <c r="T50" i="80"/>
  <c r="P50" i="80"/>
  <c r="X50" i="80" s="1"/>
  <c r="N50" i="80"/>
  <c r="H50" i="80"/>
  <c r="D50" i="80"/>
  <c r="L50" i="80" s="1"/>
  <c r="B50" i="80"/>
  <c r="Z49" i="80"/>
  <c r="X49" i="80"/>
  <c r="N49" i="80"/>
  <c r="L49" i="80"/>
  <c r="B49" i="80"/>
  <c r="Z48" i="80"/>
  <c r="X48" i="80"/>
  <c r="T48" i="80"/>
  <c r="R48" i="80"/>
  <c r="P48" i="80"/>
  <c r="L48" i="80"/>
  <c r="H48" i="80"/>
  <c r="N48" i="80" s="1"/>
  <c r="F48" i="80"/>
  <c r="D48" i="80"/>
  <c r="B48" i="80"/>
  <c r="Z47" i="80"/>
  <c r="X47" i="80"/>
  <c r="L47" i="80"/>
  <c r="N47" i="80" s="1"/>
  <c r="B47" i="80"/>
  <c r="Z46" i="80"/>
  <c r="T46" i="80"/>
  <c r="P46" i="80"/>
  <c r="X46" i="80" s="1"/>
  <c r="N46" i="80"/>
  <c r="H46" i="80"/>
  <c r="D46" i="80"/>
  <c r="L46" i="80" s="1"/>
  <c r="B46" i="80"/>
  <c r="Z45" i="80"/>
  <c r="X45" i="80"/>
  <c r="V45" i="80"/>
  <c r="N45" i="80"/>
  <c r="L45" i="80"/>
  <c r="B45" i="80"/>
  <c r="Z44" i="80"/>
  <c r="V44" i="80"/>
  <c r="T44" i="80"/>
  <c r="P44" i="80"/>
  <c r="X44" i="80" s="1"/>
  <c r="N44" i="80"/>
  <c r="H44" i="80"/>
  <c r="D44" i="80"/>
  <c r="L44" i="80" s="1"/>
  <c r="B44" i="80"/>
  <c r="Z43" i="80"/>
  <c r="X43" i="80"/>
  <c r="N43" i="80"/>
  <c r="L43" i="80"/>
  <c r="B43" i="80"/>
  <c r="X42" i="80"/>
  <c r="V42" i="80"/>
  <c r="T42" i="80"/>
  <c r="Z42" i="80" s="1"/>
  <c r="P42" i="80"/>
  <c r="N42" i="80"/>
  <c r="L42" i="80"/>
  <c r="H42" i="80"/>
  <c r="D42" i="80"/>
  <c r="B42" i="80"/>
  <c r="Z41" i="80"/>
  <c r="X41" i="80"/>
  <c r="R41" i="80"/>
  <c r="N41" i="80"/>
  <c r="L41" i="80"/>
  <c r="B41" i="80"/>
  <c r="Z40" i="80"/>
  <c r="X40" i="80"/>
  <c r="N40" i="80"/>
  <c r="L40" i="80"/>
  <c r="B40" i="80"/>
  <c r="Z39" i="80"/>
  <c r="X39" i="80"/>
  <c r="R39" i="80"/>
  <c r="N39" i="80"/>
  <c r="L39" i="80"/>
  <c r="B39" i="80"/>
  <c r="Z38" i="80"/>
  <c r="X38" i="80"/>
  <c r="N38" i="80"/>
  <c r="L38" i="80"/>
  <c r="B38" i="80"/>
  <c r="Z37" i="80"/>
  <c r="X37" i="80"/>
  <c r="R37" i="80"/>
  <c r="N37" i="80"/>
  <c r="L37" i="80"/>
  <c r="B37" i="80"/>
  <c r="Z36" i="80"/>
  <c r="X36" i="80"/>
  <c r="N36" i="80"/>
  <c r="L36" i="80"/>
  <c r="B36" i="80"/>
  <c r="Z35" i="80"/>
  <c r="X35" i="80"/>
  <c r="R35" i="80"/>
  <c r="N35" i="80"/>
  <c r="L35" i="80"/>
  <c r="B35" i="80"/>
  <c r="Z34" i="80"/>
  <c r="X34" i="80"/>
  <c r="N34" i="80"/>
  <c r="L34" i="80"/>
  <c r="B34" i="80"/>
  <c r="Z33" i="80"/>
  <c r="X33" i="80"/>
  <c r="R33" i="80"/>
  <c r="N33" i="80"/>
  <c r="L33" i="80"/>
  <c r="B33" i="80"/>
  <c r="Z32" i="80"/>
  <c r="X32" i="80"/>
  <c r="N32" i="80"/>
  <c r="L32" i="80"/>
  <c r="B32" i="80"/>
  <c r="T31" i="80"/>
  <c r="P31" i="80"/>
  <c r="H31" i="80"/>
  <c r="D31" i="80"/>
  <c r="B31" i="80"/>
  <c r="Z30" i="80"/>
  <c r="X30" i="80"/>
  <c r="V30" i="80"/>
  <c r="N30" i="80"/>
  <c r="L30" i="80"/>
  <c r="B30" i="80"/>
  <c r="Z29" i="80"/>
  <c r="X29" i="80"/>
  <c r="V29" i="80"/>
  <c r="N29" i="80"/>
  <c r="L29" i="80"/>
  <c r="B29" i="80"/>
  <c r="Z28" i="80"/>
  <c r="X28" i="80"/>
  <c r="V28" i="80"/>
  <c r="N28" i="80"/>
  <c r="L28" i="80"/>
  <c r="B28" i="80"/>
  <c r="Z27" i="80"/>
  <c r="X27" i="80"/>
  <c r="V27" i="80"/>
  <c r="N27" i="80"/>
  <c r="L27" i="80"/>
  <c r="B27" i="80"/>
  <c r="Z26" i="80"/>
  <c r="X26" i="80"/>
  <c r="V26" i="80"/>
  <c r="N26" i="80"/>
  <c r="L26" i="80"/>
  <c r="B26" i="80"/>
  <c r="Z25" i="80"/>
  <c r="X25" i="80"/>
  <c r="V25" i="80"/>
  <c r="N25" i="80"/>
  <c r="L25" i="80"/>
  <c r="B25" i="80"/>
  <c r="Z24" i="80"/>
  <c r="X24" i="80"/>
  <c r="V24" i="80"/>
  <c r="N24" i="80"/>
  <c r="L24" i="80"/>
  <c r="B24" i="80"/>
  <c r="Z23" i="80"/>
  <c r="X23" i="80"/>
  <c r="V23" i="80"/>
  <c r="N23" i="80"/>
  <c r="L23" i="80"/>
  <c r="B23" i="80"/>
  <c r="Z22" i="80"/>
  <c r="V22" i="80"/>
  <c r="T22" i="80"/>
  <c r="P22" i="80"/>
  <c r="X22" i="80" s="1"/>
  <c r="N22" i="80"/>
  <c r="J22" i="80"/>
  <c r="H22" i="80"/>
  <c r="D22" i="80"/>
  <c r="L22" i="80" s="1"/>
  <c r="B22" i="80"/>
  <c r="T21" i="80"/>
  <c r="P21" i="80"/>
  <c r="H21" i="80"/>
  <c r="D21" i="80"/>
  <c r="P19" i="80"/>
  <c r="Z17" i="80"/>
  <c r="X17" i="80"/>
  <c r="N17" i="80"/>
  <c r="L17" i="80"/>
  <c r="B17" i="80"/>
  <c r="Z16" i="80"/>
  <c r="X16" i="80"/>
  <c r="V16" i="80"/>
  <c r="N16" i="80"/>
  <c r="L16" i="80"/>
  <c r="B16" i="80"/>
  <c r="X15" i="80"/>
  <c r="T15" i="80"/>
  <c r="Z15" i="80" s="1"/>
  <c r="P15" i="80"/>
  <c r="H15" i="80"/>
  <c r="N15" i="80" s="1"/>
  <c r="D15" i="80"/>
  <c r="L15" i="80" s="1"/>
  <c r="Z13" i="80"/>
  <c r="X13" i="80"/>
  <c r="P13" i="80"/>
  <c r="N13" i="80"/>
  <c r="L13" i="80"/>
  <c r="D13" i="80"/>
  <c r="D12" i="80" s="1"/>
  <c r="B13" i="80"/>
  <c r="Z12" i="80"/>
  <c r="T12" i="80"/>
  <c r="V55" i="80" s="1"/>
  <c r="P12" i="80"/>
  <c r="R47" i="80" s="1"/>
  <c r="N12" i="80"/>
  <c r="H12" i="80"/>
  <c r="J50" i="80" s="1"/>
  <c r="D6" i="80"/>
  <c r="D4" i="80"/>
  <c r="Z80" i="79"/>
  <c r="X80" i="79"/>
  <c r="L80" i="79"/>
  <c r="N80" i="79" s="1"/>
  <c r="Z76" i="79"/>
  <c r="T76" i="79"/>
  <c r="P76" i="79"/>
  <c r="X76" i="79" s="1"/>
  <c r="H76" i="79"/>
  <c r="N76" i="79" s="1"/>
  <c r="D76" i="79"/>
  <c r="Z74" i="79"/>
  <c r="X74" i="79"/>
  <c r="N74" i="79"/>
  <c r="L74" i="79"/>
  <c r="B74" i="79"/>
  <c r="T73" i="79"/>
  <c r="P73" i="79"/>
  <c r="H73" i="79"/>
  <c r="D73" i="79"/>
  <c r="B73" i="79"/>
  <c r="Z72" i="79"/>
  <c r="X72" i="79"/>
  <c r="N72" i="79"/>
  <c r="L72" i="79"/>
  <c r="B72" i="79"/>
  <c r="T71" i="79"/>
  <c r="P71" i="79"/>
  <c r="X71" i="79" s="1"/>
  <c r="L71" i="79"/>
  <c r="H71" i="79"/>
  <c r="N71" i="79" s="1"/>
  <c r="D71" i="79"/>
  <c r="B71" i="79"/>
  <c r="Z70" i="79"/>
  <c r="X70" i="79"/>
  <c r="N70" i="79"/>
  <c r="L70" i="79"/>
  <c r="B70" i="79"/>
  <c r="X69" i="79"/>
  <c r="Z69" i="79" s="1"/>
  <c r="N69" i="79"/>
  <c r="L69" i="79"/>
  <c r="B69" i="79"/>
  <c r="Z68" i="79"/>
  <c r="X68" i="79"/>
  <c r="T68" i="79"/>
  <c r="P68" i="79"/>
  <c r="L68" i="79"/>
  <c r="J68" i="79"/>
  <c r="H68" i="79"/>
  <c r="D68" i="79"/>
  <c r="B68" i="79"/>
  <c r="Z67" i="79"/>
  <c r="X67" i="79"/>
  <c r="N67" i="79"/>
  <c r="L67" i="79"/>
  <c r="B67" i="79"/>
  <c r="Z66" i="79"/>
  <c r="X66" i="79"/>
  <c r="N66" i="79"/>
  <c r="L66" i="79"/>
  <c r="B66" i="79"/>
  <c r="Z65" i="79"/>
  <c r="X65" i="79"/>
  <c r="L65" i="79"/>
  <c r="N65" i="79" s="1"/>
  <c r="B65" i="79"/>
  <c r="T64" i="79"/>
  <c r="P64" i="79"/>
  <c r="H64" i="79"/>
  <c r="L64" i="79" s="1"/>
  <c r="D64" i="79"/>
  <c r="B64" i="79"/>
  <c r="X63" i="79"/>
  <c r="Z63" i="79" s="1"/>
  <c r="L63" i="79"/>
  <c r="N63" i="79" s="1"/>
  <c r="B63" i="79"/>
  <c r="Z62" i="79"/>
  <c r="X62" i="79"/>
  <c r="N62" i="79"/>
  <c r="L62" i="79"/>
  <c r="B62" i="79"/>
  <c r="X61" i="79"/>
  <c r="T61" i="79"/>
  <c r="P61" i="79"/>
  <c r="H61" i="79"/>
  <c r="D61" i="79"/>
  <c r="B61" i="79"/>
  <c r="Z60" i="79"/>
  <c r="X60" i="79"/>
  <c r="V60" i="79"/>
  <c r="N60" i="79"/>
  <c r="L60" i="79"/>
  <c r="B60" i="79"/>
  <c r="Z59" i="79"/>
  <c r="X59" i="79"/>
  <c r="N59" i="79"/>
  <c r="L59" i="79"/>
  <c r="B59" i="79"/>
  <c r="X58" i="79"/>
  <c r="V58" i="79"/>
  <c r="T58" i="79"/>
  <c r="P58" i="79"/>
  <c r="N58" i="79"/>
  <c r="L58" i="79"/>
  <c r="H58" i="79"/>
  <c r="D58" i="79"/>
  <c r="B58" i="79"/>
  <c r="X57" i="79"/>
  <c r="Z57" i="79" s="1"/>
  <c r="L57" i="79"/>
  <c r="N57" i="79" s="1"/>
  <c r="B57" i="79"/>
  <c r="Z56" i="79"/>
  <c r="X56" i="79"/>
  <c r="N56" i="79"/>
  <c r="L56" i="79"/>
  <c r="B56" i="79"/>
  <c r="Z55" i="79"/>
  <c r="X55" i="79"/>
  <c r="T55" i="79"/>
  <c r="P55" i="79"/>
  <c r="H55" i="79"/>
  <c r="D55" i="79"/>
  <c r="L55" i="79" s="1"/>
  <c r="N55" i="79" s="1"/>
  <c r="B55" i="79"/>
  <c r="Z54" i="79"/>
  <c r="X54" i="79"/>
  <c r="V54" i="79"/>
  <c r="N54" i="79"/>
  <c r="L54" i="79"/>
  <c r="B54" i="79"/>
  <c r="T53" i="79"/>
  <c r="P53" i="79"/>
  <c r="X53" i="79" s="1"/>
  <c r="H53" i="79"/>
  <c r="N53" i="79" s="1"/>
  <c r="D53" i="79"/>
  <c r="L53" i="79" s="1"/>
  <c r="B53" i="79"/>
  <c r="Z52" i="79"/>
  <c r="X52" i="79"/>
  <c r="N52" i="79"/>
  <c r="L52" i="79"/>
  <c r="B52" i="79"/>
  <c r="T51" i="79"/>
  <c r="P51" i="79"/>
  <c r="X51" i="79" s="1"/>
  <c r="L51" i="79"/>
  <c r="H51" i="79"/>
  <c r="D51" i="79"/>
  <c r="B51" i="79"/>
  <c r="Z50" i="79"/>
  <c r="X50" i="79"/>
  <c r="N50" i="79"/>
  <c r="L50" i="79"/>
  <c r="B50" i="79"/>
  <c r="X49" i="79"/>
  <c r="T49" i="79"/>
  <c r="Z49" i="79" s="1"/>
  <c r="P49" i="79"/>
  <c r="H49" i="79"/>
  <c r="D49" i="79"/>
  <c r="L49" i="79" s="1"/>
  <c r="N49" i="79" s="1"/>
  <c r="B49" i="79"/>
  <c r="Z48" i="79"/>
  <c r="X48" i="79"/>
  <c r="N48" i="79"/>
  <c r="L48" i="79"/>
  <c r="B48" i="79"/>
  <c r="T47" i="79"/>
  <c r="Z47" i="79" s="1"/>
  <c r="P47" i="79"/>
  <c r="X47" i="79" s="1"/>
  <c r="L47" i="79"/>
  <c r="H47" i="79"/>
  <c r="N47" i="79" s="1"/>
  <c r="D47" i="79"/>
  <c r="B47" i="79"/>
  <c r="Z46" i="79"/>
  <c r="X46" i="79"/>
  <c r="N46" i="79"/>
  <c r="L46" i="79"/>
  <c r="B46" i="79"/>
  <c r="T45" i="79"/>
  <c r="P45" i="79"/>
  <c r="X45" i="79" s="1"/>
  <c r="H45" i="79"/>
  <c r="N45" i="79" s="1"/>
  <c r="D45" i="79"/>
  <c r="L45" i="79" s="1"/>
  <c r="B45" i="79"/>
  <c r="Z44" i="79"/>
  <c r="X44" i="79"/>
  <c r="N44" i="79"/>
  <c r="L44" i="79"/>
  <c r="B44" i="79"/>
  <c r="Z43" i="79"/>
  <c r="X43" i="79"/>
  <c r="N43" i="79"/>
  <c r="L43" i="79"/>
  <c r="B43" i="79"/>
  <c r="Z42" i="79"/>
  <c r="X42" i="79"/>
  <c r="N42" i="79"/>
  <c r="L42" i="79"/>
  <c r="B42" i="79"/>
  <c r="Z41" i="79"/>
  <c r="X41" i="79"/>
  <c r="N41" i="79"/>
  <c r="L41" i="79"/>
  <c r="B41" i="79"/>
  <c r="Z40" i="79"/>
  <c r="X40" i="79"/>
  <c r="V40" i="79"/>
  <c r="N40" i="79"/>
  <c r="L40" i="79"/>
  <c r="B40" i="79"/>
  <c r="Z39" i="79"/>
  <c r="X39" i="79"/>
  <c r="N39" i="79"/>
  <c r="L39" i="79"/>
  <c r="B39" i="79"/>
  <c r="Z38" i="79"/>
  <c r="X38" i="79"/>
  <c r="V38" i="79"/>
  <c r="N38" i="79"/>
  <c r="L38" i="79"/>
  <c r="B38" i="79"/>
  <c r="Z37" i="79"/>
  <c r="X37" i="79"/>
  <c r="V37" i="79"/>
  <c r="N37" i="79"/>
  <c r="L37" i="79"/>
  <c r="B37" i="79"/>
  <c r="Z36" i="79"/>
  <c r="X36" i="79"/>
  <c r="N36" i="79"/>
  <c r="L36" i="79"/>
  <c r="B36" i="79"/>
  <c r="Z35" i="79"/>
  <c r="X35" i="79"/>
  <c r="N35" i="79"/>
  <c r="L35" i="79"/>
  <c r="B35" i="79"/>
  <c r="V34" i="79"/>
  <c r="T34" i="79"/>
  <c r="P34" i="79"/>
  <c r="N34" i="79"/>
  <c r="H34" i="79"/>
  <c r="D34" i="79"/>
  <c r="L34" i="79" s="1"/>
  <c r="B34" i="79"/>
  <c r="Z33" i="79"/>
  <c r="X33" i="79"/>
  <c r="V33" i="79"/>
  <c r="N33" i="79"/>
  <c r="L33" i="79"/>
  <c r="B33" i="79"/>
  <c r="Z32" i="79"/>
  <c r="X32" i="79"/>
  <c r="N32" i="79"/>
  <c r="L32" i="79"/>
  <c r="B32" i="79"/>
  <c r="Z31" i="79"/>
  <c r="X31" i="79"/>
  <c r="N31" i="79"/>
  <c r="L31" i="79"/>
  <c r="B31" i="79"/>
  <c r="Z30" i="79"/>
  <c r="X30" i="79"/>
  <c r="V30" i="79"/>
  <c r="N30" i="79"/>
  <c r="L30" i="79"/>
  <c r="B30" i="79"/>
  <c r="Z29" i="79"/>
  <c r="X29" i="79"/>
  <c r="N29" i="79"/>
  <c r="L29" i="79"/>
  <c r="B29" i="79"/>
  <c r="Z28" i="79"/>
  <c r="X28" i="79"/>
  <c r="N28" i="79"/>
  <c r="L28" i="79"/>
  <c r="B28" i="79"/>
  <c r="Z27" i="79"/>
  <c r="X27" i="79"/>
  <c r="N27" i="79"/>
  <c r="L27" i="79"/>
  <c r="B27" i="79"/>
  <c r="Z26" i="79"/>
  <c r="X26" i="79"/>
  <c r="L26" i="79"/>
  <c r="N26" i="79" s="1"/>
  <c r="B26" i="79"/>
  <c r="X25" i="79"/>
  <c r="Z25" i="79" s="1"/>
  <c r="V25" i="79"/>
  <c r="L25" i="79"/>
  <c r="N25" i="79" s="1"/>
  <c r="B25" i="79"/>
  <c r="T24" i="79"/>
  <c r="P24" i="79"/>
  <c r="X24" i="79" s="1"/>
  <c r="Z24" i="79" s="1"/>
  <c r="H24" i="79"/>
  <c r="D24" i="79"/>
  <c r="L24" i="79" s="1"/>
  <c r="N24" i="79" s="1"/>
  <c r="B24" i="79"/>
  <c r="T23" i="79"/>
  <c r="P23" i="79"/>
  <c r="H23" i="79"/>
  <c r="D23" i="79"/>
  <c r="L23" i="79" s="1"/>
  <c r="Z19" i="79"/>
  <c r="X19" i="79"/>
  <c r="N19" i="79"/>
  <c r="L19" i="79"/>
  <c r="B19" i="79"/>
  <c r="Z18" i="79"/>
  <c r="X18" i="79"/>
  <c r="V18" i="79"/>
  <c r="N18" i="79"/>
  <c r="L18" i="79"/>
  <c r="B18" i="79"/>
  <c r="X17" i="79"/>
  <c r="Z17" i="79" s="1"/>
  <c r="V17" i="79"/>
  <c r="T17" i="79"/>
  <c r="P17" i="79"/>
  <c r="L17" i="79"/>
  <c r="H17" i="79"/>
  <c r="N17" i="79" s="1"/>
  <c r="D17" i="79"/>
  <c r="Z15" i="79"/>
  <c r="P15" i="79"/>
  <c r="X15" i="79" s="1"/>
  <c r="N15" i="79"/>
  <c r="L15" i="79"/>
  <c r="D15" i="79"/>
  <c r="B15" i="79"/>
  <c r="P14" i="79"/>
  <c r="X14" i="79" s="1"/>
  <c r="Z14" i="79" s="1"/>
  <c r="D14" i="79"/>
  <c r="L14" i="79" s="1"/>
  <c r="N14" i="79" s="1"/>
  <c r="B14" i="79"/>
  <c r="Z13" i="79"/>
  <c r="X13" i="79"/>
  <c r="P13" i="79"/>
  <c r="N13" i="79"/>
  <c r="D13" i="79"/>
  <c r="D12" i="79" s="1"/>
  <c r="B13" i="79"/>
  <c r="T12" i="79"/>
  <c r="V71" i="79" s="1"/>
  <c r="H12" i="79"/>
  <c r="D6" i="79"/>
  <c r="D4" i="79"/>
  <c r="Z102" i="76"/>
  <c r="X102" i="76"/>
  <c r="L102" i="76"/>
  <c r="N102" i="76" s="1"/>
  <c r="Z98" i="76"/>
  <c r="P98" i="76"/>
  <c r="X98" i="76" s="1"/>
  <c r="L98" i="76"/>
  <c r="N98" i="76" s="1"/>
  <c r="D98" i="76"/>
  <c r="B98" i="76"/>
  <c r="Z97" i="76"/>
  <c r="X97" i="76"/>
  <c r="P97" i="76"/>
  <c r="N97" i="76"/>
  <c r="D97" i="76"/>
  <c r="L97" i="76" s="1"/>
  <c r="B97" i="76"/>
  <c r="T96" i="76"/>
  <c r="H96" i="76"/>
  <c r="D96" i="76"/>
  <c r="L96" i="76" s="1"/>
  <c r="N96" i="76" s="1"/>
  <c r="Z94" i="76"/>
  <c r="X94" i="76"/>
  <c r="N94" i="76"/>
  <c r="L94" i="76"/>
  <c r="B94" i="76"/>
  <c r="T93" i="76"/>
  <c r="Z93" i="76" s="1"/>
  <c r="P93" i="76"/>
  <c r="X93" i="76" s="1"/>
  <c r="H93" i="76"/>
  <c r="N93" i="76" s="1"/>
  <c r="D93" i="76"/>
  <c r="L93" i="76" s="1"/>
  <c r="B93" i="76"/>
  <c r="X92" i="76"/>
  <c r="Z92" i="76" s="1"/>
  <c r="N92" i="76"/>
  <c r="L92" i="76"/>
  <c r="B92" i="76"/>
  <c r="X91" i="76"/>
  <c r="T91" i="76"/>
  <c r="Z91" i="76" s="1"/>
  <c r="P91" i="76"/>
  <c r="L91" i="76"/>
  <c r="N91" i="76" s="1"/>
  <c r="H91" i="76"/>
  <c r="D91" i="76"/>
  <c r="B91" i="76"/>
  <c r="Z90" i="76"/>
  <c r="X90" i="76"/>
  <c r="L90" i="76"/>
  <c r="N90" i="76" s="1"/>
  <c r="J90" i="76"/>
  <c r="B90" i="76"/>
  <c r="X89" i="76"/>
  <c r="Z89" i="76" s="1"/>
  <c r="L89" i="76"/>
  <c r="N89" i="76" s="1"/>
  <c r="B89" i="76"/>
  <c r="Z88" i="76"/>
  <c r="X88" i="76"/>
  <c r="N88" i="76"/>
  <c r="L88" i="76"/>
  <c r="B88" i="76"/>
  <c r="T87" i="76"/>
  <c r="P87" i="76"/>
  <c r="L87" i="76"/>
  <c r="H87" i="76"/>
  <c r="N87" i="76" s="1"/>
  <c r="D87" i="76"/>
  <c r="B87" i="76"/>
  <c r="X86" i="76"/>
  <c r="Z86" i="76" s="1"/>
  <c r="N86" i="76"/>
  <c r="L86" i="76"/>
  <c r="B86" i="76"/>
  <c r="T85" i="76"/>
  <c r="P85" i="76"/>
  <c r="X85" i="76" s="1"/>
  <c r="H85" i="76"/>
  <c r="N85" i="76" s="1"/>
  <c r="D85" i="76"/>
  <c r="L85" i="76" s="1"/>
  <c r="B85" i="76"/>
  <c r="X84" i="76"/>
  <c r="Z84" i="76" s="1"/>
  <c r="N84" i="76"/>
  <c r="L84" i="76"/>
  <c r="B84" i="76"/>
  <c r="X83" i="76"/>
  <c r="T83" i="76"/>
  <c r="Z83" i="76" s="1"/>
  <c r="P83" i="76"/>
  <c r="L83" i="76"/>
  <c r="N83" i="76" s="1"/>
  <c r="H83" i="76"/>
  <c r="D83" i="76"/>
  <c r="B83" i="76"/>
  <c r="Z82" i="76"/>
  <c r="X82" i="76"/>
  <c r="L82" i="76"/>
  <c r="N82" i="76" s="1"/>
  <c r="J82" i="76"/>
  <c r="B82" i="76"/>
  <c r="X81" i="76"/>
  <c r="T81" i="76"/>
  <c r="Z81" i="76" s="1"/>
  <c r="P81" i="76"/>
  <c r="H81" i="76"/>
  <c r="D81" i="76"/>
  <c r="L81" i="76" s="1"/>
  <c r="B81" i="76"/>
  <c r="Z80" i="76"/>
  <c r="X80" i="76"/>
  <c r="N80" i="76"/>
  <c r="L80" i="76"/>
  <c r="B80" i="76"/>
  <c r="Z79" i="76"/>
  <c r="X79" i="76"/>
  <c r="L79" i="76"/>
  <c r="N79" i="76" s="1"/>
  <c r="B79" i="76"/>
  <c r="X78" i="76"/>
  <c r="T78" i="76"/>
  <c r="P78" i="76"/>
  <c r="H78" i="76"/>
  <c r="D78" i="76"/>
  <c r="L78" i="76" s="1"/>
  <c r="N78" i="76" s="1"/>
  <c r="B78" i="76"/>
  <c r="Z77" i="76"/>
  <c r="X77" i="76"/>
  <c r="L77" i="76"/>
  <c r="N77" i="76" s="1"/>
  <c r="B77" i="76"/>
  <c r="T76" i="76"/>
  <c r="P76" i="76"/>
  <c r="X76" i="76" s="1"/>
  <c r="H76" i="76"/>
  <c r="D76" i="76"/>
  <c r="L76" i="76" s="1"/>
  <c r="N76" i="76" s="1"/>
  <c r="B76" i="76"/>
  <c r="Z75" i="76"/>
  <c r="X75" i="76"/>
  <c r="N75" i="76"/>
  <c r="L75" i="76"/>
  <c r="B75" i="76"/>
  <c r="T74" i="76"/>
  <c r="Z74" i="76" s="1"/>
  <c r="P74" i="76"/>
  <c r="X74" i="76" s="1"/>
  <c r="N74" i="76"/>
  <c r="L74" i="76"/>
  <c r="H74" i="76"/>
  <c r="D74" i="76"/>
  <c r="B74" i="76"/>
  <c r="X73" i="76"/>
  <c r="Z73" i="76" s="1"/>
  <c r="L73" i="76"/>
  <c r="N73" i="76" s="1"/>
  <c r="B73" i="76"/>
  <c r="T72" i="76"/>
  <c r="P72" i="76"/>
  <c r="X72" i="76" s="1"/>
  <c r="Z72" i="76" s="1"/>
  <c r="L72" i="76"/>
  <c r="J72" i="76"/>
  <c r="H72" i="76"/>
  <c r="D72" i="76"/>
  <c r="B72" i="76"/>
  <c r="X71" i="76"/>
  <c r="Z71" i="76" s="1"/>
  <c r="N71" i="76"/>
  <c r="L71" i="76"/>
  <c r="J71" i="76"/>
  <c r="B71" i="76"/>
  <c r="Z70" i="76"/>
  <c r="X70" i="76"/>
  <c r="T70" i="76"/>
  <c r="P70" i="76"/>
  <c r="H70" i="76"/>
  <c r="D70" i="76"/>
  <c r="B70" i="76"/>
  <c r="Z69" i="76"/>
  <c r="X69" i="76"/>
  <c r="N69" i="76"/>
  <c r="L69" i="76"/>
  <c r="B69" i="76"/>
  <c r="Z68" i="76"/>
  <c r="X68" i="76"/>
  <c r="N68" i="76"/>
  <c r="L68" i="76"/>
  <c r="B68" i="76"/>
  <c r="Z67" i="76"/>
  <c r="X67" i="76"/>
  <c r="N67" i="76"/>
  <c r="L67" i="76"/>
  <c r="B67" i="76"/>
  <c r="Z66" i="76"/>
  <c r="X66" i="76"/>
  <c r="N66" i="76"/>
  <c r="L66" i="76"/>
  <c r="J66" i="76"/>
  <c r="B66" i="76"/>
  <c r="Z65" i="76"/>
  <c r="X65" i="76"/>
  <c r="N65" i="76"/>
  <c r="L65" i="76"/>
  <c r="B65" i="76"/>
  <c r="Z64" i="76"/>
  <c r="X64" i="76"/>
  <c r="N64" i="76"/>
  <c r="L64" i="76"/>
  <c r="B64" i="76"/>
  <c r="Z63" i="76"/>
  <c r="X63" i="76"/>
  <c r="N63" i="76"/>
  <c r="L63" i="76"/>
  <c r="B63" i="76"/>
  <c r="Z62" i="76"/>
  <c r="X62" i="76"/>
  <c r="N62" i="76"/>
  <c r="L62" i="76"/>
  <c r="J62" i="76"/>
  <c r="B62" i="76"/>
  <c r="X61" i="76"/>
  <c r="Z61" i="76" s="1"/>
  <c r="L61" i="76"/>
  <c r="N61" i="76" s="1"/>
  <c r="B61" i="76"/>
  <c r="Z60" i="76"/>
  <c r="X60" i="76"/>
  <c r="N60" i="76"/>
  <c r="L60" i="76"/>
  <c r="B60" i="76"/>
  <c r="T59" i="76"/>
  <c r="P59" i="76"/>
  <c r="L59" i="76"/>
  <c r="H59" i="76"/>
  <c r="N59" i="76" s="1"/>
  <c r="D59" i="76"/>
  <c r="B59" i="76"/>
  <c r="X58" i="76"/>
  <c r="Z58" i="76" s="1"/>
  <c r="N58" i="76"/>
  <c r="L58" i="76"/>
  <c r="J58" i="76"/>
  <c r="B58" i="76"/>
  <c r="X57" i="76"/>
  <c r="Z57" i="76" s="1"/>
  <c r="N57" i="76"/>
  <c r="L57" i="76"/>
  <c r="J57" i="76"/>
  <c r="B57" i="76"/>
  <c r="Z56" i="76"/>
  <c r="X56" i="76"/>
  <c r="L56" i="76"/>
  <c r="N56" i="76" s="1"/>
  <c r="B56" i="76"/>
  <c r="Z55" i="76"/>
  <c r="X55" i="76"/>
  <c r="N55" i="76"/>
  <c r="L55" i="76"/>
  <c r="B55" i="76"/>
  <c r="Z54" i="76"/>
  <c r="X54" i="76"/>
  <c r="N54" i="76"/>
  <c r="L54" i="76"/>
  <c r="J54" i="76"/>
  <c r="B54" i="76"/>
  <c r="X53" i="76"/>
  <c r="Z53" i="76" s="1"/>
  <c r="L53" i="76"/>
  <c r="N53" i="76" s="1"/>
  <c r="J53" i="76"/>
  <c r="B53" i="76"/>
  <c r="Z52" i="76"/>
  <c r="X52" i="76"/>
  <c r="L52" i="76"/>
  <c r="N52" i="76" s="1"/>
  <c r="B52" i="76"/>
  <c r="Z51" i="76"/>
  <c r="X51" i="76"/>
  <c r="L51" i="76"/>
  <c r="N51" i="76" s="1"/>
  <c r="B51" i="76"/>
  <c r="X50" i="76"/>
  <c r="Z50" i="76" s="1"/>
  <c r="N50" i="76"/>
  <c r="L50" i="76"/>
  <c r="J50" i="76"/>
  <c r="B50" i="76"/>
  <c r="X49" i="76"/>
  <c r="Z49" i="76" s="1"/>
  <c r="L49" i="76"/>
  <c r="N49" i="76" s="1"/>
  <c r="J49" i="76"/>
  <c r="B49" i="76"/>
  <c r="T48" i="76"/>
  <c r="P48" i="76"/>
  <c r="X48" i="76" s="1"/>
  <c r="Z48" i="76" s="1"/>
  <c r="L48" i="76"/>
  <c r="J48" i="76"/>
  <c r="H48" i="76"/>
  <c r="D48" i="76"/>
  <c r="B48" i="76"/>
  <c r="T47" i="76"/>
  <c r="P47" i="76"/>
  <c r="H47" i="76"/>
  <c r="D47" i="76"/>
  <c r="Z43" i="76"/>
  <c r="X43" i="76"/>
  <c r="N43" i="76"/>
  <c r="L43" i="76"/>
  <c r="J43" i="76"/>
  <c r="B43" i="76"/>
  <c r="Z42" i="76"/>
  <c r="X42" i="76"/>
  <c r="N42" i="76"/>
  <c r="L42" i="76"/>
  <c r="B42" i="76"/>
  <c r="Z41" i="76"/>
  <c r="X41" i="76"/>
  <c r="V41" i="76"/>
  <c r="N41" i="76"/>
  <c r="L41" i="76"/>
  <c r="B41" i="76"/>
  <c r="Z40" i="76"/>
  <c r="X40" i="76"/>
  <c r="N40" i="76"/>
  <c r="L40" i="76"/>
  <c r="B40" i="76"/>
  <c r="Z39" i="76"/>
  <c r="X39" i="76"/>
  <c r="N39" i="76"/>
  <c r="L39" i="76"/>
  <c r="J39" i="76"/>
  <c r="B39" i="76"/>
  <c r="Z38" i="76"/>
  <c r="X38" i="76"/>
  <c r="N38" i="76"/>
  <c r="L38" i="76"/>
  <c r="B38" i="76"/>
  <c r="Z37" i="76"/>
  <c r="X37" i="76"/>
  <c r="N37" i="76"/>
  <c r="L37" i="76"/>
  <c r="B37" i="76"/>
  <c r="Z36" i="76"/>
  <c r="X36" i="76"/>
  <c r="N36" i="76"/>
  <c r="L36" i="76"/>
  <c r="B36" i="76"/>
  <c r="Z35" i="76"/>
  <c r="X35" i="76"/>
  <c r="N35" i="76"/>
  <c r="L35" i="76"/>
  <c r="J35" i="76"/>
  <c r="B35" i="76"/>
  <c r="Z34" i="76"/>
  <c r="X34" i="76"/>
  <c r="N34" i="76"/>
  <c r="L34" i="76"/>
  <c r="B34" i="76"/>
  <c r="Z33" i="76"/>
  <c r="X33" i="76"/>
  <c r="L33" i="76"/>
  <c r="N33" i="76" s="1"/>
  <c r="B33" i="76"/>
  <c r="T32" i="76"/>
  <c r="P32" i="76"/>
  <c r="J32" i="76"/>
  <c r="H32" i="76"/>
  <c r="D32" i="76"/>
  <c r="L32" i="76" s="1"/>
  <c r="N32" i="76" s="1"/>
  <c r="Z30" i="76"/>
  <c r="P30" i="76"/>
  <c r="X30" i="76" s="1"/>
  <c r="N30" i="76"/>
  <c r="D30" i="76"/>
  <c r="L30" i="76" s="1"/>
  <c r="B30" i="76"/>
  <c r="Z29" i="76"/>
  <c r="X29" i="76"/>
  <c r="P29" i="76"/>
  <c r="N29" i="76"/>
  <c r="D29" i="76"/>
  <c r="L29" i="76" s="1"/>
  <c r="B29" i="76"/>
  <c r="Z28" i="76"/>
  <c r="X28" i="76"/>
  <c r="P28" i="76"/>
  <c r="N28" i="76"/>
  <c r="L28" i="76"/>
  <c r="D28" i="76"/>
  <c r="B28" i="76"/>
  <c r="Z27" i="76"/>
  <c r="X27" i="76"/>
  <c r="P27" i="76"/>
  <c r="N27" i="76"/>
  <c r="D27" i="76"/>
  <c r="L27" i="76" s="1"/>
  <c r="B27" i="76"/>
  <c r="Z26" i="76"/>
  <c r="X26" i="76"/>
  <c r="P26" i="76"/>
  <c r="N26" i="76"/>
  <c r="L26" i="76"/>
  <c r="D26" i="76"/>
  <c r="B26" i="76"/>
  <c r="Z25" i="76"/>
  <c r="P25" i="76"/>
  <c r="X25" i="76" s="1"/>
  <c r="N25" i="76"/>
  <c r="L25" i="76"/>
  <c r="D25" i="76"/>
  <c r="B25" i="76"/>
  <c r="Z24" i="76"/>
  <c r="P24" i="76"/>
  <c r="X24" i="76" s="1"/>
  <c r="N24" i="76"/>
  <c r="L24" i="76"/>
  <c r="D24" i="76"/>
  <c r="B24" i="76"/>
  <c r="Z23" i="76"/>
  <c r="P23" i="76"/>
  <c r="X23" i="76" s="1"/>
  <c r="N23" i="76"/>
  <c r="L23" i="76"/>
  <c r="D23" i="76"/>
  <c r="B23" i="76"/>
  <c r="Z22" i="76"/>
  <c r="P22" i="76"/>
  <c r="X22" i="76" s="1"/>
  <c r="N22" i="76"/>
  <c r="L22" i="76"/>
  <c r="D22" i="76"/>
  <c r="B22" i="76"/>
  <c r="Z21" i="76"/>
  <c r="P21" i="76"/>
  <c r="X21" i="76" s="1"/>
  <c r="N21" i="76"/>
  <c r="D21" i="76"/>
  <c r="L21" i="76" s="1"/>
  <c r="B21" i="76"/>
  <c r="Z20" i="76"/>
  <c r="P20" i="76"/>
  <c r="X20" i="76" s="1"/>
  <c r="N20" i="76"/>
  <c r="D20" i="76"/>
  <c r="L20" i="76" s="1"/>
  <c r="B20" i="76"/>
  <c r="Z19" i="76"/>
  <c r="X19" i="76"/>
  <c r="P19" i="76"/>
  <c r="N19" i="76"/>
  <c r="D19" i="76"/>
  <c r="L19" i="76" s="1"/>
  <c r="B19" i="76"/>
  <c r="Z18" i="76"/>
  <c r="P18" i="76"/>
  <c r="X18" i="76" s="1"/>
  <c r="N18" i="76"/>
  <c r="L18" i="76"/>
  <c r="D18" i="76"/>
  <c r="B18" i="76"/>
  <c r="Z17" i="76"/>
  <c r="X17" i="76"/>
  <c r="P17" i="76"/>
  <c r="N17" i="76"/>
  <c r="D17" i="76"/>
  <c r="L17" i="76" s="1"/>
  <c r="B17" i="76"/>
  <c r="Z16" i="76"/>
  <c r="X16" i="76"/>
  <c r="P16" i="76"/>
  <c r="N16" i="76"/>
  <c r="L16" i="76"/>
  <c r="D16" i="76"/>
  <c r="B16" i="76"/>
  <c r="Z15" i="76"/>
  <c r="X15" i="76"/>
  <c r="P15" i="76"/>
  <c r="N15" i="76"/>
  <c r="D15" i="76"/>
  <c r="L15" i="76" s="1"/>
  <c r="B15" i="76"/>
  <c r="Z14" i="76"/>
  <c r="X14" i="76"/>
  <c r="P14" i="76"/>
  <c r="N14" i="76"/>
  <c r="L14" i="76"/>
  <c r="D14" i="76"/>
  <c r="B14" i="76"/>
  <c r="X13" i="76"/>
  <c r="Z13" i="76" s="1"/>
  <c r="P13" i="76"/>
  <c r="L13" i="76"/>
  <c r="N13" i="76" s="1"/>
  <c r="D13" i="76"/>
  <c r="B13" i="76"/>
  <c r="T12" i="76"/>
  <c r="V59" i="76" s="1"/>
  <c r="H12" i="76"/>
  <c r="J91" i="76" s="1"/>
  <c r="D6" i="76"/>
  <c r="D4" i="76"/>
  <c r="Z82" i="75"/>
  <c r="X82" i="75"/>
  <c r="N82" i="75"/>
  <c r="L82" i="75"/>
  <c r="P78" i="75"/>
  <c r="X78" i="75" s="1"/>
  <c r="Z78" i="75" s="1"/>
  <c r="N78" i="75"/>
  <c r="L78" i="75"/>
  <c r="D78" i="75"/>
  <c r="B78" i="75"/>
  <c r="T77" i="75"/>
  <c r="Z77" i="75" s="1"/>
  <c r="P77" i="75"/>
  <c r="X77" i="75" s="1"/>
  <c r="N77" i="75"/>
  <c r="H77" i="75"/>
  <c r="D77" i="75"/>
  <c r="L77" i="75" s="1"/>
  <c r="Z75" i="75"/>
  <c r="X75" i="75"/>
  <c r="N75" i="75"/>
  <c r="L75" i="75"/>
  <c r="B75" i="75"/>
  <c r="Z74" i="75"/>
  <c r="T74" i="75"/>
  <c r="P74" i="75"/>
  <c r="X74" i="75" s="1"/>
  <c r="H74" i="75"/>
  <c r="N74" i="75" s="1"/>
  <c r="D74" i="75"/>
  <c r="B74" i="75"/>
  <c r="X73" i="75"/>
  <c r="Z73" i="75" s="1"/>
  <c r="L73" i="75"/>
  <c r="N73" i="75" s="1"/>
  <c r="J73" i="75"/>
  <c r="B73" i="75"/>
  <c r="Z72" i="75"/>
  <c r="X72" i="75"/>
  <c r="T72" i="75"/>
  <c r="P72" i="75"/>
  <c r="H72" i="75"/>
  <c r="D72" i="75"/>
  <c r="B72" i="75"/>
  <c r="X71" i="75"/>
  <c r="Z71" i="75" s="1"/>
  <c r="L71" i="75"/>
  <c r="N71" i="75" s="1"/>
  <c r="B71" i="75"/>
  <c r="X70" i="75"/>
  <c r="Z70" i="75" s="1"/>
  <c r="N70" i="75"/>
  <c r="L70" i="75"/>
  <c r="J70" i="75"/>
  <c r="B70" i="75"/>
  <c r="X69" i="75"/>
  <c r="Z69" i="75" s="1"/>
  <c r="N69" i="75"/>
  <c r="L69" i="75"/>
  <c r="B69" i="75"/>
  <c r="Z68" i="75"/>
  <c r="X68" i="75"/>
  <c r="N68" i="75"/>
  <c r="L68" i="75"/>
  <c r="J68" i="75"/>
  <c r="B68" i="75"/>
  <c r="Z67" i="75"/>
  <c r="X67" i="75"/>
  <c r="N67" i="75"/>
  <c r="L67" i="75"/>
  <c r="B67" i="75"/>
  <c r="Z66" i="75"/>
  <c r="X66" i="75"/>
  <c r="V66" i="75"/>
  <c r="T66" i="75"/>
  <c r="P66" i="75"/>
  <c r="N66" i="75"/>
  <c r="J66" i="75"/>
  <c r="H66" i="75"/>
  <c r="D66" i="75"/>
  <c r="L66" i="75" s="1"/>
  <c r="B66" i="75"/>
  <c r="Z65" i="75"/>
  <c r="X65" i="75"/>
  <c r="L65" i="75"/>
  <c r="N65" i="75" s="1"/>
  <c r="B65" i="75"/>
  <c r="Z64" i="75"/>
  <c r="X64" i="75"/>
  <c r="T64" i="75"/>
  <c r="P64" i="75"/>
  <c r="H64" i="75"/>
  <c r="D64" i="75"/>
  <c r="L64" i="75" s="1"/>
  <c r="N64" i="75" s="1"/>
  <c r="B64" i="75"/>
  <c r="Z63" i="75"/>
  <c r="X63" i="75"/>
  <c r="L63" i="75"/>
  <c r="N63" i="75" s="1"/>
  <c r="B63" i="75"/>
  <c r="Z62" i="75"/>
  <c r="X62" i="75"/>
  <c r="V62" i="75"/>
  <c r="N62" i="75"/>
  <c r="L62" i="75"/>
  <c r="J62" i="75"/>
  <c r="B62" i="75"/>
  <c r="T61" i="75"/>
  <c r="P61" i="75"/>
  <c r="X61" i="75" s="1"/>
  <c r="J61" i="75"/>
  <c r="H61" i="75"/>
  <c r="D61" i="75"/>
  <c r="L61" i="75" s="1"/>
  <c r="B61" i="75"/>
  <c r="Z60" i="75"/>
  <c r="X60" i="75"/>
  <c r="L60" i="75"/>
  <c r="N60" i="75" s="1"/>
  <c r="B60" i="75"/>
  <c r="X59" i="75"/>
  <c r="Z59" i="75" s="1"/>
  <c r="L59" i="75"/>
  <c r="N59" i="75" s="1"/>
  <c r="J59" i="75"/>
  <c r="B59" i="75"/>
  <c r="Z58" i="75"/>
  <c r="X58" i="75"/>
  <c r="T58" i="75"/>
  <c r="P58" i="75"/>
  <c r="H58" i="75"/>
  <c r="D58" i="75"/>
  <c r="B58" i="75"/>
  <c r="Z57" i="75"/>
  <c r="X57" i="75"/>
  <c r="L57" i="75"/>
  <c r="N57" i="75" s="1"/>
  <c r="B57" i="75"/>
  <c r="T56" i="75"/>
  <c r="X56" i="75" s="1"/>
  <c r="Z56" i="75" s="1"/>
  <c r="P56" i="75"/>
  <c r="N56" i="75"/>
  <c r="H56" i="75"/>
  <c r="D56" i="75"/>
  <c r="L56" i="75" s="1"/>
  <c r="B56" i="75"/>
  <c r="Z55" i="75"/>
  <c r="X55" i="75"/>
  <c r="L55" i="75"/>
  <c r="N55" i="75" s="1"/>
  <c r="B55" i="75"/>
  <c r="T54" i="75"/>
  <c r="Z54" i="75" s="1"/>
  <c r="P54" i="75"/>
  <c r="X54" i="75" s="1"/>
  <c r="N54" i="75"/>
  <c r="L54" i="75"/>
  <c r="J54" i="75"/>
  <c r="H54" i="75"/>
  <c r="D54" i="75"/>
  <c r="B54" i="75"/>
  <c r="Z53" i="75"/>
  <c r="X53" i="75"/>
  <c r="N53" i="75"/>
  <c r="L53" i="75"/>
  <c r="B53" i="75"/>
  <c r="T52" i="75"/>
  <c r="P52" i="75"/>
  <c r="N52" i="75"/>
  <c r="L52" i="75"/>
  <c r="J52" i="75"/>
  <c r="H52" i="75"/>
  <c r="D52" i="75"/>
  <c r="B52" i="75"/>
  <c r="X51" i="75"/>
  <c r="Z51" i="75" s="1"/>
  <c r="L51" i="75"/>
  <c r="N51" i="75" s="1"/>
  <c r="B51" i="75"/>
  <c r="Z50" i="75"/>
  <c r="T50" i="75"/>
  <c r="P50" i="75"/>
  <c r="X50" i="75" s="1"/>
  <c r="L50" i="75"/>
  <c r="H50" i="75"/>
  <c r="N50" i="75" s="1"/>
  <c r="D50" i="75"/>
  <c r="B50" i="75"/>
  <c r="Z49" i="75"/>
  <c r="X49" i="75"/>
  <c r="N49" i="75"/>
  <c r="L49" i="75"/>
  <c r="B49" i="75"/>
  <c r="Z48" i="75"/>
  <c r="X48" i="75"/>
  <c r="N48" i="75"/>
  <c r="L48" i="75"/>
  <c r="J48" i="75"/>
  <c r="B48" i="75"/>
  <c r="Z47" i="75"/>
  <c r="X47" i="75"/>
  <c r="N47" i="75"/>
  <c r="L47" i="75"/>
  <c r="J47" i="75"/>
  <c r="B47" i="75"/>
  <c r="Z46" i="75"/>
  <c r="X46" i="75"/>
  <c r="N46" i="75"/>
  <c r="L46" i="75"/>
  <c r="B46" i="75"/>
  <c r="Z45" i="75"/>
  <c r="X45" i="75"/>
  <c r="N45" i="75"/>
  <c r="L45" i="75"/>
  <c r="B45" i="75"/>
  <c r="Z44" i="75"/>
  <c r="X44" i="75"/>
  <c r="N44" i="75"/>
  <c r="L44" i="75"/>
  <c r="J44" i="75"/>
  <c r="B44" i="75"/>
  <c r="Z43" i="75"/>
  <c r="X43" i="75"/>
  <c r="N43" i="75"/>
  <c r="L43" i="75"/>
  <c r="J43" i="75"/>
  <c r="B43" i="75"/>
  <c r="Z42" i="75"/>
  <c r="X42" i="75"/>
  <c r="N42" i="75"/>
  <c r="L42" i="75"/>
  <c r="B42" i="75"/>
  <c r="Z41" i="75"/>
  <c r="X41" i="75"/>
  <c r="N41" i="75"/>
  <c r="L41" i="75"/>
  <c r="B41" i="75"/>
  <c r="Z40" i="75"/>
  <c r="X40" i="75"/>
  <c r="N40" i="75"/>
  <c r="L40" i="75"/>
  <c r="J40" i="75"/>
  <c r="B40" i="75"/>
  <c r="X39" i="75"/>
  <c r="T39" i="75"/>
  <c r="Z39" i="75" s="1"/>
  <c r="P39" i="75"/>
  <c r="N39" i="75"/>
  <c r="L39" i="75"/>
  <c r="H39" i="75"/>
  <c r="D39" i="75"/>
  <c r="B39" i="75"/>
  <c r="Z38" i="75"/>
  <c r="X38" i="75"/>
  <c r="N38" i="75"/>
  <c r="L38" i="75"/>
  <c r="J38" i="75"/>
  <c r="B38" i="75"/>
  <c r="X37" i="75"/>
  <c r="Z37" i="75" s="1"/>
  <c r="L37" i="75"/>
  <c r="N37" i="75" s="1"/>
  <c r="B37" i="75"/>
  <c r="Z36" i="75"/>
  <c r="X36" i="75"/>
  <c r="N36" i="75"/>
  <c r="L36" i="75"/>
  <c r="B36" i="75"/>
  <c r="Z35" i="75"/>
  <c r="X35" i="75"/>
  <c r="V35" i="75"/>
  <c r="N35" i="75"/>
  <c r="L35" i="75"/>
  <c r="J35" i="75"/>
  <c r="B35" i="75"/>
  <c r="Z34" i="75"/>
  <c r="X34" i="75"/>
  <c r="L34" i="75"/>
  <c r="N34" i="75" s="1"/>
  <c r="J34" i="75"/>
  <c r="B34" i="75"/>
  <c r="X33" i="75"/>
  <c r="Z33" i="75" s="1"/>
  <c r="L33" i="75"/>
  <c r="N33" i="75" s="1"/>
  <c r="B33" i="75"/>
  <c r="Z32" i="75"/>
  <c r="X32" i="75"/>
  <c r="N32" i="75"/>
  <c r="L32" i="75"/>
  <c r="B32" i="75"/>
  <c r="X31" i="75"/>
  <c r="Z31" i="75" s="1"/>
  <c r="V31" i="75"/>
  <c r="L31" i="75"/>
  <c r="N31" i="75" s="1"/>
  <c r="J31" i="75"/>
  <c r="B31" i="75"/>
  <c r="Z30" i="75"/>
  <c r="X30" i="75"/>
  <c r="L30" i="75"/>
  <c r="N30" i="75" s="1"/>
  <c r="J30" i="75"/>
  <c r="B30" i="75"/>
  <c r="X29" i="75"/>
  <c r="Z29" i="75" s="1"/>
  <c r="T29" i="75"/>
  <c r="P29" i="75"/>
  <c r="J29" i="75"/>
  <c r="H29" i="75"/>
  <c r="N29" i="75" s="1"/>
  <c r="D29" i="75"/>
  <c r="L29" i="75" s="1"/>
  <c r="B29" i="75"/>
  <c r="T28" i="75"/>
  <c r="P28" i="75"/>
  <c r="X28" i="75" s="1"/>
  <c r="Z28" i="75" s="1"/>
  <c r="H28" i="75"/>
  <c r="D28" i="75"/>
  <c r="L28" i="75" s="1"/>
  <c r="Z24" i="75"/>
  <c r="T24" i="75"/>
  <c r="P24" i="75"/>
  <c r="X24" i="75" s="1"/>
  <c r="L24" i="75"/>
  <c r="J24" i="75"/>
  <c r="H24" i="75"/>
  <c r="N24" i="75" s="1"/>
  <c r="D24" i="75"/>
  <c r="Z22" i="75"/>
  <c r="P22" i="75"/>
  <c r="X22" i="75" s="1"/>
  <c r="N22" i="75"/>
  <c r="L22" i="75"/>
  <c r="D22" i="75"/>
  <c r="B22" i="75"/>
  <c r="Z21" i="75"/>
  <c r="X21" i="75"/>
  <c r="P21" i="75"/>
  <c r="N21" i="75"/>
  <c r="L21" i="75"/>
  <c r="D21" i="75"/>
  <c r="B21" i="75"/>
  <c r="Z20" i="75"/>
  <c r="X20" i="75"/>
  <c r="P20" i="75"/>
  <c r="N20" i="75"/>
  <c r="D20" i="75"/>
  <c r="L20" i="75" s="1"/>
  <c r="B20" i="75"/>
  <c r="Z19" i="75"/>
  <c r="P19" i="75"/>
  <c r="X19" i="75" s="1"/>
  <c r="N19" i="75"/>
  <c r="D19" i="75"/>
  <c r="L19" i="75" s="1"/>
  <c r="B19" i="75"/>
  <c r="Z18" i="75"/>
  <c r="X18" i="75"/>
  <c r="P18" i="75"/>
  <c r="N18" i="75"/>
  <c r="L18" i="75"/>
  <c r="D18" i="75"/>
  <c r="B18" i="75"/>
  <c r="Z17" i="75"/>
  <c r="X17" i="75"/>
  <c r="P17" i="75"/>
  <c r="L17" i="75"/>
  <c r="N17" i="75" s="1"/>
  <c r="D17" i="75"/>
  <c r="B17" i="75"/>
  <c r="Z16" i="75"/>
  <c r="X16" i="75"/>
  <c r="P16" i="75"/>
  <c r="N16" i="75"/>
  <c r="D16" i="75"/>
  <c r="L16" i="75" s="1"/>
  <c r="B16" i="75"/>
  <c r="Z15" i="75"/>
  <c r="P15" i="75"/>
  <c r="X15" i="75" s="1"/>
  <c r="N15" i="75"/>
  <c r="L15" i="75"/>
  <c r="D15" i="75"/>
  <c r="B15" i="75"/>
  <c r="Z14" i="75"/>
  <c r="P14" i="75"/>
  <c r="X14" i="75" s="1"/>
  <c r="N14" i="75"/>
  <c r="L14" i="75"/>
  <c r="D14" i="75"/>
  <c r="B14" i="75"/>
  <c r="P13" i="75"/>
  <c r="P12" i="75" s="1"/>
  <c r="R48" i="75" s="1"/>
  <c r="L13" i="75"/>
  <c r="N13" i="75" s="1"/>
  <c r="D13" i="75"/>
  <c r="D12" i="75" s="1"/>
  <c r="F64" i="75" s="1"/>
  <c r="B13" i="75"/>
  <c r="T12" i="75"/>
  <c r="V60" i="75" s="1"/>
  <c r="H12" i="75"/>
  <c r="J64" i="75" s="1"/>
  <c r="D6" i="75"/>
  <c r="D4" i="75"/>
  <c r="Z146" i="74"/>
  <c r="X146" i="74"/>
  <c r="N146" i="74"/>
  <c r="L146" i="74"/>
  <c r="Z142" i="74"/>
  <c r="P142" i="74"/>
  <c r="X142" i="74" s="1"/>
  <c r="N142" i="74"/>
  <c r="L142" i="74"/>
  <c r="D142" i="74"/>
  <c r="B142" i="74"/>
  <c r="Z141" i="74"/>
  <c r="P141" i="74"/>
  <c r="N141" i="74"/>
  <c r="D141" i="74"/>
  <c r="L141" i="74" s="1"/>
  <c r="B141" i="74"/>
  <c r="Z140" i="74"/>
  <c r="X140" i="74"/>
  <c r="P140" i="74"/>
  <c r="N140" i="74"/>
  <c r="L140" i="74"/>
  <c r="D140" i="74"/>
  <c r="D139" i="74" s="1"/>
  <c r="L139" i="74" s="1"/>
  <c r="N139" i="74" s="1"/>
  <c r="B140" i="74"/>
  <c r="T139" i="74"/>
  <c r="H139" i="74"/>
  <c r="Z137" i="74"/>
  <c r="X137" i="74"/>
  <c r="N137" i="74"/>
  <c r="L137" i="74"/>
  <c r="J137" i="74"/>
  <c r="B137" i="74"/>
  <c r="X136" i="74"/>
  <c r="Z136" i="74" s="1"/>
  <c r="N136" i="74"/>
  <c r="L136" i="74"/>
  <c r="B136" i="74"/>
  <c r="Z135" i="74"/>
  <c r="X135" i="74"/>
  <c r="T135" i="74"/>
  <c r="P135" i="74"/>
  <c r="L135" i="74"/>
  <c r="N135" i="74" s="1"/>
  <c r="H135" i="74"/>
  <c r="D135" i="74"/>
  <c r="B135" i="74"/>
  <c r="Z134" i="74"/>
  <c r="X134" i="74"/>
  <c r="N134" i="74"/>
  <c r="L134" i="74"/>
  <c r="B134" i="74"/>
  <c r="V133" i="74"/>
  <c r="T133" i="74"/>
  <c r="P133" i="74"/>
  <c r="X133" i="74" s="1"/>
  <c r="N133" i="74"/>
  <c r="L133" i="74"/>
  <c r="H133" i="74"/>
  <c r="D133" i="74"/>
  <c r="B133" i="74"/>
  <c r="X132" i="74"/>
  <c r="Z132" i="74" s="1"/>
  <c r="N132" i="74"/>
  <c r="L132" i="74"/>
  <c r="B132" i="74"/>
  <c r="Z131" i="74"/>
  <c r="X131" i="74"/>
  <c r="N131" i="74"/>
  <c r="L131" i="74"/>
  <c r="B131" i="74"/>
  <c r="Z130" i="74"/>
  <c r="X130" i="74"/>
  <c r="N130" i="74"/>
  <c r="L130" i="74"/>
  <c r="B130" i="74"/>
  <c r="X129" i="74"/>
  <c r="Z129" i="74" s="1"/>
  <c r="L129" i="74"/>
  <c r="N129" i="74" s="1"/>
  <c r="B129" i="74"/>
  <c r="X128" i="74"/>
  <c r="Z128" i="74" s="1"/>
  <c r="L128" i="74"/>
  <c r="N128" i="74" s="1"/>
  <c r="B128" i="74"/>
  <c r="Z127" i="74"/>
  <c r="X127" i="74"/>
  <c r="N127" i="74"/>
  <c r="L127" i="74"/>
  <c r="B127" i="74"/>
  <c r="Z126" i="74"/>
  <c r="X126" i="74"/>
  <c r="N126" i="74"/>
  <c r="L126" i="74"/>
  <c r="B126" i="74"/>
  <c r="X125" i="74"/>
  <c r="T125" i="74"/>
  <c r="Z125" i="74" s="1"/>
  <c r="P125" i="74"/>
  <c r="H125" i="74"/>
  <c r="D125" i="74"/>
  <c r="L125" i="74" s="1"/>
  <c r="N125" i="74" s="1"/>
  <c r="B125" i="74"/>
  <c r="Z124" i="74"/>
  <c r="X124" i="74"/>
  <c r="N124" i="74"/>
  <c r="L124" i="74"/>
  <c r="B124" i="74"/>
  <c r="Z123" i="74"/>
  <c r="X123" i="74"/>
  <c r="N123" i="74"/>
  <c r="L123" i="74"/>
  <c r="B123" i="74"/>
  <c r="T122" i="74"/>
  <c r="P122" i="74"/>
  <c r="N122" i="74"/>
  <c r="L122" i="74"/>
  <c r="H122" i="74"/>
  <c r="D122" i="74"/>
  <c r="B122" i="74"/>
  <c r="X121" i="74"/>
  <c r="Z121" i="74" s="1"/>
  <c r="V121" i="74"/>
  <c r="L121" i="74"/>
  <c r="N121" i="74" s="1"/>
  <c r="B121" i="74"/>
  <c r="Z120" i="74"/>
  <c r="X120" i="74"/>
  <c r="L120" i="74"/>
  <c r="N120" i="74" s="1"/>
  <c r="J120" i="74"/>
  <c r="B120" i="74"/>
  <c r="Z119" i="74"/>
  <c r="X119" i="74"/>
  <c r="N119" i="74"/>
  <c r="L119" i="74"/>
  <c r="B119" i="74"/>
  <c r="T118" i="74"/>
  <c r="X118" i="74" s="1"/>
  <c r="Z118" i="74" s="1"/>
  <c r="P118" i="74"/>
  <c r="H118" i="74"/>
  <c r="D118" i="74"/>
  <c r="L118" i="74" s="1"/>
  <c r="N118" i="74" s="1"/>
  <c r="B118" i="74"/>
  <c r="X117" i="74"/>
  <c r="Z117" i="74" s="1"/>
  <c r="L117" i="74"/>
  <c r="N117" i="74" s="1"/>
  <c r="B117" i="74"/>
  <c r="X116" i="74"/>
  <c r="T116" i="74"/>
  <c r="Z116" i="74" s="1"/>
  <c r="P116" i="74"/>
  <c r="H116" i="74"/>
  <c r="L116" i="74" s="1"/>
  <c r="N116" i="74" s="1"/>
  <c r="D116" i="74"/>
  <c r="B116" i="74"/>
  <c r="Z115" i="74"/>
  <c r="X115" i="74"/>
  <c r="N115" i="74"/>
  <c r="L115" i="74"/>
  <c r="B115" i="74"/>
  <c r="T114" i="74"/>
  <c r="P114" i="74"/>
  <c r="X114" i="74" s="1"/>
  <c r="L114" i="74"/>
  <c r="N114" i="74" s="1"/>
  <c r="H114" i="74"/>
  <c r="D114" i="74"/>
  <c r="B114" i="74"/>
  <c r="X113" i="74"/>
  <c r="Z113" i="74" s="1"/>
  <c r="V113" i="74"/>
  <c r="L113" i="74"/>
  <c r="N113" i="74" s="1"/>
  <c r="B113" i="74"/>
  <c r="T112" i="74"/>
  <c r="P112" i="74"/>
  <c r="X112" i="74" s="1"/>
  <c r="Z112" i="74" s="1"/>
  <c r="H112" i="74"/>
  <c r="L112" i="74" s="1"/>
  <c r="N112" i="74" s="1"/>
  <c r="D112" i="74"/>
  <c r="B112" i="74"/>
  <c r="Z111" i="74"/>
  <c r="X111" i="74"/>
  <c r="N111" i="74"/>
  <c r="L111" i="74"/>
  <c r="B111" i="74"/>
  <c r="Z110" i="74"/>
  <c r="T110" i="74"/>
  <c r="X110" i="74" s="1"/>
  <c r="P110" i="74"/>
  <c r="L110" i="74"/>
  <c r="J110" i="74"/>
  <c r="H110" i="74"/>
  <c r="N110" i="74" s="1"/>
  <c r="D110" i="74"/>
  <c r="B110" i="74"/>
  <c r="X109" i="74"/>
  <c r="Z109" i="74" s="1"/>
  <c r="N109" i="74"/>
  <c r="L109" i="74"/>
  <c r="J109" i="74"/>
  <c r="B109" i="74"/>
  <c r="Z108" i="74"/>
  <c r="X108" i="74"/>
  <c r="N108" i="74"/>
  <c r="L108" i="74"/>
  <c r="B108" i="74"/>
  <c r="Z107" i="74"/>
  <c r="X107" i="74"/>
  <c r="T107" i="74"/>
  <c r="P107" i="74"/>
  <c r="L107" i="74"/>
  <c r="N107" i="74" s="1"/>
  <c r="H107" i="74"/>
  <c r="D107" i="74"/>
  <c r="B107" i="74"/>
  <c r="Z106" i="74"/>
  <c r="X106" i="74"/>
  <c r="N106" i="74"/>
  <c r="L106" i="74"/>
  <c r="B106" i="74"/>
  <c r="V105" i="74"/>
  <c r="T105" i="74"/>
  <c r="P105" i="74"/>
  <c r="X105" i="74" s="1"/>
  <c r="N105" i="74"/>
  <c r="L105" i="74"/>
  <c r="H105" i="74"/>
  <c r="D105" i="74"/>
  <c r="B105" i="74"/>
  <c r="X104" i="74"/>
  <c r="Z104" i="74" s="1"/>
  <c r="V104" i="74"/>
  <c r="L104" i="74"/>
  <c r="N104" i="74" s="1"/>
  <c r="B104" i="74"/>
  <c r="T103" i="74"/>
  <c r="P103" i="74"/>
  <c r="X103" i="74" s="1"/>
  <c r="Z103" i="74" s="1"/>
  <c r="L103" i="74"/>
  <c r="H103" i="74"/>
  <c r="N103" i="74" s="1"/>
  <c r="D103" i="74"/>
  <c r="B103" i="74"/>
  <c r="Z102" i="74"/>
  <c r="X102" i="74"/>
  <c r="N102" i="74"/>
  <c r="L102" i="74"/>
  <c r="B102" i="74"/>
  <c r="Z101" i="74"/>
  <c r="X101" i="74"/>
  <c r="T101" i="74"/>
  <c r="P101" i="74"/>
  <c r="N101" i="74"/>
  <c r="L101" i="74"/>
  <c r="H101" i="74"/>
  <c r="D101" i="74"/>
  <c r="B101" i="74"/>
  <c r="Z100" i="74"/>
  <c r="X100" i="74"/>
  <c r="N100" i="74"/>
  <c r="L100" i="74"/>
  <c r="J100" i="74"/>
  <c r="B100" i="74"/>
  <c r="Z99" i="74"/>
  <c r="X99" i="74"/>
  <c r="T99" i="74"/>
  <c r="P99" i="74"/>
  <c r="J99" i="74"/>
  <c r="H99" i="74"/>
  <c r="N99" i="74" s="1"/>
  <c r="D99" i="74"/>
  <c r="L99" i="74" s="1"/>
  <c r="B99" i="74"/>
  <c r="Z98" i="74"/>
  <c r="X98" i="74"/>
  <c r="N98" i="74"/>
  <c r="L98" i="74"/>
  <c r="B98" i="74"/>
  <c r="X97" i="74"/>
  <c r="T97" i="74"/>
  <c r="Z97" i="74" s="1"/>
  <c r="P97" i="74"/>
  <c r="H97" i="74"/>
  <c r="D97" i="74"/>
  <c r="L97" i="74" s="1"/>
  <c r="N97" i="74" s="1"/>
  <c r="B97" i="74"/>
  <c r="Z96" i="74"/>
  <c r="X96" i="74"/>
  <c r="N96" i="74"/>
  <c r="L96" i="74"/>
  <c r="B96" i="74"/>
  <c r="Z95" i="74"/>
  <c r="X95" i="74"/>
  <c r="N95" i="74"/>
  <c r="L95" i="74"/>
  <c r="B95" i="74"/>
  <c r="Z94" i="74"/>
  <c r="X94" i="74"/>
  <c r="N94" i="74"/>
  <c r="L94" i="74"/>
  <c r="J94" i="74"/>
  <c r="B94" i="74"/>
  <c r="X93" i="74"/>
  <c r="Z93" i="74" s="1"/>
  <c r="N93" i="74"/>
  <c r="L93" i="74"/>
  <c r="J93" i="74"/>
  <c r="B93" i="74"/>
  <c r="Z92" i="74"/>
  <c r="X92" i="74"/>
  <c r="N92" i="74"/>
  <c r="L92" i="74"/>
  <c r="B92" i="74"/>
  <c r="Z91" i="74"/>
  <c r="X91" i="74"/>
  <c r="N91" i="74"/>
  <c r="L91" i="74"/>
  <c r="B91" i="74"/>
  <c r="Z90" i="74"/>
  <c r="X90" i="74"/>
  <c r="N90" i="74"/>
  <c r="L90" i="74"/>
  <c r="J90" i="74"/>
  <c r="B90" i="74"/>
  <c r="Z89" i="74"/>
  <c r="X89" i="74"/>
  <c r="N89" i="74"/>
  <c r="L89" i="74"/>
  <c r="J89" i="74"/>
  <c r="B89" i="74"/>
  <c r="Z88" i="74"/>
  <c r="X88" i="74"/>
  <c r="N88" i="74"/>
  <c r="L88" i="74"/>
  <c r="B88" i="74"/>
  <c r="Z87" i="74"/>
  <c r="X87" i="74"/>
  <c r="N87" i="74"/>
  <c r="L87" i="74"/>
  <c r="B87" i="74"/>
  <c r="T86" i="74"/>
  <c r="P86" i="74"/>
  <c r="N86" i="74"/>
  <c r="L86" i="74"/>
  <c r="J86" i="74"/>
  <c r="H86" i="74"/>
  <c r="D86" i="74"/>
  <c r="B86" i="74"/>
  <c r="X85" i="74"/>
  <c r="Z85" i="74" s="1"/>
  <c r="V85" i="74"/>
  <c r="L85" i="74"/>
  <c r="N85" i="74" s="1"/>
  <c r="J85" i="74"/>
  <c r="B85" i="74"/>
  <c r="Z84" i="74"/>
  <c r="X84" i="74"/>
  <c r="L84" i="74"/>
  <c r="N84" i="74" s="1"/>
  <c r="J84" i="74"/>
  <c r="B84" i="74"/>
  <c r="X83" i="74"/>
  <c r="Z83" i="74" s="1"/>
  <c r="N83" i="74"/>
  <c r="L83" i="74"/>
  <c r="B83" i="74"/>
  <c r="Z82" i="74"/>
  <c r="X82" i="74"/>
  <c r="N82" i="74"/>
  <c r="L82" i="74"/>
  <c r="B82" i="74"/>
  <c r="X81" i="74"/>
  <c r="Z81" i="74" s="1"/>
  <c r="V81" i="74"/>
  <c r="L81" i="74"/>
  <c r="N81" i="74" s="1"/>
  <c r="J81" i="74"/>
  <c r="B81" i="74"/>
  <c r="X80" i="74"/>
  <c r="Z80" i="74" s="1"/>
  <c r="L80" i="74"/>
  <c r="N80" i="74" s="1"/>
  <c r="J80" i="74"/>
  <c r="B80" i="74"/>
  <c r="X79" i="74"/>
  <c r="Z79" i="74" s="1"/>
  <c r="N79" i="74"/>
  <c r="L79" i="74"/>
  <c r="B79" i="74"/>
  <c r="Z78" i="74"/>
  <c r="X78" i="74"/>
  <c r="N78" i="74"/>
  <c r="L78" i="74"/>
  <c r="B78" i="74"/>
  <c r="X77" i="74"/>
  <c r="Z77" i="74" s="1"/>
  <c r="V77" i="74"/>
  <c r="L77" i="74"/>
  <c r="N77" i="74" s="1"/>
  <c r="J77" i="74"/>
  <c r="B77" i="74"/>
  <c r="T76" i="74"/>
  <c r="P76" i="74"/>
  <c r="X76" i="74" s="1"/>
  <c r="Z76" i="74" s="1"/>
  <c r="J76" i="74"/>
  <c r="H76" i="74"/>
  <c r="L76" i="74" s="1"/>
  <c r="N76" i="74" s="1"/>
  <c r="D76" i="74"/>
  <c r="B76" i="74"/>
  <c r="T75" i="74"/>
  <c r="P75" i="74"/>
  <c r="H75" i="74"/>
  <c r="J75" i="74" s="1"/>
  <c r="D75" i="74"/>
  <c r="H73" i="74"/>
  <c r="J73" i="74" s="1"/>
  <c r="Z71" i="74"/>
  <c r="X71" i="74"/>
  <c r="N71" i="74"/>
  <c r="L71" i="74"/>
  <c r="J71" i="74"/>
  <c r="B71" i="74"/>
  <c r="Z70" i="74"/>
  <c r="X70" i="74"/>
  <c r="N70" i="74"/>
  <c r="L70" i="74"/>
  <c r="B70" i="74"/>
  <c r="Z69" i="74"/>
  <c r="X69" i="74"/>
  <c r="N69" i="74"/>
  <c r="L69" i="74"/>
  <c r="B69" i="74"/>
  <c r="Z68" i="74"/>
  <c r="X68" i="74"/>
  <c r="V68" i="74"/>
  <c r="N68" i="74"/>
  <c r="L68" i="74"/>
  <c r="J68" i="74"/>
  <c r="B68" i="74"/>
  <c r="Z67" i="74"/>
  <c r="X67" i="74"/>
  <c r="N67" i="74"/>
  <c r="L67" i="74"/>
  <c r="J67" i="74"/>
  <c r="B67" i="74"/>
  <c r="Z66" i="74"/>
  <c r="X66" i="74"/>
  <c r="N66" i="74"/>
  <c r="L66" i="74"/>
  <c r="B66" i="74"/>
  <c r="Z65" i="74"/>
  <c r="X65" i="74"/>
  <c r="N65" i="74"/>
  <c r="L65" i="74"/>
  <c r="B65" i="74"/>
  <c r="Z64" i="74"/>
  <c r="X64" i="74"/>
  <c r="V64" i="74"/>
  <c r="N64" i="74"/>
  <c r="L64" i="74"/>
  <c r="J64" i="74"/>
  <c r="B64" i="74"/>
  <c r="Z63" i="74"/>
  <c r="X63" i="74"/>
  <c r="N63" i="74"/>
  <c r="L63" i="74"/>
  <c r="J63" i="74"/>
  <c r="B63" i="74"/>
  <c r="Z62" i="74"/>
  <c r="X62" i="74"/>
  <c r="N62" i="74"/>
  <c r="L62" i="74"/>
  <c r="B62" i="74"/>
  <c r="Z61" i="74"/>
  <c r="X61" i="74"/>
  <c r="N61" i="74"/>
  <c r="L61" i="74"/>
  <c r="B61" i="74"/>
  <c r="Z60" i="74"/>
  <c r="X60" i="74"/>
  <c r="V60" i="74"/>
  <c r="N60" i="74"/>
  <c r="L60" i="74"/>
  <c r="J60" i="74"/>
  <c r="B60" i="74"/>
  <c r="Z59" i="74"/>
  <c r="X59" i="74"/>
  <c r="N59" i="74"/>
  <c r="L59" i="74"/>
  <c r="J59" i="74"/>
  <c r="B59" i="74"/>
  <c r="Z58" i="74"/>
  <c r="X58" i="74"/>
  <c r="N58" i="74"/>
  <c r="L58" i="74"/>
  <c r="B58" i="74"/>
  <c r="Z57" i="74"/>
  <c r="X57" i="74"/>
  <c r="N57" i="74"/>
  <c r="L57" i="74"/>
  <c r="B57" i="74"/>
  <c r="Z56" i="74"/>
  <c r="X56" i="74"/>
  <c r="V56" i="74"/>
  <c r="N56" i="74"/>
  <c r="L56" i="74"/>
  <c r="J56" i="74"/>
  <c r="B56" i="74"/>
  <c r="Z55" i="74"/>
  <c r="X55" i="74"/>
  <c r="N55" i="74"/>
  <c r="L55" i="74"/>
  <c r="J55" i="74"/>
  <c r="B55" i="74"/>
  <c r="Z54" i="74"/>
  <c r="X54" i="74"/>
  <c r="N54" i="74"/>
  <c r="L54" i="74"/>
  <c r="B54" i="74"/>
  <c r="Z53" i="74"/>
  <c r="X53" i="74"/>
  <c r="V53" i="74"/>
  <c r="N53" i="74"/>
  <c r="L53" i="74"/>
  <c r="B53" i="74"/>
  <c r="Z52" i="74"/>
  <c r="X52" i="74"/>
  <c r="V52" i="74"/>
  <c r="N52" i="74"/>
  <c r="L52" i="74"/>
  <c r="J52" i="74"/>
  <c r="B52" i="74"/>
  <c r="Z51" i="74"/>
  <c r="X51" i="74"/>
  <c r="N51" i="74"/>
  <c r="L51" i="74"/>
  <c r="J51" i="74"/>
  <c r="B51" i="74"/>
  <c r="Z50" i="74"/>
  <c r="X50" i="74"/>
  <c r="T50" i="74"/>
  <c r="P50" i="74"/>
  <c r="L50" i="74"/>
  <c r="J50" i="74"/>
  <c r="H50" i="74"/>
  <c r="D50" i="74"/>
  <c r="Z48" i="74"/>
  <c r="P48" i="74"/>
  <c r="X48" i="74" s="1"/>
  <c r="N48" i="74"/>
  <c r="D48" i="74"/>
  <c r="L48" i="74" s="1"/>
  <c r="B48" i="74"/>
  <c r="Z47" i="74"/>
  <c r="X47" i="74"/>
  <c r="P47" i="74"/>
  <c r="N47" i="74"/>
  <c r="D47" i="74"/>
  <c r="L47" i="74" s="1"/>
  <c r="B47" i="74"/>
  <c r="Z46" i="74"/>
  <c r="X46" i="74"/>
  <c r="P46" i="74"/>
  <c r="N46" i="74"/>
  <c r="D46" i="74"/>
  <c r="L46" i="74" s="1"/>
  <c r="B46" i="74"/>
  <c r="Z45" i="74"/>
  <c r="P45" i="74"/>
  <c r="X45" i="74" s="1"/>
  <c r="N45" i="74"/>
  <c r="D45" i="74"/>
  <c r="L45" i="74" s="1"/>
  <c r="B45" i="74"/>
  <c r="Z44" i="74"/>
  <c r="P44" i="74"/>
  <c r="X44" i="74" s="1"/>
  <c r="N44" i="74"/>
  <c r="L44" i="74"/>
  <c r="D44" i="74"/>
  <c r="B44" i="74"/>
  <c r="Z43" i="74"/>
  <c r="X43" i="74"/>
  <c r="P43" i="74"/>
  <c r="N43" i="74"/>
  <c r="L43" i="74"/>
  <c r="D43" i="74"/>
  <c r="B43" i="74"/>
  <c r="Z42" i="74"/>
  <c r="X42" i="74"/>
  <c r="P42" i="74"/>
  <c r="N42" i="74"/>
  <c r="D42" i="74"/>
  <c r="L42" i="74" s="1"/>
  <c r="B42" i="74"/>
  <c r="Z41" i="74"/>
  <c r="X41" i="74"/>
  <c r="P41" i="74"/>
  <c r="N41" i="74"/>
  <c r="D41" i="74"/>
  <c r="L41" i="74" s="1"/>
  <c r="B41" i="74"/>
  <c r="Z40" i="74"/>
  <c r="P40" i="74"/>
  <c r="X40" i="74" s="1"/>
  <c r="N40" i="74"/>
  <c r="L40" i="74"/>
  <c r="D40" i="74"/>
  <c r="B40" i="74"/>
  <c r="Z39" i="74"/>
  <c r="P39" i="74"/>
  <c r="X39" i="74" s="1"/>
  <c r="N39" i="74"/>
  <c r="L39" i="74"/>
  <c r="D39" i="74"/>
  <c r="B39" i="74"/>
  <c r="Z38" i="74"/>
  <c r="P38" i="74"/>
  <c r="X38" i="74" s="1"/>
  <c r="N38" i="74"/>
  <c r="L38" i="74"/>
  <c r="D38" i="74"/>
  <c r="B38" i="74"/>
  <c r="Z37" i="74"/>
  <c r="P37" i="74"/>
  <c r="X37" i="74" s="1"/>
  <c r="N37" i="74"/>
  <c r="D37" i="74"/>
  <c r="L37" i="74" s="1"/>
  <c r="B37" i="74"/>
  <c r="Z36" i="74"/>
  <c r="P36" i="74"/>
  <c r="X36" i="74" s="1"/>
  <c r="N36" i="74"/>
  <c r="L36" i="74"/>
  <c r="D36" i="74"/>
  <c r="B36" i="74"/>
  <c r="Z35" i="74"/>
  <c r="X35" i="74"/>
  <c r="P35" i="74"/>
  <c r="N35" i="74"/>
  <c r="D35" i="74"/>
  <c r="L35" i="74" s="1"/>
  <c r="B35" i="74"/>
  <c r="Z34" i="74"/>
  <c r="X34" i="74"/>
  <c r="P34" i="74"/>
  <c r="N34" i="74"/>
  <c r="D34" i="74"/>
  <c r="L34" i="74" s="1"/>
  <c r="B34" i="74"/>
  <c r="Z33" i="74"/>
  <c r="P33" i="74"/>
  <c r="X33" i="74" s="1"/>
  <c r="N33" i="74"/>
  <c r="D33" i="74"/>
  <c r="L33" i="74" s="1"/>
  <c r="B33" i="74"/>
  <c r="Z32" i="74"/>
  <c r="P32" i="74"/>
  <c r="X32" i="74" s="1"/>
  <c r="N32" i="74"/>
  <c r="L32" i="74"/>
  <c r="D32" i="74"/>
  <c r="B32" i="74"/>
  <c r="Z31" i="74"/>
  <c r="X31" i="74"/>
  <c r="P31" i="74"/>
  <c r="N31" i="74"/>
  <c r="L31" i="74"/>
  <c r="D31" i="74"/>
  <c r="B31" i="74"/>
  <c r="Z30" i="74"/>
  <c r="X30" i="74"/>
  <c r="P30" i="74"/>
  <c r="N30" i="74"/>
  <c r="D30" i="74"/>
  <c r="L30" i="74" s="1"/>
  <c r="B30" i="74"/>
  <c r="Z29" i="74"/>
  <c r="X29" i="74"/>
  <c r="P29" i="74"/>
  <c r="N29" i="74"/>
  <c r="D29" i="74"/>
  <c r="L29" i="74" s="1"/>
  <c r="B29" i="74"/>
  <c r="Z28" i="74"/>
  <c r="P28" i="74"/>
  <c r="X28" i="74" s="1"/>
  <c r="N28" i="74"/>
  <c r="L28" i="74"/>
  <c r="D28" i="74"/>
  <c r="B28" i="74"/>
  <c r="Z27" i="74"/>
  <c r="P27" i="74"/>
  <c r="X27" i="74" s="1"/>
  <c r="N27" i="74"/>
  <c r="D27" i="74"/>
  <c r="L27" i="74" s="1"/>
  <c r="B27" i="74"/>
  <c r="Z26" i="74"/>
  <c r="P26" i="74"/>
  <c r="X26" i="74" s="1"/>
  <c r="N26" i="74"/>
  <c r="L26" i="74"/>
  <c r="D26" i="74"/>
  <c r="B26" i="74"/>
  <c r="Z25" i="74"/>
  <c r="P25" i="74"/>
  <c r="X25" i="74" s="1"/>
  <c r="N25" i="74"/>
  <c r="D25" i="74"/>
  <c r="L25" i="74" s="1"/>
  <c r="B25" i="74"/>
  <c r="Z24" i="74"/>
  <c r="P24" i="74"/>
  <c r="X24" i="74" s="1"/>
  <c r="N24" i="74"/>
  <c r="L24" i="74"/>
  <c r="D24" i="74"/>
  <c r="B24" i="74"/>
  <c r="Z23" i="74"/>
  <c r="X23" i="74"/>
  <c r="P23" i="74"/>
  <c r="N23" i="74"/>
  <c r="D23" i="74"/>
  <c r="L23" i="74" s="1"/>
  <c r="B23" i="74"/>
  <c r="Z22" i="74"/>
  <c r="X22" i="74"/>
  <c r="P22" i="74"/>
  <c r="N22" i="74"/>
  <c r="D22" i="74"/>
  <c r="L22" i="74" s="1"/>
  <c r="B22" i="74"/>
  <c r="Z21" i="74"/>
  <c r="P21" i="74"/>
  <c r="X21" i="74" s="1"/>
  <c r="N21" i="74"/>
  <c r="D21" i="74"/>
  <c r="L21" i="74" s="1"/>
  <c r="B21" i="74"/>
  <c r="Z20" i="74"/>
  <c r="P20" i="74"/>
  <c r="X20" i="74" s="1"/>
  <c r="N20" i="74"/>
  <c r="L20" i="74"/>
  <c r="D20" i="74"/>
  <c r="B20" i="74"/>
  <c r="Z19" i="74"/>
  <c r="X19" i="74"/>
  <c r="P19" i="74"/>
  <c r="N19" i="74"/>
  <c r="L19" i="74"/>
  <c r="D19" i="74"/>
  <c r="B19" i="74"/>
  <c r="Z18" i="74"/>
  <c r="P18" i="74"/>
  <c r="X18" i="74" s="1"/>
  <c r="N18" i="74"/>
  <c r="D18" i="74"/>
  <c r="L18" i="74" s="1"/>
  <c r="B18" i="74"/>
  <c r="Z17" i="74"/>
  <c r="X17" i="74"/>
  <c r="P17" i="74"/>
  <c r="N17" i="74"/>
  <c r="D17" i="74"/>
  <c r="L17" i="74" s="1"/>
  <c r="B17" i="74"/>
  <c r="Z16" i="74"/>
  <c r="P16" i="74"/>
  <c r="X16" i="74" s="1"/>
  <c r="N16" i="74"/>
  <c r="L16" i="74"/>
  <c r="D16" i="74"/>
  <c r="B16" i="74"/>
  <c r="Z15" i="74"/>
  <c r="P15" i="74"/>
  <c r="X15" i="74" s="1"/>
  <c r="N15" i="74"/>
  <c r="D15" i="74"/>
  <c r="L15" i="74" s="1"/>
  <c r="B15" i="74"/>
  <c r="Z14" i="74"/>
  <c r="P14" i="74"/>
  <c r="X14" i="74" s="1"/>
  <c r="N14" i="74"/>
  <c r="L14" i="74"/>
  <c r="D14" i="74"/>
  <c r="B14" i="74"/>
  <c r="P13" i="74"/>
  <c r="D13" i="74"/>
  <c r="L13" i="74" s="1"/>
  <c r="N13" i="74" s="1"/>
  <c r="B13" i="74"/>
  <c r="T12" i="74"/>
  <c r="V129" i="74" s="1"/>
  <c r="H12" i="74"/>
  <c r="J142" i="74" s="1"/>
  <c r="D6" i="74"/>
  <c r="D4" i="74"/>
  <c r="R77" i="72"/>
  <c r="R74" i="72"/>
  <c r="X72" i="72"/>
  <c r="Z72" i="72" s="1"/>
  <c r="R72" i="72"/>
  <c r="N72" i="72"/>
  <c r="L72" i="72"/>
  <c r="J72" i="72"/>
  <c r="Z68" i="72"/>
  <c r="T68" i="72"/>
  <c r="X68" i="72" s="1"/>
  <c r="P68" i="72"/>
  <c r="L68" i="72"/>
  <c r="J68" i="72"/>
  <c r="H68" i="72"/>
  <c r="N68" i="72" s="1"/>
  <c r="D68" i="72"/>
  <c r="Z66" i="72"/>
  <c r="X66" i="72"/>
  <c r="N66" i="72"/>
  <c r="L66" i="72"/>
  <c r="B66" i="72"/>
  <c r="T65" i="72"/>
  <c r="Z65" i="72" s="1"/>
  <c r="P65" i="72"/>
  <c r="N65" i="72"/>
  <c r="H65" i="72"/>
  <c r="D65" i="72"/>
  <c r="L65" i="72" s="1"/>
  <c r="B65" i="72"/>
  <c r="X64" i="72"/>
  <c r="Z64" i="72" s="1"/>
  <c r="N64" i="72"/>
  <c r="L64" i="72"/>
  <c r="B64" i="72"/>
  <c r="Z63" i="72"/>
  <c r="X63" i="72"/>
  <c r="T63" i="72"/>
  <c r="R63" i="72"/>
  <c r="P63" i="72"/>
  <c r="N63" i="72"/>
  <c r="L63" i="72"/>
  <c r="H63" i="72"/>
  <c r="D63" i="72"/>
  <c r="B63" i="72"/>
  <c r="Z62" i="72"/>
  <c r="X62" i="72"/>
  <c r="R62" i="72"/>
  <c r="N62" i="72"/>
  <c r="L62" i="72"/>
  <c r="B62" i="72"/>
  <c r="X61" i="72"/>
  <c r="Z61" i="72" s="1"/>
  <c r="R61" i="72"/>
  <c r="L61" i="72"/>
  <c r="N61" i="72" s="1"/>
  <c r="J61" i="72"/>
  <c r="B61" i="72"/>
  <c r="T60" i="72"/>
  <c r="P60" i="72"/>
  <c r="X60" i="72" s="1"/>
  <c r="Z60" i="72" s="1"/>
  <c r="N60" i="72"/>
  <c r="H60" i="72"/>
  <c r="L60" i="72" s="1"/>
  <c r="D60" i="72"/>
  <c r="B60" i="72"/>
  <c r="Z59" i="72"/>
  <c r="X59" i="72"/>
  <c r="N59" i="72"/>
  <c r="L59" i="72"/>
  <c r="J59" i="72"/>
  <c r="B59" i="72"/>
  <c r="Z58" i="72"/>
  <c r="X58" i="72"/>
  <c r="N58" i="72"/>
  <c r="L58" i="72"/>
  <c r="B58" i="72"/>
  <c r="Z57" i="72"/>
  <c r="X57" i="72"/>
  <c r="R57" i="72"/>
  <c r="N57" i="72"/>
  <c r="L57" i="72"/>
  <c r="B57" i="72"/>
  <c r="X56" i="72"/>
  <c r="T56" i="72"/>
  <c r="Z56" i="72" s="1"/>
  <c r="R56" i="72"/>
  <c r="P56" i="72"/>
  <c r="H56" i="72"/>
  <c r="L56" i="72" s="1"/>
  <c r="N56" i="72" s="1"/>
  <c r="D56" i="72"/>
  <c r="B56" i="72"/>
  <c r="Z55" i="72"/>
  <c r="X55" i="72"/>
  <c r="R55" i="72"/>
  <c r="L55" i="72"/>
  <c r="N55" i="72" s="1"/>
  <c r="B55" i="72"/>
  <c r="T54" i="72"/>
  <c r="R54" i="72"/>
  <c r="P54" i="72"/>
  <c r="L54" i="72"/>
  <c r="N54" i="72" s="1"/>
  <c r="J54" i="72"/>
  <c r="H54" i="72"/>
  <c r="D54" i="72"/>
  <c r="B54" i="72"/>
  <c r="X53" i="72"/>
  <c r="Z53" i="72" s="1"/>
  <c r="R53" i="72"/>
  <c r="N53" i="72"/>
  <c r="L53" i="72"/>
  <c r="J53" i="72"/>
  <c r="B53" i="72"/>
  <c r="Z52" i="72"/>
  <c r="X52" i="72"/>
  <c r="N52" i="72"/>
  <c r="L52" i="72"/>
  <c r="J52" i="72"/>
  <c r="B52" i="72"/>
  <c r="X51" i="72"/>
  <c r="Z51" i="72" s="1"/>
  <c r="T51" i="72"/>
  <c r="P51" i="72"/>
  <c r="H51" i="72"/>
  <c r="D51" i="72"/>
  <c r="B51" i="72"/>
  <c r="Z50" i="72"/>
  <c r="X50" i="72"/>
  <c r="N50" i="72"/>
  <c r="L50" i="72"/>
  <c r="F50" i="72"/>
  <c r="B50" i="72"/>
  <c r="T49" i="72"/>
  <c r="P49" i="72"/>
  <c r="N49" i="72"/>
  <c r="H49" i="72"/>
  <c r="D49" i="72"/>
  <c r="L49" i="72" s="1"/>
  <c r="B49" i="72"/>
  <c r="Z48" i="72"/>
  <c r="X48" i="72"/>
  <c r="N48" i="72"/>
  <c r="L48" i="72"/>
  <c r="B48" i="72"/>
  <c r="Z47" i="72"/>
  <c r="T47" i="72"/>
  <c r="R47" i="72"/>
  <c r="P47" i="72"/>
  <c r="X47" i="72" s="1"/>
  <c r="N47" i="72"/>
  <c r="L47" i="72"/>
  <c r="H47" i="72"/>
  <c r="D47" i="72"/>
  <c r="B47" i="72"/>
  <c r="Z46" i="72"/>
  <c r="X46" i="72"/>
  <c r="R46" i="72"/>
  <c r="N46" i="72"/>
  <c r="L46" i="72"/>
  <c r="B46" i="72"/>
  <c r="T45" i="72"/>
  <c r="R45" i="72"/>
  <c r="P45" i="72"/>
  <c r="X45" i="72" s="1"/>
  <c r="L45" i="72"/>
  <c r="N45" i="72" s="1"/>
  <c r="H45" i="72"/>
  <c r="D45" i="72"/>
  <c r="B45" i="72"/>
  <c r="X44" i="72"/>
  <c r="Z44" i="72" s="1"/>
  <c r="R44" i="72"/>
  <c r="L44" i="72"/>
  <c r="N44" i="72" s="1"/>
  <c r="J44" i="72"/>
  <c r="B44" i="72"/>
  <c r="T43" i="72"/>
  <c r="R43" i="72"/>
  <c r="P43" i="72"/>
  <c r="X43" i="72" s="1"/>
  <c r="Z43" i="72" s="1"/>
  <c r="J43" i="72"/>
  <c r="H43" i="72"/>
  <c r="D43" i="72"/>
  <c r="B43" i="72"/>
  <c r="Z42" i="72"/>
  <c r="X42" i="72"/>
  <c r="R42" i="72"/>
  <c r="N42" i="72"/>
  <c r="L42" i="72"/>
  <c r="J42" i="72"/>
  <c r="F42" i="72"/>
  <c r="B42" i="72"/>
  <c r="Z41" i="72"/>
  <c r="X41" i="72"/>
  <c r="N41" i="72"/>
  <c r="L41" i="72"/>
  <c r="J41" i="72"/>
  <c r="B41" i="72"/>
  <c r="Z40" i="72"/>
  <c r="X40" i="72"/>
  <c r="V40" i="72"/>
  <c r="N40" i="72"/>
  <c r="L40" i="72"/>
  <c r="B40" i="72"/>
  <c r="Z39" i="72"/>
  <c r="X39" i="72"/>
  <c r="R39" i="72"/>
  <c r="N39" i="72"/>
  <c r="L39" i="72"/>
  <c r="B39" i="72"/>
  <c r="Z38" i="72"/>
  <c r="X38" i="72"/>
  <c r="R38" i="72"/>
  <c r="N38" i="72"/>
  <c r="L38" i="72"/>
  <c r="J38" i="72"/>
  <c r="B38" i="72"/>
  <c r="X37" i="72"/>
  <c r="Z37" i="72" s="1"/>
  <c r="L37" i="72"/>
  <c r="N37" i="72" s="1"/>
  <c r="J37" i="72"/>
  <c r="B37" i="72"/>
  <c r="Z36" i="72"/>
  <c r="X36" i="72"/>
  <c r="N36" i="72"/>
  <c r="L36" i="72"/>
  <c r="B36" i="72"/>
  <c r="Z35" i="72"/>
  <c r="X35" i="72"/>
  <c r="R35" i="72"/>
  <c r="N35" i="72"/>
  <c r="L35" i="72"/>
  <c r="B35" i="72"/>
  <c r="Z34" i="72"/>
  <c r="X34" i="72"/>
  <c r="R34" i="72"/>
  <c r="N34" i="72"/>
  <c r="L34" i="72"/>
  <c r="J34" i="72"/>
  <c r="B34" i="72"/>
  <c r="X33" i="72"/>
  <c r="Z33" i="72" s="1"/>
  <c r="L33" i="72"/>
  <c r="N33" i="72" s="1"/>
  <c r="J33" i="72"/>
  <c r="F33" i="72"/>
  <c r="B33" i="72"/>
  <c r="X32" i="72"/>
  <c r="Z32" i="72" s="1"/>
  <c r="T32" i="72"/>
  <c r="R32" i="72"/>
  <c r="P32" i="72"/>
  <c r="H32" i="72"/>
  <c r="F32" i="72"/>
  <c r="D32" i="72"/>
  <c r="B32" i="72"/>
  <c r="Z31" i="72"/>
  <c r="X31" i="72"/>
  <c r="R31" i="72"/>
  <c r="N31" i="72"/>
  <c r="L31" i="72"/>
  <c r="B31" i="72"/>
  <c r="Z30" i="72"/>
  <c r="X30" i="72"/>
  <c r="R30" i="72"/>
  <c r="N30" i="72"/>
  <c r="L30" i="72"/>
  <c r="J30" i="72"/>
  <c r="B30" i="72"/>
  <c r="X29" i="72"/>
  <c r="Z29" i="72" s="1"/>
  <c r="R29" i="72"/>
  <c r="L29" i="72"/>
  <c r="N29" i="72" s="1"/>
  <c r="J29" i="72"/>
  <c r="F29" i="72"/>
  <c r="B29" i="72"/>
  <c r="Z28" i="72"/>
  <c r="X28" i="72"/>
  <c r="N28" i="72"/>
  <c r="L28" i="72"/>
  <c r="J28" i="72"/>
  <c r="F28" i="72"/>
  <c r="B28" i="72"/>
  <c r="X27" i="72"/>
  <c r="Z27" i="72" s="1"/>
  <c r="R27" i="72"/>
  <c r="N27" i="72"/>
  <c r="L27" i="72"/>
  <c r="B27" i="72"/>
  <c r="X26" i="72"/>
  <c r="Z26" i="72" s="1"/>
  <c r="R26" i="72"/>
  <c r="N26" i="72"/>
  <c r="L26" i="72"/>
  <c r="J26" i="72"/>
  <c r="B26" i="72"/>
  <c r="X25" i="72"/>
  <c r="Z25" i="72" s="1"/>
  <c r="R25" i="72"/>
  <c r="L25" i="72"/>
  <c r="N25" i="72" s="1"/>
  <c r="J25" i="72"/>
  <c r="F25" i="72"/>
  <c r="B25" i="72"/>
  <c r="Z24" i="72"/>
  <c r="X24" i="72"/>
  <c r="L24" i="72"/>
  <c r="N24" i="72" s="1"/>
  <c r="J24" i="72"/>
  <c r="B24" i="72"/>
  <c r="Z23" i="72"/>
  <c r="X23" i="72"/>
  <c r="R23" i="72"/>
  <c r="N23" i="72"/>
  <c r="L23" i="72"/>
  <c r="B23" i="72"/>
  <c r="T22" i="72"/>
  <c r="X22" i="72" s="1"/>
  <c r="Z22" i="72" s="1"/>
  <c r="R22" i="72"/>
  <c r="P22" i="72"/>
  <c r="H22" i="72"/>
  <c r="D22" i="72"/>
  <c r="L22" i="72" s="1"/>
  <c r="N22" i="72" s="1"/>
  <c r="B22" i="72"/>
  <c r="T21" i="72"/>
  <c r="X21" i="72" s="1"/>
  <c r="Z21" i="72" s="1"/>
  <c r="P21" i="72"/>
  <c r="H21" i="72"/>
  <c r="F21" i="72"/>
  <c r="D21" i="72"/>
  <c r="F19" i="72"/>
  <c r="D19" i="72"/>
  <c r="Z17" i="72"/>
  <c r="X17" i="72"/>
  <c r="R17" i="72"/>
  <c r="N17" i="72"/>
  <c r="L17" i="72"/>
  <c r="J17" i="72"/>
  <c r="B17" i="72"/>
  <c r="X16" i="72"/>
  <c r="Z16" i="72" s="1"/>
  <c r="R16" i="72"/>
  <c r="N16" i="72"/>
  <c r="L16" i="72"/>
  <c r="J16" i="72"/>
  <c r="B16" i="72"/>
  <c r="T15" i="72"/>
  <c r="R15" i="72"/>
  <c r="P15" i="72"/>
  <c r="L15" i="72"/>
  <c r="N15" i="72" s="1"/>
  <c r="H15" i="72"/>
  <c r="H19" i="72" s="1"/>
  <c r="D15" i="72"/>
  <c r="Z13" i="72"/>
  <c r="X13" i="72"/>
  <c r="P13" i="72"/>
  <c r="L13" i="72"/>
  <c r="N13" i="72" s="1"/>
  <c r="D13" i="72"/>
  <c r="D12" i="72" s="1"/>
  <c r="F34" i="72" s="1"/>
  <c r="B13" i="72"/>
  <c r="T12" i="72"/>
  <c r="V45" i="72" s="1"/>
  <c r="P12" i="72"/>
  <c r="R65" i="72" s="1"/>
  <c r="H12" i="72"/>
  <c r="J55" i="72" s="1"/>
  <c r="D6" i="72"/>
  <c r="D4" i="72"/>
  <c r="Z111" i="70"/>
  <c r="X111" i="70"/>
  <c r="L111" i="70"/>
  <c r="N111" i="70" s="1"/>
  <c r="Z107" i="70"/>
  <c r="P107" i="70"/>
  <c r="X107" i="70" s="1"/>
  <c r="N107" i="70"/>
  <c r="D107" i="70"/>
  <c r="B107" i="70"/>
  <c r="X106" i="70"/>
  <c r="Z106" i="70" s="1"/>
  <c r="V106" i="70"/>
  <c r="P106" i="70"/>
  <c r="N106" i="70"/>
  <c r="D106" i="70"/>
  <c r="L106" i="70" s="1"/>
  <c r="B106" i="70"/>
  <c r="P105" i="70"/>
  <c r="X105" i="70" s="1"/>
  <c r="Z105" i="70" s="1"/>
  <c r="L105" i="70"/>
  <c r="N105" i="70" s="1"/>
  <c r="D105" i="70"/>
  <c r="B105" i="70"/>
  <c r="T104" i="70"/>
  <c r="H104" i="70"/>
  <c r="Z102" i="70"/>
  <c r="X102" i="70"/>
  <c r="V102" i="70"/>
  <c r="N102" i="70"/>
  <c r="L102" i="70"/>
  <c r="B102" i="70"/>
  <c r="T101" i="70"/>
  <c r="Z101" i="70" s="1"/>
  <c r="P101" i="70"/>
  <c r="N101" i="70"/>
  <c r="L101" i="70"/>
  <c r="H101" i="70"/>
  <c r="D101" i="70"/>
  <c r="B101" i="70"/>
  <c r="X100" i="70"/>
  <c r="Z100" i="70" s="1"/>
  <c r="L100" i="70"/>
  <c r="N100" i="70" s="1"/>
  <c r="J100" i="70"/>
  <c r="B100" i="70"/>
  <c r="Z99" i="70"/>
  <c r="X99" i="70"/>
  <c r="L99" i="70"/>
  <c r="N99" i="70" s="1"/>
  <c r="B99" i="70"/>
  <c r="T98" i="70"/>
  <c r="X98" i="70" s="1"/>
  <c r="Z98" i="70" s="1"/>
  <c r="P98" i="70"/>
  <c r="H98" i="70"/>
  <c r="D98" i="70"/>
  <c r="L98" i="70" s="1"/>
  <c r="B98" i="70"/>
  <c r="Z97" i="70"/>
  <c r="X97" i="70"/>
  <c r="N97" i="70"/>
  <c r="L97" i="70"/>
  <c r="B97" i="70"/>
  <c r="X96" i="70"/>
  <c r="Z96" i="70" s="1"/>
  <c r="V96" i="70"/>
  <c r="L96" i="70"/>
  <c r="N96" i="70" s="1"/>
  <c r="B96" i="70"/>
  <c r="X95" i="70"/>
  <c r="Z95" i="70" s="1"/>
  <c r="L95" i="70"/>
  <c r="N95" i="70" s="1"/>
  <c r="J95" i="70"/>
  <c r="B95" i="70"/>
  <c r="T94" i="70"/>
  <c r="P94" i="70"/>
  <c r="X94" i="70" s="1"/>
  <c r="L94" i="70"/>
  <c r="N94" i="70" s="1"/>
  <c r="H94" i="70"/>
  <c r="D94" i="70"/>
  <c r="B94" i="70"/>
  <c r="Z93" i="70"/>
  <c r="X93" i="70"/>
  <c r="L93" i="70"/>
  <c r="N93" i="70" s="1"/>
  <c r="B93" i="70"/>
  <c r="X92" i="70"/>
  <c r="Z92" i="70" s="1"/>
  <c r="T92" i="70"/>
  <c r="P92" i="70"/>
  <c r="J92" i="70"/>
  <c r="H92" i="70"/>
  <c r="N92" i="70" s="1"/>
  <c r="D92" i="70"/>
  <c r="L92" i="70" s="1"/>
  <c r="B92" i="70"/>
  <c r="Z91" i="70"/>
  <c r="X91" i="70"/>
  <c r="L91" i="70"/>
  <c r="N91" i="70" s="1"/>
  <c r="B91" i="70"/>
  <c r="X90" i="70"/>
  <c r="Z90" i="70" s="1"/>
  <c r="L90" i="70"/>
  <c r="N90" i="70" s="1"/>
  <c r="B90" i="70"/>
  <c r="X89" i="70"/>
  <c r="Z89" i="70" s="1"/>
  <c r="T89" i="70"/>
  <c r="P89" i="70"/>
  <c r="N89" i="70"/>
  <c r="J89" i="70"/>
  <c r="H89" i="70"/>
  <c r="D89" i="70"/>
  <c r="L89" i="70" s="1"/>
  <c r="B89" i="70"/>
  <c r="X88" i="70"/>
  <c r="Z88" i="70" s="1"/>
  <c r="L88" i="70"/>
  <c r="N88" i="70" s="1"/>
  <c r="B88" i="70"/>
  <c r="T87" i="70"/>
  <c r="P87" i="70"/>
  <c r="X87" i="70" s="1"/>
  <c r="H87" i="70"/>
  <c r="L87" i="70" s="1"/>
  <c r="N87" i="70" s="1"/>
  <c r="D87" i="70"/>
  <c r="B87" i="70"/>
  <c r="Z86" i="70"/>
  <c r="X86" i="70"/>
  <c r="V86" i="70"/>
  <c r="N86" i="70"/>
  <c r="L86" i="70"/>
  <c r="B86" i="70"/>
  <c r="Z85" i="70"/>
  <c r="X85" i="70"/>
  <c r="V85" i="70"/>
  <c r="N85" i="70"/>
  <c r="L85" i="70"/>
  <c r="B85" i="70"/>
  <c r="T84" i="70"/>
  <c r="P84" i="70"/>
  <c r="X84" i="70" s="1"/>
  <c r="Z84" i="70" s="1"/>
  <c r="H84" i="70"/>
  <c r="N84" i="70" s="1"/>
  <c r="D84" i="70"/>
  <c r="L84" i="70" s="1"/>
  <c r="B84" i="70"/>
  <c r="Z83" i="70"/>
  <c r="X83" i="70"/>
  <c r="L83" i="70"/>
  <c r="N83" i="70" s="1"/>
  <c r="J83" i="70"/>
  <c r="B83" i="70"/>
  <c r="Z82" i="70"/>
  <c r="T82" i="70"/>
  <c r="X82" i="70" s="1"/>
  <c r="P82" i="70"/>
  <c r="L82" i="70"/>
  <c r="H82" i="70"/>
  <c r="D82" i="70"/>
  <c r="B82" i="70"/>
  <c r="Z81" i="70"/>
  <c r="X81" i="70"/>
  <c r="N81" i="70"/>
  <c r="L81" i="70"/>
  <c r="B81" i="70"/>
  <c r="T80" i="70"/>
  <c r="P80" i="70"/>
  <c r="H80" i="70"/>
  <c r="D80" i="70"/>
  <c r="L80" i="70" s="1"/>
  <c r="N80" i="70" s="1"/>
  <c r="B80" i="70"/>
  <c r="X79" i="70"/>
  <c r="Z79" i="70" s="1"/>
  <c r="V79" i="70"/>
  <c r="L79" i="70"/>
  <c r="N79" i="70" s="1"/>
  <c r="B79" i="70"/>
  <c r="V78" i="70"/>
  <c r="T78" i="70"/>
  <c r="P78" i="70"/>
  <c r="X78" i="70" s="1"/>
  <c r="L78" i="70"/>
  <c r="N78" i="70" s="1"/>
  <c r="J78" i="70"/>
  <c r="H78" i="70"/>
  <c r="D78" i="70"/>
  <c r="B78" i="70"/>
  <c r="X77" i="70"/>
  <c r="Z77" i="70" s="1"/>
  <c r="N77" i="70"/>
  <c r="L77" i="70"/>
  <c r="B77" i="70"/>
  <c r="X76" i="70"/>
  <c r="T76" i="70"/>
  <c r="Z76" i="70" s="1"/>
  <c r="P76" i="70"/>
  <c r="L76" i="70"/>
  <c r="H76" i="70"/>
  <c r="D76" i="70"/>
  <c r="B76" i="70"/>
  <c r="Z75" i="70"/>
  <c r="X75" i="70"/>
  <c r="L75" i="70"/>
  <c r="N75" i="70" s="1"/>
  <c r="J75" i="70"/>
  <c r="B75" i="70"/>
  <c r="T74" i="70"/>
  <c r="P74" i="70"/>
  <c r="X74" i="70" s="1"/>
  <c r="Z74" i="70" s="1"/>
  <c r="H74" i="70"/>
  <c r="D74" i="70"/>
  <c r="B74" i="70"/>
  <c r="Z73" i="70"/>
  <c r="X73" i="70"/>
  <c r="N73" i="70"/>
  <c r="L73" i="70"/>
  <c r="B73" i="70"/>
  <c r="Z72" i="70"/>
  <c r="X72" i="70"/>
  <c r="V72" i="70"/>
  <c r="N72" i="70"/>
  <c r="L72" i="70"/>
  <c r="B72" i="70"/>
  <c r="X71" i="70"/>
  <c r="Z71" i="70" s="1"/>
  <c r="V71" i="70"/>
  <c r="L71" i="70"/>
  <c r="N71" i="70" s="1"/>
  <c r="B71" i="70"/>
  <c r="X70" i="70"/>
  <c r="Z70" i="70" s="1"/>
  <c r="V70" i="70"/>
  <c r="N70" i="70"/>
  <c r="L70" i="70"/>
  <c r="B70" i="70"/>
  <c r="Z69" i="70"/>
  <c r="X69" i="70"/>
  <c r="N69" i="70"/>
  <c r="L69" i="70"/>
  <c r="B69" i="70"/>
  <c r="X68" i="70"/>
  <c r="Z68" i="70" s="1"/>
  <c r="V68" i="70"/>
  <c r="L68" i="70"/>
  <c r="N68" i="70" s="1"/>
  <c r="B68" i="70"/>
  <c r="X67" i="70"/>
  <c r="Z67" i="70" s="1"/>
  <c r="V67" i="70"/>
  <c r="L67" i="70"/>
  <c r="N67" i="70" s="1"/>
  <c r="B67" i="70"/>
  <c r="Z66" i="70"/>
  <c r="X66" i="70"/>
  <c r="V66" i="70"/>
  <c r="N66" i="70"/>
  <c r="L66" i="70"/>
  <c r="B66" i="70"/>
  <c r="Z65" i="70"/>
  <c r="X65" i="70"/>
  <c r="L65" i="70"/>
  <c r="N65" i="70" s="1"/>
  <c r="B65" i="70"/>
  <c r="Z64" i="70"/>
  <c r="X64" i="70"/>
  <c r="V64" i="70"/>
  <c r="N64" i="70"/>
  <c r="L64" i="70"/>
  <c r="B64" i="70"/>
  <c r="V63" i="70"/>
  <c r="T63" i="70"/>
  <c r="P63" i="70"/>
  <c r="X63" i="70" s="1"/>
  <c r="H63" i="70"/>
  <c r="D63" i="70"/>
  <c r="L63" i="70" s="1"/>
  <c r="N63" i="70" s="1"/>
  <c r="B63" i="70"/>
  <c r="X62" i="70"/>
  <c r="Z62" i="70" s="1"/>
  <c r="N62" i="70"/>
  <c r="L62" i="70"/>
  <c r="B62" i="70"/>
  <c r="X61" i="70"/>
  <c r="Z61" i="70" s="1"/>
  <c r="N61" i="70"/>
  <c r="L61" i="70"/>
  <c r="B61" i="70"/>
  <c r="X60" i="70"/>
  <c r="Z60" i="70" s="1"/>
  <c r="N60" i="70"/>
  <c r="L60" i="70"/>
  <c r="B60" i="70"/>
  <c r="Z59" i="70"/>
  <c r="X59" i="70"/>
  <c r="N59" i="70"/>
  <c r="L59" i="70"/>
  <c r="B59" i="70"/>
  <c r="Z58" i="70"/>
  <c r="X58" i="70"/>
  <c r="N58" i="70"/>
  <c r="L58" i="70"/>
  <c r="B58" i="70"/>
  <c r="X57" i="70"/>
  <c r="Z57" i="70" s="1"/>
  <c r="N57" i="70"/>
  <c r="L57" i="70"/>
  <c r="B57" i="70"/>
  <c r="X56" i="70"/>
  <c r="Z56" i="70" s="1"/>
  <c r="N56" i="70"/>
  <c r="L56" i="70"/>
  <c r="B56" i="70"/>
  <c r="X55" i="70"/>
  <c r="Z55" i="70" s="1"/>
  <c r="N55" i="70"/>
  <c r="L55" i="70"/>
  <c r="B55" i="70"/>
  <c r="X54" i="70"/>
  <c r="Z54" i="70" s="1"/>
  <c r="N54" i="70"/>
  <c r="L54" i="70"/>
  <c r="B54" i="70"/>
  <c r="X53" i="70"/>
  <c r="Z53" i="70" s="1"/>
  <c r="N53" i="70"/>
  <c r="L53" i="70"/>
  <c r="B53" i="70"/>
  <c r="X52" i="70"/>
  <c r="T52" i="70"/>
  <c r="Z52" i="70" s="1"/>
  <c r="P52" i="70"/>
  <c r="L52" i="70"/>
  <c r="H52" i="70"/>
  <c r="D52" i="70"/>
  <c r="B52" i="70"/>
  <c r="T51" i="70"/>
  <c r="P51" i="70"/>
  <c r="H51" i="70"/>
  <c r="D51" i="70"/>
  <c r="T49" i="70"/>
  <c r="T109" i="70" s="1"/>
  <c r="T113" i="70" s="1"/>
  <c r="T116" i="70" s="1"/>
  <c r="Z47" i="70"/>
  <c r="X47" i="70"/>
  <c r="N47" i="70"/>
  <c r="L47" i="70"/>
  <c r="J47" i="70"/>
  <c r="B47" i="70"/>
  <c r="Z46" i="70"/>
  <c r="X46" i="70"/>
  <c r="N46" i="70"/>
  <c r="L46" i="70"/>
  <c r="J46" i="70"/>
  <c r="B46" i="70"/>
  <c r="Z45" i="70"/>
  <c r="X45" i="70"/>
  <c r="N45" i="70"/>
  <c r="L45" i="70"/>
  <c r="B45" i="70"/>
  <c r="Z44" i="70"/>
  <c r="X44" i="70"/>
  <c r="N44" i="70"/>
  <c r="L44" i="70"/>
  <c r="J44" i="70"/>
  <c r="B44" i="70"/>
  <c r="Z43" i="70"/>
  <c r="X43" i="70"/>
  <c r="N43" i="70"/>
  <c r="L43" i="70"/>
  <c r="J43" i="70"/>
  <c r="B43" i="70"/>
  <c r="Z42" i="70"/>
  <c r="X42" i="70"/>
  <c r="N42" i="70"/>
  <c r="L42" i="70"/>
  <c r="J42" i="70"/>
  <c r="B42" i="70"/>
  <c r="Z41" i="70"/>
  <c r="X41" i="70"/>
  <c r="N41" i="70"/>
  <c r="L41" i="70"/>
  <c r="B41" i="70"/>
  <c r="Z40" i="70"/>
  <c r="X40" i="70"/>
  <c r="N40" i="70"/>
  <c r="L40" i="70"/>
  <c r="J40" i="70"/>
  <c r="B40" i="70"/>
  <c r="Z39" i="70"/>
  <c r="X39" i="70"/>
  <c r="N39" i="70"/>
  <c r="L39" i="70"/>
  <c r="J39" i="70"/>
  <c r="B39" i="70"/>
  <c r="Z38" i="70"/>
  <c r="X38" i="70"/>
  <c r="N38" i="70"/>
  <c r="L38" i="70"/>
  <c r="J38" i="70"/>
  <c r="B38" i="70"/>
  <c r="Z37" i="70"/>
  <c r="X37" i="70"/>
  <c r="N37" i="70"/>
  <c r="L37" i="70"/>
  <c r="B37" i="70"/>
  <c r="Z36" i="70"/>
  <c r="X36" i="70"/>
  <c r="N36" i="70"/>
  <c r="L36" i="70"/>
  <c r="J36" i="70"/>
  <c r="B36" i="70"/>
  <c r="Z35" i="70"/>
  <c r="X35" i="70"/>
  <c r="L35" i="70"/>
  <c r="N35" i="70" s="1"/>
  <c r="J35" i="70"/>
  <c r="B35" i="70"/>
  <c r="T34" i="70"/>
  <c r="P34" i="70"/>
  <c r="X34" i="70" s="1"/>
  <c r="Z34" i="70" s="1"/>
  <c r="H34" i="70"/>
  <c r="D34" i="70"/>
  <c r="Z32" i="70"/>
  <c r="P32" i="70"/>
  <c r="X32" i="70" s="1"/>
  <c r="N32" i="70"/>
  <c r="D32" i="70"/>
  <c r="L32" i="70" s="1"/>
  <c r="B32" i="70"/>
  <c r="Z31" i="70"/>
  <c r="P31" i="70"/>
  <c r="X31" i="70" s="1"/>
  <c r="N31" i="70"/>
  <c r="D31" i="70"/>
  <c r="L31" i="70" s="1"/>
  <c r="B31" i="70"/>
  <c r="Z30" i="70"/>
  <c r="X30" i="70"/>
  <c r="P30" i="70"/>
  <c r="N30" i="70"/>
  <c r="L30" i="70"/>
  <c r="D30" i="70"/>
  <c r="B30" i="70"/>
  <c r="Z29" i="70"/>
  <c r="P29" i="70"/>
  <c r="X29" i="70" s="1"/>
  <c r="N29" i="70"/>
  <c r="D29" i="70"/>
  <c r="L29" i="70" s="1"/>
  <c r="B29" i="70"/>
  <c r="Z28" i="70"/>
  <c r="P28" i="70"/>
  <c r="X28" i="70" s="1"/>
  <c r="N28" i="70"/>
  <c r="D28" i="70"/>
  <c r="L28" i="70" s="1"/>
  <c r="B28" i="70"/>
  <c r="Z27" i="70"/>
  <c r="X27" i="70"/>
  <c r="P27" i="70"/>
  <c r="N27" i="70"/>
  <c r="L27" i="70"/>
  <c r="D27" i="70"/>
  <c r="B27" i="70"/>
  <c r="Z26" i="70"/>
  <c r="P26" i="70"/>
  <c r="X26" i="70" s="1"/>
  <c r="N26" i="70"/>
  <c r="D26" i="70"/>
  <c r="L26" i="70" s="1"/>
  <c r="B26" i="70"/>
  <c r="Z25" i="70"/>
  <c r="P25" i="70"/>
  <c r="X25" i="70" s="1"/>
  <c r="N25" i="70"/>
  <c r="D25" i="70"/>
  <c r="L25" i="70" s="1"/>
  <c r="B25" i="70"/>
  <c r="Z24" i="70"/>
  <c r="X24" i="70"/>
  <c r="P24" i="70"/>
  <c r="N24" i="70"/>
  <c r="L24" i="70"/>
  <c r="D24" i="70"/>
  <c r="B24" i="70"/>
  <c r="Z23" i="70"/>
  <c r="P23" i="70"/>
  <c r="X23" i="70" s="1"/>
  <c r="N23" i="70"/>
  <c r="D23" i="70"/>
  <c r="L23" i="70" s="1"/>
  <c r="B23" i="70"/>
  <c r="Z22" i="70"/>
  <c r="P22" i="70"/>
  <c r="X22" i="70" s="1"/>
  <c r="N22" i="70"/>
  <c r="L22" i="70"/>
  <c r="D22" i="70"/>
  <c r="B22" i="70"/>
  <c r="Z21" i="70"/>
  <c r="X21" i="70"/>
  <c r="P21" i="70"/>
  <c r="N21" i="70"/>
  <c r="L21" i="70"/>
  <c r="D21" i="70"/>
  <c r="B21" i="70"/>
  <c r="Z20" i="70"/>
  <c r="P20" i="70"/>
  <c r="X20" i="70" s="1"/>
  <c r="N20" i="70"/>
  <c r="D20" i="70"/>
  <c r="L20" i="70" s="1"/>
  <c r="B20" i="70"/>
  <c r="Z19" i="70"/>
  <c r="P19" i="70"/>
  <c r="X19" i="70" s="1"/>
  <c r="N19" i="70"/>
  <c r="D19" i="70"/>
  <c r="L19" i="70" s="1"/>
  <c r="B19" i="70"/>
  <c r="Z18" i="70"/>
  <c r="X18" i="70"/>
  <c r="P18" i="70"/>
  <c r="N18" i="70"/>
  <c r="L18" i="70"/>
  <c r="D18" i="70"/>
  <c r="B18" i="70"/>
  <c r="Z17" i="70"/>
  <c r="P17" i="70"/>
  <c r="X17" i="70" s="1"/>
  <c r="N17" i="70"/>
  <c r="D17" i="70"/>
  <c r="L17" i="70" s="1"/>
  <c r="B17" i="70"/>
  <c r="Z16" i="70"/>
  <c r="P16" i="70"/>
  <c r="X16" i="70" s="1"/>
  <c r="N16" i="70"/>
  <c r="D16" i="70"/>
  <c r="L16" i="70" s="1"/>
  <c r="B16" i="70"/>
  <c r="Z15" i="70"/>
  <c r="X15" i="70"/>
  <c r="P15" i="70"/>
  <c r="N15" i="70"/>
  <c r="L15" i="70"/>
  <c r="D15" i="70"/>
  <c r="B15" i="70"/>
  <c r="Z14" i="70"/>
  <c r="P14" i="70"/>
  <c r="X14" i="70" s="1"/>
  <c r="N14" i="70"/>
  <c r="D14" i="70"/>
  <c r="L14" i="70" s="1"/>
  <c r="B14" i="70"/>
  <c r="P13" i="70"/>
  <c r="X13" i="70" s="1"/>
  <c r="Z13" i="70" s="1"/>
  <c r="D13" i="70"/>
  <c r="B13" i="70"/>
  <c r="T12" i="70"/>
  <c r="V82" i="70" s="1"/>
  <c r="H12" i="70"/>
  <c r="J111" i="70" s="1"/>
  <c r="D6" i="70"/>
  <c r="D4" i="70"/>
  <c r="Z65" i="69"/>
  <c r="X65" i="69"/>
  <c r="N65" i="69"/>
  <c r="L65" i="69"/>
  <c r="J65" i="69"/>
  <c r="T61" i="69"/>
  <c r="Z61" i="69" s="1"/>
  <c r="P61" i="69"/>
  <c r="L61" i="69"/>
  <c r="H61" i="69"/>
  <c r="N61" i="69" s="1"/>
  <c r="D61" i="69"/>
  <c r="Z59" i="69"/>
  <c r="X59" i="69"/>
  <c r="N59" i="69"/>
  <c r="L59" i="69"/>
  <c r="B59" i="69"/>
  <c r="Z58" i="69"/>
  <c r="X58" i="69"/>
  <c r="T58" i="69"/>
  <c r="P58" i="69"/>
  <c r="L58" i="69"/>
  <c r="H58" i="69"/>
  <c r="N58" i="69" s="1"/>
  <c r="D58" i="69"/>
  <c r="B58" i="69"/>
  <c r="Z57" i="69"/>
  <c r="X57" i="69"/>
  <c r="N57" i="69"/>
  <c r="L57" i="69"/>
  <c r="J57" i="69"/>
  <c r="B57" i="69"/>
  <c r="Z56" i="69"/>
  <c r="X56" i="69"/>
  <c r="N56" i="69"/>
  <c r="L56" i="69"/>
  <c r="B56" i="69"/>
  <c r="T55" i="69"/>
  <c r="Z55" i="69" s="1"/>
  <c r="P55" i="69"/>
  <c r="X55" i="69" s="1"/>
  <c r="N55" i="69"/>
  <c r="H55" i="69"/>
  <c r="D55" i="69"/>
  <c r="L55" i="69" s="1"/>
  <c r="B55" i="69"/>
  <c r="Z54" i="69"/>
  <c r="X54" i="69"/>
  <c r="V54" i="69"/>
  <c r="N54" i="69"/>
  <c r="L54" i="69"/>
  <c r="B54" i="69"/>
  <c r="Z53" i="69"/>
  <c r="X53" i="69"/>
  <c r="V53" i="69"/>
  <c r="N53" i="69"/>
  <c r="L53" i="69"/>
  <c r="B53" i="69"/>
  <c r="Z52" i="69"/>
  <c r="T52" i="69"/>
  <c r="P52" i="69"/>
  <c r="X52" i="69" s="1"/>
  <c r="J52" i="69"/>
  <c r="H52" i="69"/>
  <c r="N52" i="69" s="1"/>
  <c r="D52" i="69"/>
  <c r="L52" i="69" s="1"/>
  <c r="B52" i="69"/>
  <c r="Z51" i="69"/>
  <c r="X51" i="69"/>
  <c r="N51" i="69"/>
  <c r="L51" i="69"/>
  <c r="J51" i="69"/>
  <c r="B51" i="69"/>
  <c r="Z50" i="69"/>
  <c r="X50" i="69"/>
  <c r="N50" i="69"/>
  <c r="L50" i="69"/>
  <c r="J50" i="69"/>
  <c r="B50" i="69"/>
  <c r="X49" i="69"/>
  <c r="T49" i="69"/>
  <c r="Z49" i="69" s="1"/>
  <c r="P49" i="69"/>
  <c r="H49" i="69"/>
  <c r="N49" i="69" s="1"/>
  <c r="F49" i="69"/>
  <c r="D49" i="69"/>
  <c r="B49" i="69"/>
  <c r="Z48" i="69"/>
  <c r="X48" i="69"/>
  <c r="N48" i="69"/>
  <c r="L48" i="69"/>
  <c r="B48" i="69"/>
  <c r="T47" i="69"/>
  <c r="Z47" i="69" s="1"/>
  <c r="P47" i="69"/>
  <c r="N47" i="69"/>
  <c r="H47" i="69"/>
  <c r="D47" i="69"/>
  <c r="L47" i="69" s="1"/>
  <c r="B47" i="69"/>
  <c r="Z46" i="69"/>
  <c r="X46" i="69"/>
  <c r="V46" i="69"/>
  <c r="N46" i="69"/>
  <c r="L46" i="69"/>
  <c r="B46" i="69"/>
  <c r="V45" i="69"/>
  <c r="T45" i="69"/>
  <c r="Z45" i="69" s="1"/>
  <c r="P45" i="69"/>
  <c r="X45" i="69" s="1"/>
  <c r="L45" i="69"/>
  <c r="J45" i="69"/>
  <c r="H45" i="69"/>
  <c r="N45" i="69" s="1"/>
  <c r="D45" i="69"/>
  <c r="B45" i="69"/>
  <c r="Z44" i="69"/>
  <c r="X44" i="69"/>
  <c r="N44" i="69"/>
  <c r="L44" i="69"/>
  <c r="J44" i="69"/>
  <c r="B44" i="69"/>
  <c r="T43" i="69"/>
  <c r="Z43" i="69" s="1"/>
  <c r="R43" i="69"/>
  <c r="P43" i="69"/>
  <c r="L43" i="69"/>
  <c r="H43" i="69"/>
  <c r="N43" i="69" s="1"/>
  <c r="D43" i="69"/>
  <c r="B43" i="69"/>
  <c r="Z42" i="69"/>
  <c r="X42" i="69"/>
  <c r="N42" i="69"/>
  <c r="L42" i="69"/>
  <c r="J42" i="69"/>
  <c r="B42" i="69"/>
  <c r="Z41" i="69"/>
  <c r="T41" i="69"/>
  <c r="P41" i="69"/>
  <c r="X41" i="69" s="1"/>
  <c r="H41" i="69"/>
  <c r="J41" i="69" s="1"/>
  <c r="D41" i="69"/>
  <c r="L41" i="69" s="1"/>
  <c r="B41" i="69"/>
  <c r="Z40" i="69"/>
  <c r="X40" i="69"/>
  <c r="N40" i="69"/>
  <c r="L40" i="69"/>
  <c r="B40" i="69"/>
  <c r="Z39" i="69"/>
  <c r="X39" i="69"/>
  <c r="V39" i="69"/>
  <c r="N39" i="69"/>
  <c r="L39" i="69"/>
  <c r="B39" i="69"/>
  <c r="Z38" i="69"/>
  <c r="X38" i="69"/>
  <c r="V38" i="69"/>
  <c r="N38" i="69"/>
  <c r="L38" i="69"/>
  <c r="J38" i="69"/>
  <c r="B38" i="69"/>
  <c r="Z37" i="69"/>
  <c r="X37" i="69"/>
  <c r="V37" i="69"/>
  <c r="N37" i="69"/>
  <c r="L37" i="69"/>
  <c r="B37" i="69"/>
  <c r="Z36" i="69"/>
  <c r="X36" i="69"/>
  <c r="N36" i="69"/>
  <c r="L36" i="69"/>
  <c r="B36" i="69"/>
  <c r="Z35" i="69"/>
  <c r="X35" i="69"/>
  <c r="V35" i="69"/>
  <c r="N35" i="69"/>
  <c r="L35" i="69"/>
  <c r="B35" i="69"/>
  <c r="Z34" i="69"/>
  <c r="X34" i="69"/>
  <c r="V34" i="69"/>
  <c r="N34" i="69"/>
  <c r="L34" i="69"/>
  <c r="J34" i="69"/>
  <c r="B34" i="69"/>
  <c r="Z33" i="69"/>
  <c r="X33" i="69"/>
  <c r="V33" i="69"/>
  <c r="N33" i="69"/>
  <c r="L33" i="69"/>
  <c r="B33" i="69"/>
  <c r="Z32" i="69"/>
  <c r="X32" i="69"/>
  <c r="N32" i="69"/>
  <c r="L32" i="69"/>
  <c r="B32" i="69"/>
  <c r="Z31" i="69"/>
  <c r="X31" i="69"/>
  <c r="V31" i="69"/>
  <c r="N31" i="69"/>
  <c r="L31" i="69"/>
  <c r="B31" i="69"/>
  <c r="V30" i="69"/>
  <c r="T30" i="69"/>
  <c r="Z30" i="69" s="1"/>
  <c r="P30" i="69"/>
  <c r="X30" i="69" s="1"/>
  <c r="N30" i="69"/>
  <c r="J30" i="69"/>
  <c r="H30" i="69"/>
  <c r="D30" i="69"/>
  <c r="L30" i="69" s="1"/>
  <c r="B30" i="69"/>
  <c r="Z29" i="69"/>
  <c r="X29" i="69"/>
  <c r="N29" i="69"/>
  <c r="L29" i="69"/>
  <c r="J29" i="69"/>
  <c r="B29" i="69"/>
  <c r="Z28" i="69"/>
  <c r="X28" i="69"/>
  <c r="N28" i="69"/>
  <c r="L28" i="69"/>
  <c r="J28" i="69"/>
  <c r="B28" i="69"/>
  <c r="Z27" i="69"/>
  <c r="X27" i="69"/>
  <c r="N27" i="69"/>
  <c r="L27" i="69"/>
  <c r="J27" i="69"/>
  <c r="B27" i="69"/>
  <c r="Z26" i="69"/>
  <c r="X26" i="69"/>
  <c r="N26" i="69"/>
  <c r="L26" i="69"/>
  <c r="J26" i="69"/>
  <c r="F26" i="69"/>
  <c r="B26" i="69"/>
  <c r="Z25" i="69"/>
  <c r="X25" i="69"/>
  <c r="N25" i="69"/>
  <c r="L25" i="69"/>
  <c r="J25" i="69"/>
  <c r="B25" i="69"/>
  <c r="Z24" i="69"/>
  <c r="X24" i="69"/>
  <c r="N24" i="69"/>
  <c r="L24" i="69"/>
  <c r="J24" i="69"/>
  <c r="B24" i="69"/>
  <c r="Z23" i="69"/>
  <c r="X23" i="69"/>
  <c r="N23" i="69"/>
  <c r="L23" i="69"/>
  <c r="J23" i="69"/>
  <c r="B23" i="69"/>
  <c r="Z22" i="69"/>
  <c r="X22" i="69"/>
  <c r="N22" i="69"/>
  <c r="L22" i="69"/>
  <c r="J22" i="69"/>
  <c r="B22" i="69"/>
  <c r="X21" i="69"/>
  <c r="T21" i="69"/>
  <c r="Z21" i="69" s="1"/>
  <c r="P21" i="69"/>
  <c r="H21" i="69"/>
  <c r="N21" i="69" s="1"/>
  <c r="D21" i="69"/>
  <c r="B21" i="69"/>
  <c r="T20" i="69"/>
  <c r="V20" i="69" s="1"/>
  <c r="P20" i="69"/>
  <c r="H20" i="69"/>
  <c r="D20" i="69"/>
  <c r="H18" i="69"/>
  <c r="Z16" i="69"/>
  <c r="X16" i="69"/>
  <c r="V16" i="69"/>
  <c r="N16" i="69"/>
  <c r="L16" i="69"/>
  <c r="J16" i="69"/>
  <c r="B16" i="69"/>
  <c r="T15" i="69"/>
  <c r="P15" i="69"/>
  <c r="X15" i="69" s="1"/>
  <c r="N15" i="69"/>
  <c r="H15" i="69"/>
  <c r="J15" i="69" s="1"/>
  <c r="D15" i="69"/>
  <c r="L15" i="69" s="1"/>
  <c r="P13" i="69"/>
  <c r="P12" i="69" s="1"/>
  <c r="D13" i="69"/>
  <c r="D12" i="69" s="1"/>
  <c r="F58" i="69" s="1"/>
  <c r="B13" i="69"/>
  <c r="T12" i="69"/>
  <c r="V58" i="69" s="1"/>
  <c r="H12" i="69"/>
  <c r="J54" i="69" s="1"/>
  <c r="D6" i="69"/>
  <c r="D4" i="69"/>
  <c r="X94" i="68"/>
  <c r="Z94" i="68" s="1"/>
  <c r="N94" i="68"/>
  <c r="L94" i="68"/>
  <c r="V90" i="68"/>
  <c r="T90" i="68"/>
  <c r="Z90" i="68" s="1"/>
  <c r="P90" i="68"/>
  <c r="X90" i="68" s="1"/>
  <c r="N90" i="68"/>
  <c r="H90" i="68"/>
  <c r="D90" i="68"/>
  <c r="L90" i="68" s="1"/>
  <c r="X88" i="68"/>
  <c r="Z88" i="68" s="1"/>
  <c r="V88" i="68"/>
  <c r="N88" i="68"/>
  <c r="L88" i="68"/>
  <c r="B88" i="68"/>
  <c r="V87" i="68"/>
  <c r="T87" i="68"/>
  <c r="Z87" i="68" s="1"/>
  <c r="P87" i="68"/>
  <c r="X87" i="68" s="1"/>
  <c r="L87" i="68"/>
  <c r="H87" i="68"/>
  <c r="N87" i="68" s="1"/>
  <c r="D87" i="68"/>
  <c r="B87" i="68"/>
  <c r="Z86" i="68"/>
  <c r="X86" i="68"/>
  <c r="N86" i="68"/>
  <c r="L86" i="68"/>
  <c r="B86" i="68"/>
  <c r="X85" i="68"/>
  <c r="Z85" i="68" s="1"/>
  <c r="N85" i="68"/>
  <c r="L85" i="68"/>
  <c r="B85" i="68"/>
  <c r="X84" i="68"/>
  <c r="Z84" i="68" s="1"/>
  <c r="T84" i="68"/>
  <c r="P84" i="68"/>
  <c r="L84" i="68"/>
  <c r="H84" i="68"/>
  <c r="D84" i="68"/>
  <c r="B84" i="68"/>
  <c r="Z83" i="68"/>
  <c r="X83" i="68"/>
  <c r="N83" i="68"/>
  <c r="L83" i="68"/>
  <c r="J83" i="68"/>
  <c r="B83" i="68"/>
  <c r="Z82" i="68"/>
  <c r="X82" i="68"/>
  <c r="N82" i="68"/>
  <c r="L82" i="68"/>
  <c r="B82" i="68"/>
  <c r="Z81" i="68"/>
  <c r="X81" i="68"/>
  <c r="N81" i="68"/>
  <c r="L81" i="68"/>
  <c r="B81" i="68"/>
  <c r="Z80" i="68"/>
  <c r="X80" i="68"/>
  <c r="L80" i="68"/>
  <c r="N80" i="68" s="1"/>
  <c r="J80" i="68"/>
  <c r="B80" i="68"/>
  <c r="T79" i="68"/>
  <c r="P79" i="68"/>
  <c r="X79" i="68" s="1"/>
  <c r="Z79" i="68" s="1"/>
  <c r="H79" i="68"/>
  <c r="D79" i="68"/>
  <c r="L79" i="68" s="1"/>
  <c r="N79" i="68" s="1"/>
  <c r="B79" i="68"/>
  <c r="X78" i="68"/>
  <c r="Z78" i="68" s="1"/>
  <c r="L78" i="68"/>
  <c r="N78" i="68" s="1"/>
  <c r="B78" i="68"/>
  <c r="Z77" i="68"/>
  <c r="X77" i="68"/>
  <c r="V77" i="68"/>
  <c r="N77" i="68"/>
  <c r="L77" i="68"/>
  <c r="B77" i="68"/>
  <c r="V76" i="68"/>
  <c r="T76" i="68"/>
  <c r="Z76" i="68" s="1"/>
  <c r="P76" i="68"/>
  <c r="X76" i="68" s="1"/>
  <c r="H76" i="68"/>
  <c r="D76" i="68"/>
  <c r="L76" i="68" s="1"/>
  <c r="N76" i="68" s="1"/>
  <c r="B76" i="68"/>
  <c r="X75" i="68"/>
  <c r="Z75" i="68" s="1"/>
  <c r="N75" i="68"/>
  <c r="L75" i="68"/>
  <c r="B75" i="68"/>
  <c r="Z74" i="68"/>
  <c r="X74" i="68"/>
  <c r="N74" i="68"/>
  <c r="L74" i="68"/>
  <c r="B74" i="68"/>
  <c r="T73" i="68"/>
  <c r="P73" i="68"/>
  <c r="L73" i="68"/>
  <c r="H73" i="68"/>
  <c r="N73" i="68" s="1"/>
  <c r="D73" i="68"/>
  <c r="B73" i="68"/>
  <c r="Z72" i="68"/>
  <c r="X72" i="68"/>
  <c r="N72" i="68"/>
  <c r="L72" i="68"/>
  <c r="J72" i="68"/>
  <c r="B72" i="68"/>
  <c r="T71" i="68"/>
  <c r="P71" i="68"/>
  <c r="X71" i="68" s="1"/>
  <c r="Z71" i="68" s="1"/>
  <c r="N71" i="68"/>
  <c r="H71" i="68"/>
  <c r="D71" i="68"/>
  <c r="L71" i="68" s="1"/>
  <c r="B71" i="68"/>
  <c r="Z70" i="68"/>
  <c r="X70" i="68"/>
  <c r="N70" i="68"/>
  <c r="L70" i="68"/>
  <c r="B70" i="68"/>
  <c r="X69" i="68"/>
  <c r="V69" i="68"/>
  <c r="T69" i="68"/>
  <c r="Z69" i="68" s="1"/>
  <c r="P69" i="68"/>
  <c r="N69" i="68"/>
  <c r="J69" i="68"/>
  <c r="H69" i="68"/>
  <c r="D69" i="68"/>
  <c r="L69" i="68" s="1"/>
  <c r="B69" i="68"/>
  <c r="X68" i="68"/>
  <c r="Z68" i="68" s="1"/>
  <c r="N68" i="68"/>
  <c r="L68" i="68"/>
  <c r="B68" i="68"/>
  <c r="X67" i="68"/>
  <c r="T67" i="68"/>
  <c r="Z67" i="68" s="1"/>
  <c r="P67" i="68"/>
  <c r="H67" i="68"/>
  <c r="D67" i="68"/>
  <c r="B67" i="68"/>
  <c r="Z66" i="68"/>
  <c r="X66" i="68"/>
  <c r="N66" i="68"/>
  <c r="L66" i="68"/>
  <c r="B66" i="68"/>
  <c r="Z65" i="68"/>
  <c r="X65" i="68"/>
  <c r="L65" i="68"/>
  <c r="N65" i="68" s="1"/>
  <c r="J65" i="68"/>
  <c r="B65" i="68"/>
  <c r="T64" i="68"/>
  <c r="P64" i="68"/>
  <c r="X64" i="68" s="1"/>
  <c r="H64" i="68"/>
  <c r="D64" i="68"/>
  <c r="L64" i="68" s="1"/>
  <c r="N64" i="68" s="1"/>
  <c r="B64" i="68"/>
  <c r="X63" i="68"/>
  <c r="Z63" i="68" s="1"/>
  <c r="V63" i="68"/>
  <c r="L63" i="68"/>
  <c r="N63" i="68" s="1"/>
  <c r="B63" i="68"/>
  <c r="T62" i="68"/>
  <c r="P62" i="68"/>
  <c r="X62" i="68" s="1"/>
  <c r="Z62" i="68" s="1"/>
  <c r="J62" i="68"/>
  <c r="H62" i="68"/>
  <c r="N62" i="68" s="1"/>
  <c r="D62" i="68"/>
  <c r="L62" i="68" s="1"/>
  <c r="B62" i="68"/>
  <c r="Z61" i="68"/>
  <c r="X61" i="68"/>
  <c r="N61" i="68"/>
  <c r="L61" i="68"/>
  <c r="B61" i="68"/>
  <c r="Z60" i="68"/>
  <c r="X60" i="68"/>
  <c r="T60" i="68"/>
  <c r="P60" i="68"/>
  <c r="N60" i="68"/>
  <c r="L60" i="68"/>
  <c r="H60" i="68"/>
  <c r="D60" i="68"/>
  <c r="B60" i="68"/>
  <c r="Z59" i="68"/>
  <c r="X59" i="68"/>
  <c r="L59" i="68"/>
  <c r="N59" i="68" s="1"/>
  <c r="J59" i="68"/>
  <c r="B59" i="68"/>
  <c r="Z58" i="68"/>
  <c r="T58" i="68"/>
  <c r="P58" i="68"/>
  <c r="X58" i="68" s="1"/>
  <c r="H58" i="68"/>
  <c r="D58" i="68"/>
  <c r="B58" i="68"/>
  <c r="Z57" i="68"/>
  <c r="X57" i="68"/>
  <c r="V57" i="68"/>
  <c r="N57" i="68"/>
  <c r="L57" i="68"/>
  <c r="B57" i="68"/>
  <c r="Z56" i="68"/>
  <c r="X56" i="68"/>
  <c r="V56" i="68"/>
  <c r="N56" i="68"/>
  <c r="L56" i="68"/>
  <c r="B56" i="68"/>
  <c r="X55" i="68"/>
  <c r="Z55" i="68" s="1"/>
  <c r="V55" i="68"/>
  <c r="L55" i="68"/>
  <c r="N55" i="68" s="1"/>
  <c r="B55" i="68"/>
  <c r="Z54" i="68"/>
  <c r="X54" i="68"/>
  <c r="N54" i="68"/>
  <c r="L54" i="68"/>
  <c r="B54" i="68"/>
  <c r="Z53" i="68"/>
  <c r="X53" i="68"/>
  <c r="V53" i="68"/>
  <c r="N53" i="68"/>
  <c r="L53" i="68"/>
  <c r="B53" i="68"/>
  <c r="Z52" i="68"/>
  <c r="X52" i="68"/>
  <c r="V52" i="68"/>
  <c r="N52" i="68"/>
  <c r="L52" i="68"/>
  <c r="B52" i="68"/>
  <c r="X51" i="68"/>
  <c r="Z51" i="68" s="1"/>
  <c r="V51" i="68"/>
  <c r="L51" i="68"/>
  <c r="N51" i="68" s="1"/>
  <c r="B51" i="68"/>
  <c r="Z50" i="68"/>
  <c r="X50" i="68"/>
  <c r="N50" i="68"/>
  <c r="L50" i="68"/>
  <c r="B50" i="68"/>
  <c r="Z49" i="68"/>
  <c r="X49" i="68"/>
  <c r="V49" i="68"/>
  <c r="N49" i="68"/>
  <c r="L49" i="68"/>
  <c r="B49" i="68"/>
  <c r="X48" i="68"/>
  <c r="Z48" i="68" s="1"/>
  <c r="V48" i="68"/>
  <c r="L48" i="68"/>
  <c r="N48" i="68" s="1"/>
  <c r="B48" i="68"/>
  <c r="V47" i="68"/>
  <c r="T47" i="68"/>
  <c r="P47" i="68"/>
  <c r="X47" i="68" s="1"/>
  <c r="J47" i="68"/>
  <c r="H47" i="68"/>
  <c r="D47" i="68"/>
  <c r="L47" i="68" s="1"/>
  <c r="B47" i="68"/>
  <c r="X46" i="68"/>
  <c r="Z46" i="68" s="1"/>
  <c r="N46" i="68"/>
  <c r="L46" i="68"/>
  <c r="B46" i="68"/>
  <c r="X45" i="68"/>
  <c r="Z45" i="68" s="1"/>
  <c r="N45" i="68"/>
  <c r="L45" i="68"/>
  <c r="B45" i="68"/>
  <c r="Z44" i="68"/>
  <c r="X44" i="68"/>
  <c r="N44" i="68"/>
  <c r="L44" i="68"/>
  <c r="B44" i="68"/>
  <c r="X43" i="68"/>
  <c r="Z43" i="68" s="1"/>
  <c r="N43" i="68"/>
  <c r="L43" i="68"/>
  <c r="B43" i="68"/>
  <c r="X42" i="68"/>
  <c r="Z42" i="68" s="1"/>
  <c r="N42" i="68"/>
  <c r="L42" i="68"/>
  <c r="B42" i="68"/>
  <c r="X41" i="68"/>
  <c r="Z41" i="68" s="1"/>
  <c r="N41" i="68"/>
  <c r="L41" i="68"/>
  <c r="B41" i="68"/>
  <c r="X40" i="68"/>
  <c r="Z40" i="68" s="1"/>
  <c r="N40" i="68"/>
  <c r="L40" i="68"/>
  <c r="B40" i="68"/>
  <c r="X39" i="68"/>
  <c r="Z39" i="68" s="1"/>
  <c r="N39" i="68"/>
  <c r="L39" i="68"/>
  <c r="B39" i="68"/>
  <c r="X38" i="68"/>
  <c r="T38" i="68"/>
  <c r="Z38" i="68" s="1"/>
  <c r="P38" i="68"/>
  <c r="L38" i="68"/>
  <c r="N38" i="68" s="1"/>
  <c r="H38" i="68"/>
  <c r="D38" i="68"/>
  <c r="B38" i="68"/>
  <c r="T37" i="68"/>
  <c r="P37" i="68"/>
  <c r="H37" i="68"/>
  <c r="D37" i="68"/>
  <c r="L37" i="68" s="1"/>
  <c r="N37" i="68" s="1"/>
  <c r="Z33" i="68"/>
  <c r="X33" i="68"/>
  <c r="N33" i="68"/>
  <c r="L33" i="68"/>
  <c r="J33" i="68"/>
  <c r="B33" i="68"/>
  <c r="Z32" i="68"/>
  <c r="X32" i="68"/>
  <c r="V32" i="68"/>
  <c r="N32" i="68"/>
  <c r="L32" i="68"/>
  <c r="J32" i="68"/>
  <c r="B32" i="68"/>
  <c r="Z31" i="68"/>
  <c r="X31" i="68"/>
  <c r="N31" i="68"/>
  <c r="L31" i="68"/>
  <c r="J31" i="68"/>
  <c r="B31" i="68"/>
  <c r="Z30" i="68"/>
  <c r="X30" i="68"/>
  <c r="V30" i="68"/>
  <c r="N30" i="68"/>
  <c r="L30" i="68"/>
  <c r="B30" i="68"/>
  <c r="Z29" i="68"/>
  <c r="X29" i="68"/>
  <c r="N29" i="68"/>
  <c r="L29" i="68"/>
  <c r="J29" i="68"/>
  <c r="B29" i="68"/>
  <c r="Z28" i="68"/>
  <c r="X28" i="68"/>
  <c r="V28" i="68"/>
  <c r="N28" i="68"/>
  <c r="L28" i="68"/>
  <c r="J28" i="68"/>
  <c r="B28" i="68"/>
  <c r="Z27" i="68"/>
  <c r="X27" i="68"/>
  <c r="N27" i="68"/>
  <c r="L27" i="68"/>
  <c r="J27" i="68"/>
  <c r="B27" i="68"/>
  <c r="Z26" i="68"/>
  <c r="X26" i="68"/>
  <c r="V26" i="68"/>
  <c r="L26" i="68"/>
  <c r="N26" i="68" s="1"/>
  <c r="B26" i="68"/>
  <c r="T25" i="68"/>
  <c r="P25" i="68"/>
  <c r="N25" i="68"/>
  <c r="H25" i="68"/>
  <c r="D25" i="68"/>
  <c r="L25" i="68" s="1"/>
  <c r="Z23" i="68"/>
  <c r="P23" i="68"/>
  <c r="X23" i="68" s="1"/>
  <c r="N23" i="68"/>
  <c r="D23" i="68"/>
  <c r="L23" i="68" s="1"/>
  <c r="B23" i="68"/>
  <c r="Z22" i="68"/>
  <c r="P22" i="68"/>
  <c r="X22" i="68" s="1"/>
  <c r="N22" i="68"/>
  <c r="D22" i="68"/>
  <c r="L22" i="68" s="1"/>
  <c r="B22" i="68"/>
  <c r="Z21" i="68"/>
  <c r="X21" i="68"/>
  <c r="P21" i="68"/>
  <c r="N21" i="68"/>
  <c r="L21" i="68"/>
  <c r="D21" i="68"/>
  <c r="B21" i="68"/>
  <c r="P20" i="68"/>
  <c r="X20" i="68" s="1"/>
  <c r="Z20" i="68" s="1"/>
  <c r="D20" i="68"/>
  <c r="L20" i="68" s="1"/>
  <c r="N20" i="68" s="1"/>
  <c r="B20" i="68"/>
  <c r="Z19" i="68"/>
  <c r="P19" i="68"/>
  <c r="X19" i="68" s="1"/>
  <c r="N19" i="68"/>
  <c r="D19" i="68"/>
  <c r="L19" i="68" s="1"/>
  <c r="B19" i="68"/>
  <c r="Z18" i="68"/>
  <c r="X18" i="68"/>
  <c r="P18" i="68"/>
  <c r="N18" i="68"/>
  <c r="L18" i="68"/>
  <c r="D18" i="68"/>
  <c r="B18" i="68"/>
  <c r="Z17" i="68"/>
  <c r="P17" i="68"/>
  <c r="X17" i="68" s="1"/>
  <c r="N17" i="68"/>
  <c r="D17" i="68"/>
  <c r="L17" i="68" s="1"/>
  <c r="B17" i="68"/>
  <c r="Z16" i="68"/>
  <c r="P16" i="68"/>
  <c r="X16" i="68" s="1"/>
  <c r="N16" i="68"/>
  <c r="D16" i="68"/>
  <c r="L16" i="68" s="1"/>
  <c r="B16" i="68"/>
  <c r="Z15" i="68"/>
  <c r="X15" i="68"/>
  <c r="P15" i="68"/>
  <c r="N15" i="68"/>
  <c r="L15" i="68"/>
  <c r="D15" i="68"/>
  <c r="B15" i="68"/>
  <c r="Z14" i="68"/>
  <c r="P14" i="68"/>
  <c r="X14" i="68" s="1"/>
  <c r="N14" i="68"/>
  <c r="D14" i="68"/>
  <c r="L14" i="68" s="1"/>
  <c r="B14" i="68"/>
  <c r="Z13" i="68"/>
  <c r="P13" i="68"/>
  <c r="N13" i="68"/>
  <c r="D13" i="68"/>
  <c r="L13" i="68" s="1"/>
  <c r="B13" i="68"/>
  <c r="T12" i="68"/>
  <c r="H12" i="68"/>
  <c r="J88" i="68" s="1"/>
  <c r="D12" i="68"/>
  <c r="F94" i="68" s="1"/>
  <c r="D6" i="68"/>
  <c r="D4" i="68"/>
  <c r="Z98" i="63"/>
  <c r="X98" i="63"/>
  <c r="N98" i="63"/>
  <c r="L98" i="63"/>
  <c r="P94" i="63"/>
  <c r="X94" i="63" s="1"/>
  <c r="Z94" i="63" s="1"/>
  <c r="D94" i="63"/>
  <c r="L94" i="63" s="1"/>
  <c r="N94" i="63" s="1"/>
  <c r="B94" i="63"/>
  <c r="X93" i="63"/>
  <c r="Z93" i="63" s="1"/>
  <c r="P93" i="63"/>
  <c r="L93" i="63"/>
  <c r="N93" i="63" s="1"/>
  <c r="D93" i="63"/>
  <c r="B93" i="63"/>
  <c r="T92" i="63"/>
  <c r="P92" i="63"/>
  <c r="X92" i="63" s="1"/>
  <c r="Z92" i="63" s="1"/>
  <c r="L92" i="63"/>
  <c r="N92" i="63" s="1"/>
  <c r="H92" i="63"/>
  <c r="D92" i="63"/>
  <c r="Z90" i="63"/>
  <c r="X90" i="63"/>
  <c r="L90" i="63"/>
  <c r="N90" i="63" s="1"/>
  <c r="B90" i="63"/>
  <c r="T89" i="63"/>
  <c r="P89" i="63"/>
  <c r="X89" i="63" s="1"/>
  <c r="H89" i="63"/>
  <c r="D89" i="63"/>
  <c r="L89" i="63" s="1"/>
  <c r="B89" i="63"/>
  <c r="Z88" i="63"/>
  <c r="X88" i="63"/>
  <c r="N88" i="63"/>
  <c r="L88" i="63"/>
  <c r="B88" i="63"/>
  <c r="Z87" i="63"/>
  <c r="T87" i="63"/>
  <c r="P87" i="63"/>
  <c r="X87" i="63" s="1"/>
  <c r="L87" i="63"/>
  <c r="H87" i="63"/>
  <c r="N87" i="63" s="1"/>
  <c r="D87" i="63"/>
  <c r="B87" i="63"/>
  <c r="Z86" i="63"/>
  <c r="X86" i="63"/>
  <c r="N86" i="63"/>
  <c r="L86" i="63"/>
  <c r="B86" i="63"/>
  <c r="Z85" i="63"/>
  <c r="X85" i="63"/>
  <c r="T85" i="63"/>
  <c r="P85" i="63"/>
  <c r="H85" i="63"/>
  <c r="D85" i="63"/>
  <c r="B85" i="63"/>
  <c r="X84" i="63"/>
  <c r="Z84" i="63" s="1"/>
  <c r="L84" i="63"/>
  <c r="N84" i="63" s="1"/>
  <c r="B84" i="63"/>
  <c r="T83" i="63"/>
  <c r="Z83" i="63" s="1"/>
  <c r="P83" i="63"/>
  <c r="X83" i="63" s="1"/>
  <c r="H83" i="63"/>
  <c r="D83" i="63"/>
  <c r="L83" i="63" s="1"/>
  <c r="B83" i="63"/>
  <c r="X82" i="63"/>
  <c r="Z82" i="63" s="1"/>
  <c r="N82" i="63"/>
  <c r="L82" i="63"/>
  <c r="B82" i="63"/>
  <c r="X81" i="63"/>
  <c r="Z81" i="63" s="1"/>
  <c r="N81" i="63"/>
  <c r="L81" i="63"/>
  <c r="B81" i="63"/>
  <c r="Z80" i="63"/>
  <c r="X80" i="63"/>
  <c r="N80" i="63"/>
  <c r="L80" i="63"/>
  <c r="B80" i="63"/>
  <c r="Z79" i="63"/>
  <c r="X79" i="63"/>
  <c r="N79" i="63"/>
  <c r="L79" i="63"/>
  <c r="B79" i="63"/>
  <c r="X78" i="63"/>
  <c r="Z78" i="63" s="1"/>
  <c r="N78" i="63"/>
  <c r="L78" i="63"/>
  <c r="B78" i="63"/>
  <c r="X77" i="63"/>
  <c r="Z77" i="63" s="1"/>
  <c r="N77" i="63"/>
  <c r="L77" i="63"/>
  <c r="B77" i="63"/>
  <c r="X76" i="63"/>
  <c r="Z76" i="63" s="1"/>
  <c r="N76" i="63"/>
  <c r="L76" i="63"/>
  <c r="B76" i="63"/>
  <c r="T75" i="63"/>
  <c r="P75" i="63"/>
  <c r="X75" i="63" s="1"/>
  <c r="Z75" i="63" s="1"/>
  <c r="L75" i="63"/>
  <c r="H75" i="63"/>
  <c r="N75" i="63" s="1"/>
  <c r="D75" i="63"/>
  <c r="B75" i="63"/>
  <c r="Z74" i="63"/>
  <c r="X74" i="63"/>
  <c r="N74" i="63"/>
  <c r="L74" i="63"/>
  <c r="B74" i="63"/>
  <c r="X73" i="63"/>
  <c r="Z73" i="63" s="1"/>
  <c r="T73" i="63"/>
  <c r="P73" i="63"/>
  <c r="H73" i="63"/>
  <c r="D73" i="63"/>
  <c r="B73" i="63"/>
  <c r="X72" i="63"/>
  <c r="Z72" i="63" s="1"/>
  <c r="L72" i="63"/>
  <c r="N72" i="63" s="1"/>
  <c r="B72" i="63"/>
  <c r="Z71" i="63"/>
  <c r="X71" i="63"/>
  <c r="N71" i="63"/>
  <c r="L71" i="63"/>
  <c r="B71" i="63"/>
  <c r="Z70" i="63"/>
  <c r="X70" i="63"/>
  <c r="L70" i="63"/>
  <c r="N70" i="63" s="1"/>
  <c r="B70" i="63"/>
  <c r="T69" i="63"/>
  <c r="P69" i="63"/>
  <c r="X69" i="63" s="1"/>
  <c r="H69" i="63"/>
  <c r="D69" i="63"/>
  <c r="L69" i="63" s="1"/>
  <c r="B69" i="63"/>
  <c r="X68" i="63"/>
  <c r="Z68" i="63" s="1"/>
  <c r="N68" i="63"/>
  <c r="L68" i="63"/>
  <c r="B68" i="63"/>
  <c r="Z67" i="63"/>
  <c r="X67" i="63"/>
  <c r="N67" i="63"/>
  <c r="L67" i="63"/>
  <c r="B67" i="63"/>
  <c r="Z66" i="63"/>
  <c r="X66" i="63"/>
  <c r="N66" i="63"/>
  <c r="L66" i="63"/>
  <c r="B66" i="63"/>
  <c r="X65" i="63"/>
  <c r="Z65" i="63" s="1"/>
  <c r="N65" i="63"/>
  <c r="L65" i="63"/>
  <c r="B65" i="63"/>
  <c r="X64" i="63"/>
  <c r="Z64" i="63" s="1"/>
  <c r="T64" i="63"/>
  <c r="P64" i="63"/>
  <c r="H64" i="63"/>
  <c r="D64" i="63"/>
  <c r="B64" i="63"/>
  <c r="Z63" i="63"/>
  <c r="X63" i="63"/>
  <c r="L63" i="63"/>
  <c r="N63" i="63" s="1"/>
  <c r="B63" i="63"/>
  <c r="T62" i="63"/>
  <c r="P62" i="63"/>
  <c r="H62" i="63"/>
  <c r="D62" i="63"/>
  <c r="L62" i="63" s="1"/>
  <c r="N62" i="63" s="1"/>
  <c r="B62" i="63"/>
  <c r="X61" i="63"/>
  <c r="Z61" i="63" s="1"/>
  <c r="L61" i="63"/>
  <c r="N61" i="63" s="1"/>
  <c r="B61" i="63"/>
  <c r="X60" i="63"/>
  <c r="Z60" i="63" s="1"/>
  <c r="T60" i="63"/>
  <c r="P60" i="63"/>
  <c r="H60" i="63"/>
  <c r="D60" i="63"/>
  <c r="L60" i="63" s="1"/>
  <c r="N60" i="63" s="1"/>
  <c r="B60" i="63"/>
  <c r="Z59" i="63"/>
  <c r="X59" i="63"/>
  <c r="N59" i="63"/>
  <c r="L59" i="63"/>
  <c r="B59" i="63"/>
  <c r="T58" i="63"/>
  <c r="P58" i="63"/>
  <c r="L58" i="63"/>
  <c r="N58" i="63" s="1"/>
  <c r="H58" i="63"/>
  <c r="D58" i="63"/>
  <c r="B58" i="63"/>
  <c r="Z57" i="63"/>
  <c r="X57" i="63"/>
  <c r="L57" i="63"/>
  <c r="N57" i="63" s="1"/>
  <c r="B57" i="63"/>
  <c r="T56" i="63"/>
  <c r="P56" i="63"/>
  <c r="X56" i="63" s="1"/>
  <c r="Z56" i="63" s="1"/>
  <c r="H56" i="63"/>
  <c r="D56" i="63"/>
  <c r="B56" i="63"/>
  <c r="X55" i="63"/>
  <c r="Z55" i="63" s="1"/>
  <c r="N55" i="63"/>
  <c r="L55" i="63"/>
  <c r="B55" i="63"/>
  <c r="T54" i="63"/>
  <c r="P54" i="63"/>
  <c r="X54" i="63" s="1"/>
  <c r="Z54" i="63" s="1"/>
  <c r="L54" i="63"/>
  <c r="N54" i="63" s="1"/>
  <c r="H54" i="63"/>
  <c r="D54" i="63"/>
  <c r="B54" i="63"/>
  <c r="X53" i="63"/>
  <c r="Z53" i="63" s="1"/>
  <c r="N53" i="63"/>
  <c r="L53" i="63"/>
  <c r="B53" i="63"/>
  <c r="X52" i="63"/>
  <c r="Z52" i="63" s="1"/>
  <c r="T52" i="63"/>
  <c r="P52" i="63"/>
  <c r="H52" i="63"/>
  <c r="D52" i="63"/>
  <c r="B52" i="63"/>
  <c r="Z51" i="63"/>
  <c r="X51" i="63"/>
  <c r="L51" i="63"/>
  <c r="N51" i="63" s="1"/>
  <c r="B51" i="63"/>
  <c r="T50" i="63"/>
  <c r="P50" i="63"/>
  <c r="H50" i="63"/>
  <c r="D50" i="63"/>
  <c r="L50" i="63" s="1"/>
  <c r="N50" i="63" s="1"/>
  <c r="B50" i="63"/>
  <c r="X49" i="63"/>
  <c r="Z49" i="63" s="1"/>
  <c r="L49" i="63"/>
  <c r="N49" i="63" s="1"/>
  <c r="B49" i="63"/>
  <c r="X48" i="63"/>
  <c r="Z48" i="63" s="1"/>
  <c r="T48" i="63"/>
  <c r="P48" i="63"/>
  <c r="H48" i="63"/>
  <c r="D48" i="63"/>
  <c r="L48" i="63" s="1"/>
  <c r="N48" i="63" s="1"/>
  <c r="B48" i="63"/>
  <c r="Z47" i="63"/>
  <c r="X47" i="63"/>
  <c r="N47" i="63"/>
  <c r="L47" i="63"/>
  <c r="B47" i="63"/>
  <c r="Z46" i="63"/>
  <c r="X46" i="63"/>
  <c r="N46" i="63"/>
  <c r="L46" i="63"/>
  <c r="B46" i="63"/>
  <c r="X45" i="63"/>
  <c r="T45" i="63"/>
  <c r="Z45" i="63" s="1"/>
  <c r="P45" i="63"/>
  <c r="H45" i="63"/>
  <c r="D45" i="63"/>
  <c r="L45" i="63" s="1"/>
  <c r="N45" i="63" s="1"/>
  <c r="B45" i="63"/>
  <c r="Z44" i="63"/>
  <c r="X44" i="63"/>
  <c r="L44" i="63"/>
  <c r="N44" i="63" s="1"/>
  <c r="B44" i="63"/>
  <c r="T43" i="63"/>
  <c r="P43" i="63"/>
  <c r="N43" i="63"/>
  <c r="L43" i="63"/>
  <c r="H43" i="63"/>
  <c r="D43" i="63"/>
  <c r="B43" i="63"/>
  <c r="Z42" i="63"/>
  <c r="X42" i="63"/>
  <c r="L42" i="63"/>
  <c r="N42" i="63" s="1"/>
  <c r="B42" i="63"/>
  <c r="X41" i="63"/>
  <c r="Z41" i="63" s="1"/>
  <c r="L41" i="63"/>
  <c r="N41" i="63" s="1"/>
  <c r="B41" i="63"/>
  <c r="X40" i="63"/>
  <c r="Z40" i="63" s="1"/>
  <c r="T40" i="63"/>
  <c r="P40" i="63"/>
  <c r="H40" i="63"/>
  <c r="D40" i="63"/>
  <c r="L40" i="63" s="1"/>
  <c r="N40" i="63" s="1"/>
  <c r="B40" i="63"/>
  <c r="Z39" i="63"/>
  <c r="X39" i="63"/>
  <c r="N39" i="63"/>
  <c r="L39" i="63"/>
  <c r="B39" i="63"/>
  <c r="Z38" i="63"/>
  <c r="X38" i="63"/>
  <c r="R38" i="63"/>
  <c r="N38" i="63"/>
  <c r="L38" i="63"/>
  <c r="B38" i="63"/>
  <c r="X37" i="63"/>
  <c r="Z37" i="63" s="1"/>
  <c r="N37" i="63"/>
  <c r="L37" i="63"/>
  <c r="B37" i="63"/>
  <c r="X36" i="63"/>
  <c r="Z36" i="63" s="1"/>
  <c r="N36" i="63"/>
  <c r="L36" i="63"/>
  <c r="B36" i="63"/>
  <c r="Z35" i="63"/>
  <c r="X35" i="63"/>
  <c r="N35" i="63"/>
  <c r="L35" i="63"/>
  <c r="B35" i="63"/>
  <c r="Z34" i="63"/>
  <c r="X34" i="63"/>
  <c r="R34" i="63"/>
  <c r="N34" i="63"/>
  <c r="L34" i="63"/>
  <c r="B34" i="63"/>
  <c r="X33" i="63"/>
  <c r="Z33" i="63" s="1"/>
  <c r="N33" i="63"/>
  <c r="L33" i="63"/>
  <c r="B33" i="63"/>
  <c r="Z32" i="63"/>
  <c r="X32" i="63"/>
  <c r="N32" i="63"/>
  <c r="L32" i="63"/>
  <c r="B32" i="63"/>
  <c r="Z31" i="63"/>
  <c r="X31" i="63"/>
  <c r="N31" i="63"/>
  <c r="L31" i="63"/>
  <c r="B31" i="63"/>
  <c r="X30" i="63"/>
  <c r="Z30" i="63" s="1"/>
  <c r="R30" i="63"/>
  <c r="N30" i="63"/>
  <c r="L30" i="63"/>
  <c r="B30" i="63"/>
  <c r="X29" i="63"/>
  <c r="T29" i="63"/>
  <c r="Z29" i="63" s="1"/>
  <c r="R29" i="63"/>
  <c r="P29" i="63"/>
  <c r="H29" i="63"/>
  <c r="D29" i="63"/>
  <c r="L29" i="63" s="1"/>
  <c r="N29" i="63" s="1"/>
  <c r="B29" i="63"/>
  <c r="Z28" i="63"/>
  <c r="X28" i="63"/>
  <c r="R28" i="63"/>
  <c r="N28" i="63"/>
  <c r="L28" i="63"/>
  <c r="B28" i="63"/>
  <c r="Z27" i="63"/>
  <c r="X27" i="63"/>
  <c r="R27" i="63"/>
  <c r="L27" i="63"/>
  <c r="N27" i="63" s="1"/>
  <c r="B27" i="63"/>
  <c r="Z26" i="63"/>
  <c r="X26" i="63"/>
  <c r="R26" i="63"/>
  <c r="N26" i="63"/>
  <c r="L26" i="63"/>
  <c r="B26" i="63"/>
  <c r="Z25" i="63"/>
  <c r="X25" i="63"/>
  <c r="N25" i="63"/>
  <c r="L25" i="63"/>
  <c r="B25" i="63"/>
  <c r="Z24" i="63"/>
  <c r="X24" i="63"/>
  <c r="R24" i="63"/>
  <c r="L24" i="63"/>
  <c r="N24" i="63" s="1"/>
  <c r="B24" i="63"/>
  <c r="Z23" i="63"/>
  <c r="X23" i="63"/>
  <c r="R23" i="63"/>
  <c r="L23" i="63"/>
  <c r="N23" i="63" s="1"/>
  <c r="B23" i="63"/>
  <c r="Z22" i="63"/>
  <c r="X22" i="63"/>
  <c r="R22" i="63"/>
  <c r="N22" i="63"/>
  <c r="L22" i="63"/>
  <c r="J22" i="63"/>
  <c r="B22" i="63"/>
  <c r="Z21" i="63"/>
  <c r="X21" i="63"/>
  <c r="V21" i="63"/>
  <c r="L21" i="63"/>
  <c r="N21" i="63" s="1"/>
  <c r="J21" i="63"/>
  <c r="B21" i="63"/>
  <c r="Z20" i="63"/>
  <c r="X20" i="63"/>
  <c r="R20" i="63"/>
  <c r="L20" i="63"/>
  <c r="N20" i="63" s="1"/>
  <c r="B20" i="63"/>
  <c r="T19" i="63"/>
  <c r="P19" i="63"/>
  <c r="N19" i="63"/>
  <c r="L19" i="63"/>
  <c r="J19" i="63"/>
  <c r="H19" i="63"/>
  <c r="D19" i="63"/>
  <c r="B19" i="63"/>
  <c r="T18" i="63"/>
  <c r="P18" i="63"/>
  <c r="H18" i="63"/>
  <c r="D18" i="63"/>
  <c r="Z14" i="63"/>
  <c r="T14" i="63"/>
  <c r="P14" i="63"/>
  <c r="X14" i="63" s="1"/>
  <c r="H14" i="63"/>
  <c r="N14" i="63" s="1"/>
  <c r="D14" i="63"/>
  <c r="L14" i="63" s="1"/>
  <c r="T12" i="63"/>
  <c r="V96" i="63" s="1"/>
  <c r="P12" i="63"/>
  <c r="R94" i="63" s="1"/>
  <c r="L12" i="63"/>
  <c r="H12" i="63"/>
  <c r="J100" i="63" s="1"/>
  <c r="D12" i="63"/>
  <c r="F81" i="63" s="1"/>
  <c r="D6" i="63"/>
  <c r="D4" i="63"/>
  <c r="Z62" i="61"/>
  <c r="X62" i="61"/>
  <c r="N62" i="61"/>
  <c r="L62" i="61"/>
  <c r="T58" i="61"/>
  <c r="Z58" i="61" s="1"/>
  <c r="P58" i="61"/>
  <c r="X58" i="61" s="1"/>
  <c r="H58" i="61"/>
  <c r="N58" i="61" s="1"/>
  <c r="D58" i="61"/>
  <c r="L58" i="61" s="1"/>
  <c r="Z56" i="61"/>
  <c r="X56" i="61"/>
  <c r="V56" i="61"/>
  <c r="N56" i="61"/>
  <c r="L56" i="61"/>
  <c r="B56" i="61"/>
  <c r="V55" i="61"/>
  <c r="T55" i="61"/>
  <c r="P55" i="61"/>
  <c r="X55" i="61" s="1"/>
  <c r="Z55" i="61" s="1"/>
  <c r="J55" i="61"/>
  <c r="H55" i="61"/>
  <c r="N55" i="61" s="1"/>
  <c r="D55" i="61"/>
  <c r="L55" i="61" s="1"/>
  <c r="B55" i="61"/>
  <c r="Z54" i="61"/>
  <c r="X54" i="61"/>
  <c r="N54" i="61"/>
  <c r="L54" i="61"/>
  <c r="B54" i="61"/>
  <c r="Z53" i="61"/>
  <c r="X53" i="61"/>
  <c r="N53" i="61"/>
  <c r="L53" i="61"/>
  <c r="B53" i="61"/>
  <c r="X52" i="61"/>
  <c r="T52" i="61"/>
  <c r="Z52" i="61" s="1"/>
  <c r="P52" i="61"/>
  <c r="N52" i="61"/>
  <c r="L52" i="61"/>
  <c r="H52" i="61"/>
  <c r="D52" i="61"/>
  <c r="B52" i="61"/>
  <c r="Z51" i="61"/>
  <c r="X51" i="61"/>
  <c r="N51" i="61"/>
  <c r="L51" i="61"/>
  <c r="J51" i="61"/>
  <c r="B51" i="61"/>
  <c r="T50" i="61"/>
  <c r="Z50" i="61" s="1"/>
  <c r="P50" i="61"/>
  <c r="X50" i="61" s="1"/>
  <c r="H50" i="61"/>
  <c r="D50" i="61"/>
  <c r="B50" i="61"/>
  <c r="Z49" i="61"/>
  <c r="X49" i="61"/>
  <c r="V49" i="61"/>
  <c r="N49" i="61"/>
  <c r="L49" i="61"/>
  <c r="B49" i="61"/>
  <c r="V48" i="61"/>
  <c r="T48" i="61"/>
  <c r="Z48" i="61" s="1"/>
  <c r="P48" i="61"/>
  <c r="X48" i="61" s="1"/>
  <c r="H48" i="61"/>
  <c r="N48" i="61" s="1"/>
  <c r="D48" i="61"/>
  <c r="L48" i="61" s="1"/>
  <c r="B48" i="61"/>
  <c r="X47" i="61"/>
  <c r="Z47" i="61" s="1"/>
  <c r="N47" i="61"/>
  <c r="L47" i="61"/>
  <c r="B47" i="61"/>
  <c r="X46" i="61"/>
  <c r="Z46" i="61" s="1"/>
  <c r="T46" i="61"/>
  <c r="R46" i="61"/>
  <c r="P46" i="61"/>
  <c r="L46" i="61"/>
  <c r="H46" i="61"/>
  <c r="N46" i="61" s="1"/>
  <c r="D46" i="61"/>
  <c r="B46" i="61"/>
  <c r="Z45" i="61"/>
  <c r="X45" i="61"/>
  <c r="R45" i="61"/>
  <c r="N45" i="61"/>
  <c r="L45" i="61"/>
  <c r="J45" i="61"/>
  <c r="B45" i="61"/>
  <c r="T44" i="61"/>
  <c r="P44" i="61"/>
  <c r="H44" i="61"/>
  <c r="N44" i="61" s="1"/>
  <c r="D44" i="61"/>
  <c r="L44" i="61" s="1"/>
  <c r="B44" i="61"/>
  <c r="Z43" i="61"/>
  <c r="X43" i="61"/>
  <c r="V43" i="61"/>
  <c r="L43" i="61"/>
  <c r="N43" i="61" s="1"/>
  <c r="B43" i="61"/>
  <c r="T42" i="61"/>
  <c r="P42" i="61"/>
  <c r="X42" i="61" s="1"/>
  <c r="J42" i="61"/>
  <c r="H42" i="61"/>
  <c r="D42" i="61"/>
  <c r="L42" i="61" s="1"/>
  <c r="B42" i="61"/>
  <c r="Z41" i="61"/>
  <c r="X41" i="61"/>
  <c r="V41" i="61"/>
  <c r="N41" i="61"/>
  <c r="L41" i="61"/>
  <c r="B41" i="61"/>
  <c r="X40" i="61"/>
  <c r="T40" i="61"/>
  <c r="Z40" i="61" s="1"/>
  <c r="P40" i="61"/>
  <c r="L40" i="61"/>
  <c r="N40" i="61" s="1"/>
  <c r="H40" i="61"/>
  <c r="D40" i="61"/>
  <c r="B40" i="61"/>
  <c r="Z39" i="61"/>
  <c r="X39" i="61"/>
  <c r="V39" i="61"/>
  <c r="N39" i="61"/>
  <c r="L39" i="61"/>
  <c r="J39" i="61"/>
  <c r="B39" i="61"/>
  <c r="Z38" i="61"/>
  <c r="X38" i="61"/>
  <c r="R38" i="61"/>
  <c r="N38" i="61"/>
  <c r="L38" i="61"/>
  <c r="B38" i="61"/>
  <c r="Z37" i="61"/>
  <c r="X37" i="61"/>
  <c r="R37" i="61"/>
  <c r="N37" i="61"/>
  <c r="L37" i="61"/>
  <c r="J37" i="61"/>
  <c r="B37" i="61"/>
  <c r="X36" i="61"/>
  <c r="Z36" i="61" s="1"/>
  <c r="R36" i="61"/>
  <c r="N36" i="61"/>
  <c r="L36" i="61"/>
  <c r="J36" i="61"/>
  <c r="B36" i="61"/>
  <c r="Z35" i="61"/>
  <c r="X35" i="61"/>
  <c r="V35" i="61"/>
  <c r="N35" i="61"/>
  <c r="L35" i="61"/>
  <c r="J35" i="61"/>
  <c r="B35" i="61"/>
  <c r="Z34" i="61"/>
  <c r="X34" i="61"/>
  <c r="R34" i="61"/>
  <c r="N34" i="61"/>
  <c r="L34" i="61"/>
  <c r="B34" i="61"/>
  <c r="Z33" i="61"/>
  <c r="X33" i="61"/>
  <c r="R33" i="61"/>
  <c r="N33" i="61"/>
  <c r="L33" i="61"/>
  <c r="J33" i="61"/>
  <c r="B33" i="61"/>
  <c r="Z32" i="61"/>
  <c r="X32" i="61"/>
  <c r="R32" i="61"/>
  <c r="N32" i="61"/>
  <c r="L32" i="61"/>
  <c r="J32" i="61"/>
  <c r="B32" i="61"/>
  <c r="Z31" i="61"/>
  <c r="X31" i="61"/>
  <c r="V31" i="61"/>
  <c r="N31" i="61"/>
  <c r="L31" i="61"/>
  <c r="J31" i="61"/>
  <c r="B31" i="61"/>
  <c r="Z30" i="61"/>
  <c r="X30" i="61"/>
  <c r="R30" i="61"/>
  <c r="N30" i="61"/>
  <c r="L30" i="61"/>
  <c r="B30" i="61"/>
  <c r="T29" i="61"/>
  <c r="X29" i="61" s="1"/>
  <c r="Z29" i="61" s="1"/>
  <c r="P29" i="61"/>
  <c r="N29" i="61"/>
  <c r="L29" i="61"/>
  <c r="J29" i="61"/>
  <c r="H29" i="61"/>
  <c r="D29" i="61"/>
  <c r="B29" i="61"/>
  <c r="Z28" i="61"/>
  <c r="X28" i="61"/>
  <c r="V28" i="61"/>
  <c r="L28" i="61"/>
  <c r="N28" i="61" s="1"/>
  <c r="J28" i="61"/>
  <c r="B28" i="61"/>
  <c r="Z27" i="61"/>
  <c r="X27" i="61"/>
  <c r="V27" i="61"/>
  <c r="L27" i="61"/>
  <c r="N27" i="61" s="1"/>
  <c r="J27" i="61"/>
  <c r="B27" i="61"/>
  <c r="X26" i="61"/>
  <c r="Z26" i="61" s="1"/>
  <c r="R26" i="61"/>
  <c r="L26" i="61"/>
  <c r="N26" i="61" s="1"/>
  <c r="B26" i="61"/>
  <c r="Z25" i="61"/>
  <c r="X25" i="61"/>
  <c r="V25" i="61"/>
  <c r="R25" i="61"/>
  <c r="N25" i="61"/>
  <c r="L25" i="61"/>
  <c r="J25" i="61"/>
  <c r="B25" i="61"/>
  <c r="Z24" i="61"/>
  <c r="X24" i="61"/>
  <c r="V24" i="61"/>
  <c r="R24" i="61"/>
  <c r="N24" i="61"/>
  <c r="L24" i="61"/>
  <c r="J24" i="61"/>
  <c r="B24" i="61"/>
  <c r="Z23" i="61"/>
  <c r="X23" i="61"/>
  <c r="V23" i="61"/>
  <c r="L23" i="61"/>
  <c r="N23" i="61" s="1"/>
  <c r="J23" i="61"/>
  <c r="B23" i="61"/>
  <c r="X22" i="61"/>
  <c r="Z22" i="61" s="1"/>
  <c r="R22" i="61"/>
  <c r="L22" i="61"/>
  <c r="N22" i="61" s="1"/>
  <c r="B22" i="61"/>
  <c r="Z21" i="61"/>
  <c r="X21" i="61"/>
  <c r="V21" i="61"/>
  <c r="R21" i="61"/>
  <c r="N21" i="61"/>
  <c r="L21" i="61"/>
  <c r="J21" i="61"/>
  <c r="B21" i="61"/>
  <c r="Z20" i="61"/>
  <c r="X20" i="61"/>
  <c r="V20" i="61"/>
  <c r="R20" i="61"/>
  <c r="L20" i="61"/>
  <c r="N20" i="61" s="1"/>
  <c r="J20" i="61"/>
  <c r="B20" i="61"/>
  <c r="V19" i="61"/>
  <c r="T19" i="61"/>
  <c r="P19" i="61"/>
  <c r="X19" i="61" s="1"/>
  <c r="Z19" i="61" s="1"/>
  <c r="J19" i="61"/>
  <c r="H19" i="61"/>
  <c r="D19" i="61"/>
  <c r="L19" i="61" s="1"/>
  <c r="B19" i="61"/>
  <c r="T18" i="61"/>
  <c r="R18" i="61"/>
  <c r="P18" i="61"/>
  <c r="X18" i="61" s="1"/>
  <c r="J18" i="61"/>
  <c r="H18" i="61"/>
  <c r="D18" i="61"/>
  <c r="R16" i="61"/>
  <c r="J16" i="61"/>
  <c r="X14" i="61"/>
  <c r="T14" i="61"/>
  <c r="Z14" i="61" s="1"/>
  <c r="R14" i="61"/>
  <c r="P14" i="61"/>
  <c r="P16" i="61" s="1"/>
  <c r="L14" i="61"/>
  <c r="J14" i="61"/>
  <c r="H14" i="61"/>
  <c r="H16" i="61" s="1"/>
  <c r="D14" i="61"/>
  <c r="X12" i="61"/>
  <c r="T12" i="61"/>
  <c r="V67" i="61" s="1"/>
  <c r="P12" i="61"/>
  <c r="R50" i="61" s="1"/>
  <c r="N12" i="61"/>
  <c r="H12" i="61"/>
  <c r="J56" i="61" s="1"/>
  <c r="D12" i="61"/>
  <c r="F45" i="61" s="1"/>
  <c r="D6" i="61"/>
  <c r="D4" i="61"/>
  <c r="Z59" i="60"/>
  <c r="X59" i="60"/>
  <c r="N59" i="60"/>
  <c r="L59" i="60"/>
  <c r="F57" i="60"/>
  <c r="X55" i="60"/>
  <c r="T55" i="60"/>
  <c r="Z55" i="60" s="1"/>
  <c r="P55" i="60"/>
  <c r="L55" i="60"/>
  <c r="H55" i="60"/>
  <c r="N55" i="60" s="1"/>
  <c r="F55" i="60"/>
  <c r="D55" i="60"/>
  <c r="X53" i="60"/>
  <c r="Z53" i="60" s="1"/>
  <c r="L53" i="60"/>
  <c r="N53" i="60" s="1"/>
  <c r="F53" i="60"/>
  <c r="B53" i="60"/>
  <c r="X52" i="60"/>
  <c r="Z52" i="60" s="1"/>
  <c r="T52" i="60"/>
  <c r="P52" i="60"/>
  <c r="N52" i="60"/>
  <c r="L52" i="60"/>
  <c r="H52" i="60"/>
  <c r="F52" i="60"/>
  <c r="D52" i="60"/>
  <c r="B52" i="60"/>
  <c r="Z51" i="60"/>
  <c r="X51" i="60"/>
  <c r="N51" i="60"/>
  <c r="L51" i="60"/>
  <c r="F51" i="60"/>
  <c r="B51" i="60"/>
  <c r="Z50" i="60"/>
  <c r="X50" i="60"/>
  <c r="N50" i="60"/>
  <c r="L50" i="60"/>
  <c r="B50" i="60"/>
  <c r="T49" i="60"/>
  <c r="P49" i="60"/>
  <c r="H49" i="60"/>
  <c r="N49" i="60" s="1"/>
  <c r="D49" i="60"/>
  <c r="L49" i="60" s="1"/>
  <c r="B49" i="60"/>
  <c r="Z48" i="60"/>
  <c r="X48" i="60"/>
  <c r="L48" i="60"/>
  <c r="N48" i="60" s="1"/>
  <c r="B48" i="60"/>
  <c r="T47" i="60"/>
  <c r="P47" i="60"/>
  <c r="X47" i="60" s="1"/>
  <c r="H47" i="60"/>
  <c r="N47" i="60" s="1"/>
  <c r="D47" i="60"/>
  <c r="L47" i="60" s="1"/>
  <c r="B47" i="60"/>
  <c r="Z46" i="60"/>
  <c r="X46" i="60"/>
  <c r="N46" i="60"/>
  <c r="L46" i="60"/>
  <c r="F46" i="60"/>
  <c r="B46" i="60"/>
  <c r="X45" i="60"/>
  <c r="Z45" i="60" s="1"/>
  <c r="L45" i="60"/>
  <c r="N45" i="60" s="1"/>
  <c r="F45" i="60"/>
  <c r="B45" i="60"/>
  <c r="X44" i="60"/>
  <c r="Z44" i="60" s="1"/>
  <c r="T44" i="60"/>
  <c r="R44" i="60"/>
  <c r="P44" i="60"/>
  <c r="H44" i="60"/>
  <c r="F44" i="60"/>
  <c r="D44" i="60"/>
  <c r="L44" i="60" s="1"/>
  <c r="N44" i="60" s="1"/>
  <c r="B44" i="60"/>
  <c r="Z43" i="60"/>
  <c r="X43" i="60"/>
  <c r="R43" i="60"/>
  <c r="L43" i="60"/>
  <c r="N43" i="60" s="1"/>
  <c r="F43" i="60"/>
  <c r="B43" i="60"/>
  <c r="T42" i="60"/>
  <c r="X42" i="60" s="1"/>
  <c r="Z42" i="60" s="1"/>
  <c r="P42" i="60"/>
  <c r="N42" i="60"/>
  <c r="L42" i="60"/>
  <c r="H42" i="60"/>
  <c r="F42" i="60"/>
  <c r="D42" i="60"/>
  <c r="B42" i="60"/>
  <c r="Z41" i="60"/>
  <c r="X41" i="60"/>
  <c r="L41" i="60"/>
  <c r="N41" i="60" s="1"/>
  <c r="F41" i="60"/>
  <c r="B41" i="60"/>
  <c r="T40" i="60"/>
  <c r="P40" i="60"/>
  <c r="X40" i="60" s="1"/>
  <c r="Z40" i="60" s="1"/>
  <c r="H40" i="60"/>
  <c r="F40" i="60"/>
  <c r="D40" i="60"/>
  <c r="L40" i="60" s="1"/>
  <c r="N40" i="60" s="1"/>
  <c r="B40" i="60"/>
  <c r="Z39" i="60"/>
  <c r="X39" i="60"/>
  <c r="N39" i="60"/>
  <c r="L39" i="60"/>
  <c r="F39" i="60"/>
  <c r="B39" i="60"/>
  <c r="Z38" i="60"/>
  <c r="X38" i="60"/>
  <c r="N38" i="60"/>
  <c r="L38" i="60"/>
  <c r="F38" i="60"/>
  <c r="B38" i="60"/>
  <c r="Z37" i="60"/>
  <c r="X37" i="60"/>
  <c r="N37" i="60"/>
  <c r="L37" i="60"/>
  <c r="F37" i="60"/>
  <c r="B37" i="60"/>
  <c r="Z36" i="60"/>
  <c r="X36" i="60"/>
  <c r="N36" i="60"/>
  <c r="L36" i="60"/>
  <c r="B36" i="60"/>
  <c r="Z35" i="60"/>
  <c r="X35" i="60"/>
  <c r="N35" i="60"/>
  <c r="L35" i="60"/>
  <c r="F35" i="60"/>
  <c r="B35" i="60"/>
  <c r="Z34" i="60"/>
  <c r="X34" i="60"/>
  <c r="N34" i="60"/>
  <c r="L34" i="60"/>
  <c r="F34" i="60"/>
  <c r="B34" i="60"/>
  <c r="X33" i="60"/>
  <c r="Z33" i="60" s="1"/>
  <c r="L33" i="60"/>
  <c r="N33" i="60" s="1"/>
  <c r="F33" i="60"/>
  <c r="B33" i="60"/>
  <c r="Z32" i="60"/>
  <c r="X32" i="60"/>
  <c r="N32" i="60"/>
  <c r="L32" i="60"/>
  <c r="B32" i="60"/>
  <c r="Z31" i="60"/>
  <c r="X31" i="60"/>
  <c r="N31" i="60"/>
  <c r="L31" i="60"/>
  <c r="F31" i="60"/>
  <c r="B31" i="60"/>
  <c r="Z30" i="60"/>
  <c r="X30" i="60"/>
  <c r="N30" i="60"/>
  <c r="L30" i="60"/>
  <c r="F30" i="60"/>
  <c r="B30" i="60"/>
  <c r="X29" i="60"/>
  <c r="T29" i="60"/>
  <c r="Z29" i="60" s="1"/>
  <c r="P29" i="60"/>
  <c r="L29" i="60"/>
  <c r="H29" i="60"/>
  <c r="N29" i="60" s="1"/>
  <c r="F29" i="60"/>
  <c r="D29" i="60"/>
  <c r="B29" i="60"/>
  <c r="Z28" i="60"/>
  <c r="X28" i="60"/>
  <c r="N28" i="60"/>
  <c r="L28" i="60"/>
  <c r="J28" i="60"/>
  <c r="B28" i="60"/>
  <c r="Z27" i="60"/>
  <c r="X27" i="60"/>
  <c r="R27" i="60"/>
  <c r="L27" i="60"/>
  <c r="N27" i="60" s="1"/>
  <c r="F27" i="60"/>
  <c r="B27" i="60"/>
  <c r="Z26" i="60"/>
  <c r="X26" i="60"/>
  <c r="R26" i="60"/>
  <c r="N26" i="60"/>
  <c r="L26" i="60"/>
  <c r="J26" i="60"/>
  <c r="F26" i="60"/>
  <c r="B26" i="60"/>
  <c r="Z25" i="60"/>
  <c r="X25" i="60"/>
  <c r="R25" i="60"/>
  <c r="N25" i="60"/>
  <c r="L25" i="60"/>
  <c r="F25" i="60"/>
  <c r="B25" i="60"/>
  <c r="Z24" i="60"/>
  <c r="X24" i="60"/>
  <c r="N24" i="60"/>
  <c r="L24" i="60"/>
  <c r="J24" i="60"/>
  <c r="F24" i="60"/>
  <c r="B24" i="60"/>
  <c r="Z23" i="60"/>
  <c r="X23" i="60"/>
  <c r="R23" i="60"/>
  <c r="L23" i="60"/>
  <c r="N23" i="60" s="1"/>
  <c r="F23" i="60"/>
  <c r="B23" i="60"/>
  <c r="Z22" i="60"/>
  <c r="X22" i="60"/>
  <c r="R22" i="60"/>
  <c r="N22" i="60"/>
  <c r="L22" i="60"/>
  <c r="J22" i="60"/>
  <c r="F22" i="60"/>
  <c r="B22" i="60"/>
  <c r="X21" i="60"/>
  <c r="Z21" i="60" s="1"/>
  <c r="R21" i="60"/>
  <c r="N21" i="60"/>
  <c r="L21" i="60"/>
  <c r="F21" i="60"/>
  <c r="B21" i="60"/>
  <c r="Z20" i="60"/>
  <c r="X20" i="60"/>
  <c r="N20" i="60"/>
  <c r="L20" i="60"/>
  <c r="J20" i="60"/>
  <c r="F20" i="60"/>
  <c r="B20" i="60"/>
  <c r="T19" i="60"/>
  <c r="P19" i="60"/>
  <c r="X19" i="60" s="1"/>
  <c r="H19" i="60"/>
  <c r="F19" i="60"/>
  <c r="D19" i="60"/>
  <c r="B19" i="60"/>
  <c r="T18" i="60"/>
  <c r="R18" i="60"/>
  <c r="P18" i="60"/>
  <c r="X18" i="60" s="1"/>
  <c r="J18" i="60"/>
  <c r="H18" i="60"/>
  <c r="F18" i="60"/>
  <c r="D18" i="60"/>
  <c r="R16" i="60"/>
  <c r="J16" i="60"/>
  <c r="F16" i="60"/>
  <c r="T14" i="60"/>
  <c r="Z14" i="60" s="1"/>
  <c r="R14" i="60"/>
  <c r="P14" i="60"/>
  <c r="X14" i="60" s="1"/>
  <c r="N14" i="60"/>
  <c r="J14" i="60"/>
  <c r="H14" i="60"/>
  <c r="F14" i="60"/>
  <c r="D14" i="60"/>
  <c r="L14" i="60" s="1"/>
  <c r="T12" i="60"/>
  <c r="V57" i="60" s="1"/>
  <c r="P12" i="60"/>
  <c r="R19" i="60" s="1"/>
  <c r="N12" i="60"/>
  <c r="H12" i="60"/>
  <c r="J41" i="60" s="1"/>
  <c r="D12" i="60"/>
  <c r="F64" i="60" s="1"/>
  <c r="D6" i="60"/>
  <c r="D4" i="60"/>
  <c r="Z69" i="59"/>
  <c r="X69" i="59"/>
  <c r="N69" i="59"/>
  <c r="L69" i="59"/>
  <c r="V67" i="59"/>
  <c r="Z65" i="59"/>
  <c r="V65" i="59"/>
  <c r="T65" i="59"/>
  <c r="P65" i="59"/>
  <c r="X65" i="59" s="1"/>
  <c r="H65" i="59"/>
  <c r="N65" i="59" s="1"/>
  <c r="D65" i="59"/>
  <c r="L65" i="59" s="1"/>
  <c r="Z63" i="59"/>
  <c r="X63" i="59"/>
  <c r="V63" i="59"/>
  <c r="L63" i="59"/>
  <c r="N63" i="59" s="1"/>
  <c r="B63" i="59"/>
  <c r="T62" i="59"/>
  <c r="P62" i="59"/>
  <c r="X62" i="59" s="1"/>
  <c r="H62" i="59"/>
  <c r="D62" i="59"/>
  <c r="L62" i="59" s="1"/>
  <c r="B62" i="59"/>
  <c r="Z61" i="59"/>
  <c r="X61" i="59"/>
  <c r="N61" i="59"/>
  <c r="L61" i="59"/>
  <c r="B61" i="59"/>
  <c r="X60" i="59"/>
  <c r="Z60" i="59" s="1"/>
  <c r="L60" i="59"/>
  <c r="N60" i="59" s="1"/>
  <c r="B60" i="59"/>
  <c r="X59" i="59"/>
  <c r="Z59" i="59" s="1"/>
  <c r="T59" i="59"/>
  <c r="P59" i="59"/>
  <c r="H59" i="59"/>
  <c r="D59" i="59"/>
  <c r="L59" i="59" s="1"/>
  <c r="N59" i="59" s="1"/>
  <c r="B59" i="59"/>
  <c r="Z58" i="59"/>
  <c r="X58" i="59"/>
  <c r="L58" i="59"/>
  <c r="N58" i="59" s="1"/>
  <c r="B58" i="59"/>
  <c r="Z57" i="59"/>
  <c r="T57" i="59"/>
  <c r="X57" i="59" s="1"/>
  <c r="P57" i="59"/>
  <c r="N57" i="59"/>
  <c r="L57" i="59"/>
  <c r="H57" i="59"/>
  <c r="D57" i="59"/>
  <c r="B57" i="59"/>
  <c r="X56" i="59"/>
  <c r="Z56" i="59" s="1"/>
  <c r="V56" i="59"/>
  <c r="L56" i="59"/>
  <c r="N56" i="59" s="1"/>
  <c r="B56" i="59"/>
  <c r="Z55" i="59"/>
  <c r="X55" i="59"/>
  <c r="V55" i="59"/>
  <c r="L55" i="59"/>
  <c r="N55" i="59" s="1"/>
  <c r="B55" i="59"/>
  <c r="X54" i="59"/>
  <c r="T54" i="59"/>
  <c r="P54" i="59"/>
  <c r="J54" i="59"/>
  <c r="H54" i="59"/>
  <c r="D54" i="59"/>
  <c r="L54" i="59" s="1"/>
  <c r="B54" i="59"/>
  <c r="Z53" i="59"/>
  <c r="X53" i="59"/>
  <c r="V53" i="59"/>
  <c r="N53" i="59"/>
  <c r="L53" i="59"/>
  <c r="F53" i="59"/>
  <c r="B53" i="59"/>
  <c r="X52" i="59"/>
  <c r="Z52" i="59" s="1"/>
  <c r="V52" i="59"/>
  <c r="L52" i="59"/>
  <c r="N52" i="59" s="1"/>
  <c r="B52" i="59"/>
  <c r="X51" i="59"/>
  <c r="Z51" i="59" s="1"/>
  <c r="N51" i="59"/>
  <c r="L51" i="59"/>
  <c r="B51" i="59"/>
  <c r="X50" i="59"/>
  <c r="T50" i="59"/>
  <c r="R50" i="59"/>
  <c r="P50" i="59"/>
  <c r="L50" i="59"/>
  <c r="H50" i="59"/>
  <c r="D50" i="59"/>
  <c r="B50" i="59"/>
  <c r="Z49" i="59"/>
  <c r="X49" i="59"/>
  <c r="N49" i="59"/>
  <c r="L49" i="59"/>
  <c r="B49" i="59"/>
  <c r="T48" i="59"/>
  <c r="P48" i="59"/>
  <c r="H48" i="59"/>
  <c r="N48" i="59" s="1"/>
  <c r="D48" i="59"/>
  <c r="L48" i="59" s="1"/>
  <c r="B48" i="59"/>
  <c r="Z47" i="59"/>
  <c r="X47" i="59"/>
  <c r="V47" i="59"/>
  <c r="N47" i="59"/>
  <c r="L47" i="59"/>
  <c r="B47" i="59"/>
  <c r="T46" i="59"/>
  <c r="P46" i="59"/>
  <c r="H46" i="59"/>
  <c r="N46" i="59" s="1"/>
  <c r="D46" i="59"/>
  <c r="L46" i="59" s="1"/>
  <c r="B46" i="59"/>
  <c r="Z45" i="59"/>
  <c r="X45" i="59"/>
  <c r="V45" i="59"/>
  <c r="N45" i="59"/>
  <c r="L45" i="59"/>
  <c r="B45" i="59"/>
  <c r="X44" i="59"/>
  <c r="Z44" i="59" s="1"/>
  <c r="V44" i="59"/>
  <c r="L44" i="59"/>
  <c r="N44" i="59" s="1"/>
  <c r="B44" i="59"/>
  <c r="X43" i="59"/>
  <c r="Z43" i="59" s="1"/>
  <c r="V43" i="59"/>
  <c r="T43" i="59"/>
  <c r="R43" i="59"/>
  <c r="P43" i="59"/>
  <c r="N43" i="59"/>
  <c r="H43" i="59"/>
  <c r="D43" i="59"/>
  <c r="L43" i="59" s="1"/>
  <c r="B43" i="59"/>
  <c r="Z42" i="59"/>
  <c r="X42" i="59"/>
  <c r="N42" i="59"/>
  <c r="L42" i="59"/>
  <c r="B42" i="59"/>
  <c r="V41" i="59"/>
  <c r="T41" i="59"/>
  <c r="X41" i="59" s="1"/>
  <c r="P41" i="59"/>
  <c r="N41" i="59"/>
  <c r="L41" i="59"/>
  <c r="J41" i="59"/>
  <c r="H41" i="59"/>
  <c r="D41" i="59"/>
  <c r="B41" i="59"/>
  <c r="Z40" i="59"/>
  <c r="X40" i="59"/>
  <c r="V40" i="59"/>
  <c r="N40" i="59"/>
  <c r="L40" i="59"/>
  <c r="B40" i="59"/>
  <c r="Z39" i="59"/>
  <c r="X39" i="59"/>
  <c r="V39" i="59"/>
  <c r="N39" i="59"/>
  <c r="L39" i="59"/>
  <c r="B39" i="59"/>
  <c r="Z38" i="59"/>
  <c r="X38" i="59"/>
  <c r="N38" i="59"/>
  <c r="L38" i="59"/>
  <c r="B38" i="59"/>
  <c r="Z37" i="59"/>
  <c r="X37" i="59"/>
  <c r="V37" i="59"/>
  <c r="R37" i="59"/>
  <c r="N37" i="59"/>
  <c r="L37" i="59"/>
  <c r="B37" i="59"/>
  <c r="Z36" i="59"/>
  <c r="X36" i="59"/>
  <c r="V36" i="59"/>
  <c r="N36" i="59"/>
  <c r="L36" i="59"/>
  <c r="B36" i="59"/>
  <c r="Z35" i="59"/>
  <c r="X35" i="59"/>
  <c r="V35" i="59"/>
  <c r="N35" i="59"/>
  <c r="L35" i="59"/>
  <c r="B35" i="59"/>
  <c r="Z34" i="59"/>
  <c r="X34" i="59"/>
  <c r="V34" i="59"/>
  <c r="R34" i="59"/>
  <c r="L34" i="59"/>
  <c r="N34" i="59" s="1"/>
  <c r="B34" i="59"/>
  <c r="Z33" i="59"/>
  <c r="X33" i="59"/>
  <c r="V33" i="59"/>
  <c r="N33" i="59"/>
  <c r="L33" i="59"/>
  <c r="J33" i="59"/>
  <c r="B33" i="59"/>
  <c r="X32" i="59"/>
  <c r="Z32" i="59" s="1"/>
  <c r="V32" i="59"/>
  <c r="L32" i="59"/>
  <c r="N32" i="59" s="1"/>
  <c r="B32" i="59"/>
  <c r="Z31" i="59"/>
  <c r="X31" i="59"/>
  <c r="V31" i="59"/>
  <c r="N31" i="59"/>
  <c r="L31" i="59"/>
  <c r="B31" i="59"/>
  <c r="X30" i="59"/>
  <c r="Z30" i="59" s="1"/>
  <c r="V30" i="59"/>
  <c r="T30" i="59"/>
  <c r="P30" i="59"/>
  <c r="H30" i="59"/>
  <c r="D30" i="59"/>
  <c r="L30" i="59" s="1"/>
  <c r="B30" i="59"/>
  <c r="Z29" i="59"/>
  <c r="X29" i="59"/>
  <c r="V29" i="59"/>
  <c r="N29" i="59"/>
  <c r="L29" i="59"/>
  <c r="B29" i="59"/>
  <c r="X28" i="59"/>
  <c r="Z28" i="59" s="1"/>
  <c r="V28" i="59"/>
  <c r="R28" i="59"/>
  <c r="L28" i="59"/>
  <c r="N28" i="59" s="1"/>
  <c r="B28" i="59"/>
  <c r="X27" i="59"/>
  <c r="Z27" i="59" s="1"/>
  <c r="V27" i="59"/>
  <c r="N27" i="59"/>
  <c r="L27" i="59"/>
  <c r="B27" i="59"/>
  <c r="Z26" i="59"/>
  <c r="X26" i="59"/>
  <c r="V26" i="59"/>
  <c r="N26" i="59"/>
  <c r="L26" i="59"/>
  <c r="B26" i="59"/>
  <c r="Z25" i="59"/>
  <c r="X25" i="59"/>
  <c r="V25" i="59"/>
  <c r="N25" i="59"/>
  <c r="L25" i="59"/>
  <c r="J25" i="59"/>
  <c r="B25" i="59"/>
  <c r="X24" i="59"/>
  <c r="Z24" i="59" s="1"/>
  <c r="V24" i="59"/>
  <c r="R24" i="59"/>
  <c r="L24" i="59"/>
  <c r="N24" i="59" s="1"/>
  <c r="B24" i="59"/>
  <c r="X23" i="59"/>
  <c r="Z23" i="59" s="1"/>
  <c r="V23" i="59"/>
  <c r="N23" i="59"/>
  <c r="L23" i="59"/>
  <c r="B23" i="59"/>
  <c r="X22" i="59"/>
  <c r="Z22" i="59" s="1"/>
  <c r="V22" i="59"/>
  <c r="N22" i="59"/>
  <c r="L22" i="59"/>
  <c r="B22" i="59"/>
  <c r="Z21" i="59"/>
  <c r="X21" i="59"/>
  <c r="V21" i="59"/>
  <c r="N21" i="59"/>
  <c r="L21" i="59"/>
  <c r="J21" i="59"/>
  <c r="B21" i="59"/>
  <c r="X20" i="59"/>
  <c r="Z20" i="59" s="1"/>
  <c r="V20" i="59"/>
  <c r="R20" i="59"/>
  <c r="L20" i="59"/>
  <c r="N20" i="59" s="1"/>
  <c r="B20" i="59"/>
  <c r="Z19" i="59"/>
  <c r="X19" i="59"/>
  <c r="V19" i="59"/>
  <c r="T19" i="59"/>
  <c r="P19" i="59"/>
  <c r="L19" i="59"/>
  <c r="N19" i="59" s="1"/>
  <c r="H19" i="59"/>
  <c r="D19" i="59"/>
  <c r="B19" i="59"/>
  <c r="X18" i="59"/>
  <c r="Z18" i="59" s="1"/>
  <c r="T18" i="59"/>
  <c r="P18" i="59"/>
  <c r="H18" i="59"/>
  <c r="F18" i="59"/>
  <c r="D18" i="59"/>
  <c r="L18" i="59" s="1"/>
  <c r="T16" i="59"/>
  <c r="R16" i="59"/>
  <c r="Z14" i="59"/>
  <c r="X14" i="59"/>
  <c r="T14" i="59"/>
  <c r="R14" i="59"/>
  <c r="P14" i="59"/>
  <c r="N14" i="59"/>
  <c r="H14" i="59"/>
  <c r="L14" i="59" s="1"/>
  <c r="D14" i="59"/>
  <c r="Z12" i="59"/>
  <c r="X12" i="59"/>
  <c r="T12" i="59"/>
  <c r="V60" i="59" s="1"/>
  <c r="P12" i="59"/>
  <c r="R58" i="59" s="1"/>
  <c r="H12" i="59"/>
  <c r="D12" i="59"/>
  <c r="D6" i="59"/>
  <c r="D4" i="59"/>
  <c r="J80" i="58"/>
  <c r="Z75" i="58"/>
  <c r="X75" i="58"/>
  <c r="N75" i="58"/>
  <c r="L75" i="58"/>
  <c r="T71" i="58"/>
  <c r="P71" i="58"/>
  <c r="H71" i="58"/>
  <c r="D71" i="58"/>
  <c r="Z69" i="58"/>
  <c r="X69" i="58"/>
  <c r="L69" i="58"/>
  <c r="N69" i="58" s="1"/>
  <c r="B69" i="58"/>
  <c r="X68" i="58"/>
  <c r="Z68" i="58" s="1"/>
  <c r="T68" i="58"/>
  <c r="P68" i="58"/>
  <c r="N68" i="58"/>
  <c r="L68" i="58"/>
  <c r="J68" i="58"/>
  <c r="H68" i="58"/>
  <c r="D68" i="58"/>
  <c r="B68" i="58"/>
  <c r="Z67" i="58"/>
  <c r="X67" i="58"/>
  <c r="L67" i="58"/>
  <c r="N67" i="58" s="1"/>
  <c r="B67" i="58"/>
  <c r="T66" i="58"/>
  <c r="P66" i="58"/>
  <c r="X66" i="58" s="1"/>
  <c r="H66" i="58"/>
  <c r="N66" i="58" s="1"/>
  <c r="D66" i="58"/>
  <c r="L66" i="58" s="1"/>
  <c r="B66" i="58"/>
  <c r="Z65" i="58"/>
  <c r="X65" i="58"/>
  <c r="L65" i="58"/>
  <c r="N65" i="58" s="1"/>
  <c r="B65" i="58"/>
  <c r="Z64" i="58"/>
  <c r="X64" i="58"/>
  <c r="N64" i="58"/>
  <c r="L64" i="58"/>
  <c r="F64" i="58"/>
  <c r="B64" i="58"/>
  <c r="Z63" i="58"/>
  <c r="X63" i="58"/>
  <c r="L63" i="58"/>
  <c r="N63" i="58" s="1"/>
  <c r="F63" i="58"/>
  <c r="B63" i="58"/>
  <c r="T62" i="58"/>
  <c r="P62" i="58"/>
  <c r="H62" i="58"/>
  <c r="F62" i="58"/>
  <c r="D62" i="58"/>
  <c r="L62" i="58" s="1"/>
  <c r="B62" i="58"/>
  <c r="Z61" i="58"/>
  <c r="X61" i="58"/>
  <c r="V61" i="58"/>
  <c r="L61" i="58"/>
  <c r="N61" i="58" s="1"/>
  <c r="F61" i="58"/>
  <c r="B61" i="58"/>
  <c r="Z60" i="58"/>
  <c r="T60" i="58"/>
  <c r="P60" i="58"/>
  <c r="X60" i="58" s="1"/>
  <c r="H60" i="58"/>
  <c r="F60" i="58"/>
  <c r="D60" i="58"/>
  <c r="L60" i="58" s="1"/>
  <c r="N60" i="58" s="1"/>
  <c r="B60" i="58"/>
  <c r="Z59" i="58"/>
  <c r="X59" i="58"/>
  <c r="V59" i="58"/>
  <c r="N59" i="58"/>
  <c r="L59" i="58"/>
  <c r="B59" i="58"/>
  <c r="V58" i="58"/>
  <c r="T58" i="58"/>
  <c r="P58" i="58"/>
  <c r="X58" i="58" s="1"/>
  <c r="Z58" i="58" s="1"/>
  <c r="L58" i="58"/>
  <c r="N58" i="58" s="1"/>
  <c r="H58" i="58"/>
  <c r="D58" i="58"/>
  <c r="B58" i="58"/>
  <c r="X57" i="58"/>
  <c r="Z57" i="58" s="1"/>
  <c r="N57" i="58"/>
  <c r="L57" i="58"/>
  <c r="J57" i="58"/>
  <c r="B57" i="58"/>
  <c r="Z56" i="58"/>
  <c r="X56" i="58"/>
  <c r="N56" i="58"/>
  <c r="L56" i="58"/>
  <c r="F56" i="58"/>
  <c r="B56" i="58"/>
  <c r="Z55" i="58"/>
  <c r="X55" i="58"/>
  <c r="N55" i="58"/>
  <c r="L55" i="58"/>
  <c r="F55" i="58"/>
  <c r="B55" i="58"/>
  <c r="X54" i="58"/>
  <c r="T54" i="58"/>
  <c r="P54" i="58"/>
  <c r="H54" i="58"/>
  <c r="N54" i="58" s="1"/>
  <c r="F54" i="58"/>
  <c r="D54" i="58"/>
  <c r="L54" i="58" s="1"/>
  <c r="B54" i="58"/>
  <c r="Z53" i="58"/>
  <c r="X53" i="58"/>
  <c r="V53" i="58"/>
  <c r="L53" i="58"/>
  <c r="N53" i="58" s="1"/>
  <c r="F53" i="58"/>
  <c r="B53" i="58"/>
  <c r="Z52" i="58"/>
  <c r="X52" i="58"/>
  <c r="R52" i="58"/>
  <c r="N52" i="58"/>
  <c r="L52" i="58"/>
  <c r="F52" i="58"/>
  <c r="B52" i="58"/>
  <c r="T51" i="58"/>
  <c r="P51" i="58"/>
  <c r="N51" i="58"/>
  <c r="L51" i="58"/>
  <c r="J51" i="58"/>
  <c r="H51" i="58"/>
  <c r="F51" i="58"/>
  <c r="D51" i="58"/>
  <c r="B51" i="58"/>
  <c r="Z50" i="58"/>
  <c r="X50" i="58"/>
  <c r="V50" i="58"/>
  <c r="L50" i="58"/>
  <c r="N50" i="58" s="1"/>
  <c r="F50" i="58"/>
  <c r="B50" i="58"/>
  <c r="T49" i="58"/>
  <c r="Z49" i="58" s="1"/>
  <c r="P49" i="58"/>
  <c r="X49" i="58" s="1"/>
  <c r="J49" i="58"/>
  <c r="H49" i="58"/>
  <c r="L49" i="58" s="1"/>
  <c r="N49" i="58" s="1"/>
  <c r="F49" i="58"/>
  <c r="D49" i="58"/>
  <c r="B49" i="58"/>
  <c r="Z48" i="58"/>
  <c r="X48" i="58"/>
  <c r="V48" i="58"/>
  <c r="N48" i="58"/>
  <c r="L48" i="58"/>
  <c r="F48" i="58"/>
  <c r="B48" i="58"/>
  <c r="T47" i="58"/>
  <c r="P47" i="58"/>
  <c r="X47" i="58" s="1"/>
  <c r="Z47" i="58" s="1"/>
  <c r="L47" i="58"/>
  <c r="N47" i="58" s="1"/>
  <c r="H47" i="58"/>
  <c r="F47" i="58"/>
  <c r="D47" i="58"/>
  <c r="B47" i="58"/>
  <c r="X46" i="58"/>
  <c r="Z46" i="58" s="1"/>
  <c r="N46" i="58"/>
  <c r="L46" i="58"/>
  <c r="J46" i="58"/>
  <c r="F46" i="58"/>
  <c r="B46" i="58"/>
  <c r="Z45" i="58"/>
  <c r="X45" i="58"/>
  <c r="V45" i="58"/>
  <c r="T45" i="58"/>
  <c r="P45" i="58"/>
  <c r="H45" i="58"/>
  <c r="F45" i="58"/>
  <c r="D45" i="58"/>
  <c r="B45" i="58"/>
  <c r="Z44" i="58"/>
  <c r="X44" i="58"/>
  <c r="N44" i="58"/>
  <c r="L44" i="58"/>
  <c r="J44" i="58"/>
  <c r="F44" i="58"/>
  <c r="B44" i="58"/>
  <c r="Z43" i="58"/>
  <c r="V43" i="58"/>
  <c r="T43" i="58"/>
  <c r="X43" i="58" s="1"/>
  <c r="P43" i="58"/>
  <c r="H43" i="58"/>
  <c r="N43" i="58" s="1"/>
  <c r="F43" i="58"/>
  <c r="D43" i="58"/>
  <c r="L43" i="58" s="1"/>
  <c r="B43" i="58"/>
  <c r="X42" i="58"/>
  <c r="Z42" i="58" s="1"/>
  <c r="R42" i="58"/>
  <c r="L42" i="58"/>
  <c r="N42" i="58" s="1"/>
  <c r="B42" i="58"/>
  <c r="X41" i="58"/>
  <c r="Z41" i="58" s="1"/>
  <c r="T41" i="58"/>
  <c r="P41" i="58"/>
  <c r="H41" i="58"/>
  <c r="D41" i="58"/>
  <c r="L41" i="58" s="1"/>
  <c r="N41" i="58" s="1"/>
  <c r="B41" i="58"/>
  <c r="Z40" i="58"/>
  <c r="X40" i="58"/>
  <c r="R40" i="58"/>
  <c r="N40" i="58"/>
  <c r="L40" i="58"/>
  <c r="F40" i="58"/>
  <c r="B40" i="58"/>
  <c r="Z39" i="58"/>
  <c r="X39" i="58"/>
  <c r="N39" i="58"/>
  <c r="L39" i="58"/>
  <c r="J39" i="58"/>
  <c r="F39" i="58"/>
  <c r="B39" i="58"/>
  <c r="Z38" i="58"/>
  <c r="X38" i="58"/>
  <c r="N38" i="58"/>
  <c r="L38" i="58"/>
  <c r="J38" i="58"/>
  <c r="F38" i="58"/>
  <c r="B38" i="58"/>
  <c r="Z37" i="58"/>
  <c r="X37" i="58"/>
  <c r="V37" i="58"/>
  <c r="N37" i="58"/>
  <c r="L37" i="58"/>
  <c r="F37" i="58"/>
  <c r="B37" i="58"/>
  <c r="Z36" i="58"/>
  <c r="X36" i="58"/>
  <c r="R36" i="58"/>
  <c r="N36" i="58"/>
  <c r="L36" i="58"/>
  <c r="F36" i="58"/>
  <c r="B36" i="58"/>
  <c r="X35" i="58"/>
  <c r="Z35" i="58" s="1"/>
  <c r="R35" i="58"/>
  <c r="N35" i="58"/>
  <c r="L35" i="58"/>
  <c r="J35" i="58"/>
  <c r="F35" i="58"/>
  <c r="B35" i="58"/>
  <c r="X34" i="58"/>
  <c r="Z34" i="58" s="1"/>
  <c r="N34" i="58"/>
  <c r="L34" i="58"/>
  <c r="J34" i="58"/>
  <c r="F34" i="58"/>
  <c r="B34" i="58"/>
  <c r="Z33" i="58"/>
  <c r="X33" i="58"/>
  <c r="V33" i="58"/>
  <c r="N33" i="58"/>
  <c r="L33" i="58"/>
  <c r="F33" i="58"/>
  <c r="B33" i="58"/>
  <c r="Z32" i="58"/>
  <c r="X32" i="58"/>
  <c r="R32" i="58"/>
  <c r="N32" i="58"/>
  <c r="L32" i="58"/>
  <c r="F32" i="58"/>
  <c r="B32" i="58"/>
  <c r="X31" i="58"/>
  <c r="Z31" i="58" s="1"/>
  <c r="V31" i="58"/>
  <c r="R31" i="58"/>
  <c r="N31" i="58"/>
  <c r="L31" i="58"/>
  <c r="J31" i="58"/>
  <c r="F31" i="58"/>
  <c r="B31" i="58"/>
  <c r="T30" i="58"/>
  <c r="P30" i="58"/>
  <c r="X30" i="58" s="1"/>
  <c r="H30" i="58"/>
  <c r="N30" i="58" s="1"/>
  <c r="F30" i="58"/>
  <c r="D30" i="58"/>
  <c r="L30" i="58" s="1"/>
  <c r="B30" i="58"/>
  <c r="X29" i="58"/>
  <c r="Z29" i="58" s="1"/>
  <c r="L29" i="58"/>
  <c r="N29" i="58" s="1"/>
  <c r="F29" i="58"/>
  <c r="B29" i="58"/>
  <c r="X28" i="58"/>
  <c r="Z28" i="58" s="1"/>
  <c r="N28" i="58"/>
  <c r="L28" i="58"/>
  <c r="J28" i="58"/>
  <c r="F28" i="58"/>
  <c r="B28" i="58"/>
  <c r="Z27" i="58"/>
  <c r="X27" i="58"/>
  <c r="V27" i="58"/>
  <c r="N27" i="58"/>
  <c r="L27" i="58"/>
  <c r="F27" i="58"/>
  <c r="B27" i="58"/>
  <c r="Z26" i="58"/>
  <c r="X26" i="58"/>
  <c r="V26" i="58"/>
  <c r="N26" i="58"/>
  <c r="L26" i="58"/>
  <c r="F26" i="58"/>
  <c r="B26" i="58"/>
  <c r="Z25" i="58"/>
  <c r="X25" i="58"/>
  <c r="N25" i="58"/>
  <c r="L25" i="58"/>
  <c r="F25" i="58"/>
  <c r="B25" i="58"/>
  <c r="X24" i="58"/>
  <c r="Z24" i="58" s="1"/>
  <c r="N24" i="58"/>
  <c r="L24" i="58"/>
  <c r="J24" i="58"/>
  <c r="F24" i="58"/>
  <c r="B24" i="58"/>
  <c r="Z23" i="58"/>
  <c r="X23" i="58"/>
  <c r="V23" i="58"/>
  <c r="N23" i="58"/>
  <c r="L23" i="58"/>
  <c r="F23" i="58"/>
  <c r="B23" i="58"/>
  <c r="Z22" i="58"/>
  <c r="X22" i="58"/>
  <c r="V22" i="58"/>
  <c r="L22" i="58"/>
  <c r="N22" i="58" s="1"/>
  <c r="F22" i="58"/>
  <c r="B22" i="58"/>
  <c r="X21" i="58"/>
  <c r="Z21" i="58" s="1"/>
  <c r="L21" i="58"/>
  <c r="N21" i="58" s="1"/>
  <c r="F21" i="58"/>
  <c r="B21" i="58"/>
  <c r="X20" i="58"/>
  <c r="Z20" i="58" s="1"/>
  <c r="N20" i="58"/>
  <c r="L20" i="58"/>
  <c r="J20" i="58"/>
  <c r="F20" i="58"/>
  <c r="B20" i="58"/>
  <c r="V19" i="58"/>
  <c r="T19" i="58"/>
  <c r="X19" i="58" s="1"/>
  <c r="Z19" i="58" s="1"/>
  <c r="R19" i="58"/>
  <c r="P19" i="58"/>
  <c r="H19" i="58"/>
  <c r="F19" i="58"/>
  <c r="D19" i="58"/>
  <c r="L19" i="58" s="1"/>
  <c r="B19" i="58"/>
  <c r="T18" i="58"/>
  <c r="P18" i="58"/>
  <c r="J18" i="58"/>
  <c r="H18" i="58"/>
  <c r="F18" i="58"/>
  <c r="D18" i="58"/>
  <c r="L18" i="58" s="1"/>
  <c r="J16" i="58"/>
  <c r="F16" i="58"/>
  <c r="X14" i="58"/>
  <c r="T14" i="58"/>
  <c r="Z14" i="58" s="1"/>
  <c r="P14" i="58"/>
  <c r="J14" i="58"/>
  <c r="H14" i="58"/>
  <c r="N14" i="58" s="1"/>
  <c r="F14" i="58"/>
  <c r="D14" i="58"/>
  <c r="L14" i="58" s="1"/>
  <c r="X12" i="58"/>
  <c r="T12" i="58"/>
  <c r="P12" i="58"/>
  <c r="L12" i="58"/>
  <c r="H12" i="58"/>
  <c r="J61" i="58" s="1"/>
  <c r="D12" i="58"/>
  <c r="F75" i="58" s="1"/>
  <c r="D6" i="58"/>
  <c r="D4" i="58"/>
  <c r="Z75" i="57"/>
  <c r="X75" i="57"/>
  <c r="R75" i="57"/>
  <c r="N75" i="57"/>
  <c r="L75" i="57"/>
  <c r="V73" i="57"/>
  <c r="Z71" i="57"/>
  <c r="V71" i="57"/>
  <c r="P71" i="57"/>
  <c r="N71" i="57"/>
  <c r="J71" i="57"/>
  <c r="D71" i="57"/>
  <c r="L71" i="57" s="1"/>
  <c r="B71" i="57"/>
  <c r="Z70" i="57"/>
  <c r="P70" i="57"/>
  <c r="X70" i="57" s="1"/>
  <c r="N70" i="57"/>
  <c r="L70" i="57"/>
  <c r="D70" i="57"/>
  <c r="B70" i="57"/>
  <c r="Z69" i="57"/>
  <c r="P69" i="57"/>
  <c r="X69" i="57" s="1"/>
  <c r="N69" i="57"/>
  <c r="D69" i="57"/>
  <c r="B69" i="57"/>
  <c r="Z68" i="57"/>
  <c r="T68" i="57"/>
  <c r="N68" i="57"/>
  <c r="H68" i="57"/>
  <c r="Z66" i="57"/>
  <c r="X66" i="57"/>
  <c r="N66" i="57"/>
  <c r="L66" i="57"/>
  <c r="B66" i="57"/>
  <c r="X65" i="57"/>
  <c r="T65" i="57"/>
  <c r="Z65" i="57" s="1"/>
  <c r="P65" i="57"/>
  <c r="H65" i="57"/>
  <c r="N65" i="57" s="1"/>
  <c r="D65" i="57"/>
  <c r="L65" i="57" s="1"/>
  <c r="B65" i="57"/>
  <c r="Z64" i="57"/>
  <c r="X64" i="57"/>
  <c r="V64" i="57"/>
  <c r="N64" i="57"/>
  <c r="L64" i="57"/>
  <c r="B64" i="57"/>
  <c r="T63" i="57"/>
  <c r="Z63" i="57" s="1"/>
  <c r="P63" i="57"/>
  <c r="X63" i="57" s="1"/>
  <c r="H63" i="57"/>
  <c r="D63" i="57"/>
  <c r="L63" i="57" s="1"/>
  <c r="N63" i="57" s="1"/>
  <c r="B63" i="57"/>
  <c r="Z62" i="57"/>
  <c r="X62" i="57"/>
  <c r="V62" i="57"/>
  <c r="N62" i="57"/>
  <c r="L62" i="57"/>
  <c r="B62" i="57"/>
  <c r="V61" i="57"/>
  <c r="T61" i="57"/>
  <c r="P61" i="57"/>
  <c r="X61" i="57" s="1"/>
  <c r="Z61" i="57" s="1"/>
  <c r="L61" i="57"/>
  <c r="H61" i="57"/>
  <c r="N61" i="57" s="1"/>
  <c r="D61" i="57"/>
  <c r="B61" i="57"/>
  <c r="X60" i="57"/>
  <c r="Z60" i="57" s="1"/>
  <c r="V60" i="57"/>
  <c r="N60" i="57"/>
  <c r="L60" i="57"/>
  <c r="B60" i="57"/>
  <c r="Z59" i="57"/>
  <c r="X59" i="57"/>
  <c r="V59" i="57"/>
  <c r="N59" i="57"/>
  <c r="L59" i="57"/>
  <c r="B59" i="57"/>
  <c r="Z58" i="57"/>
  <c r="X58" i="57"/>
  <c r="N58" i="57"/>
  <c r="L58" i="57"/>
  <c r="B58" i="57"/>
  <c r="X57" i="57"/>
  <c r="T57" i="57"/>
  <c r="P57" i="57"/>
  <c r="H57" i="57"/>
  <c r="D57" i="57"/>
  <c r="L57" i="57" s="1"/>
  <c r="B57" i="57"/>
  <c r="Z56" i="57"/>
  <c r="X56" i="57"/>
  <c r="V56" i="57"/>
  <c r="N56" i="57"/>
  <c r="L56" i="57"/>
  <c r="B56" i="57"/>
  <c r="T55" i="57"/>
  <c r="P55" i="57"/>
  <c r="X55" i="57" s="1"/>
  <c r="Z55" i="57" s="1"/>
  <c r="H55" i="57"/>
  <c r="N55" i="57" s="1"/>
  <c r="D55" i="57"/>
  <c r="L55" i="57" s="1"/>
  <c r="B55" i="57"/>
  <c r="Z54" i="57"/>
  <c r="X54" i="57"/>
  <c r="V54" i="57"/>
  <c r="N54" i="57"/>
  <c r="L54" i="57"/>
  <c r="B54" i="57"/>
  <c r="Z53" i="57"/>
  <c r="X53" i="57"/>
  <c r="V53" i="57"/>
  <c r="L53" i="57"/>
  <c r="N53" i="57" s="1"/>
  <c r="B53" i="57"/>
  <c r="T52" i="57"/>
  <c r="P52" i="57"/>
  <c r="X52" i="57" s="1"/>
  <c r="J52" i="57"/>
  <c r="H52" i="57"/>
  <c r="L52" i="57" s="1"/>
  <c r="N52" i="57" s="1"/>
  <c r="D52" i="57"/>
  <c r="B52" i="57"/>
  <c r="Z51" i="57"/>
  <c r="X51" i="57"/>
  <c r="V51" i="57"/>
  <c r="N51" i="57"/>
  <c r="L51" i="57"/>
  <c r="B51" i="57"/>
  <c r="Z50" i="57"/>
  <c r="T50" i="57"/>
  <c r="P50" i="57"/>
  <c r="X50" i="57" s="1"/>
  <c r="N50" i="57"/>
  <c r="L50" i="57"/>
  <c r="H50" i="57"/>
  <c r="D50" i="57"/>
  <c r="B50" i="57"/>
  <c r="X49" i="57"/>
  <c r="Z49" i="57" s="1"/>
  <c r="L49" i="57"/>
  <c r="N49" i="57" s="1"/>
  <c r="J49" i="57"/>
  <c r="B49" i="57"/>
  <c r="Z48" i="57"/>
  <c r="X48" i="57"/>
  <c r="V48" i="57"/>
  <c r="T48" i="57"/>
  <c r="P48" i="57"/>
  <c r="L48" i="57"/>
  <c r="H48" i="57"/>
  <c r="D48" i="57"/>
  <c r="B48" i="57"/>
  <c r="X47" i="57"/>
  <c r="Z47" i="57" s="1"/>
  <c r="N47" i="57"/>
  <c r="L47" i="57"/>
  <c r="B47" i="57"/>
  <c r="Z46" i="57"/>
  <c r="X46" i="57"/>
  <c r="V46" i="57"/>
  <c r="N46" i="57"/>
  <c r="L46" i="57"/>
  <c r="B46" i="57"/>
  <c r="Z45" i="57"/>
  <c r="V45" i="57"/>
  <c r="T45" i="57"/>
  <c r="P45" i="57"/>
  <c r="X45" i="57" s="1"/>
  <c r="L45" i="57"/>
  <c r="H45" i="57"/>
  <c r="N45" i="57" s="1"/>
  <c r="D45" i="57"/>
  <c r="B45" i="57"/>
  <c r="Z44" i="57"/>
  <c r="X44" i="57"/>
  <c r="V44" i="57"/>
  <c r="N44" i="57"/>
  <c r="L44" i="57"/>
  <c r="B44" i="57"/>
  <c r="V43" i="57"/>
  <c r="T43" i="57"/>
  <c r="R43" i="57"/>
  <c r="P43" i="57"/>
  <c r="X43" i="57" s="1"/>
  <c r="H43" i="57"/>
  <c r="D43" i="57"/>
  <c r="B43" i="57"/>
  <c r="X42" i="57"/>
  <c r="Z42" i="57" s="1"/>
  <c r="V42" i="57"/>
  <c r="N42" i="57"/>
  <c r="L42" i="57"/>
  <c r="J42" i="57"/>
  <c r="B42" i="57"/>
  <c r="T41" i="57"/>
  <c r="Z41" i="57" s="1"/>
  <c r="P41" i="57"/>
  <c r="X41" i="57" s="1"/>
  <c r="H41" i="57"/>
  <c r="N41" i="57" s="1"/>
  <c r="D41" i="57"/>
  <c r="L41" i="57" s="1"/>
  <c r="B41" i="57"/>
  <c r="Z40" i="57"/>
  <c r="X40" i="57"/>
  <c r="N40" i="57"/>
  <c r="L40" i="57"/>
  <c r="B40" i="57"/>
  <c r="Z39" i="57"/>
  <c r="X39" i="57"/>
  <c r="N39" i="57"/>
  <c r="L39" i="57"/>
  <c r="J39" i="57"/>
  <c r="B39" i="57"/>
  <c r="Z38" i="57"/>
  <c r="X38" i="57"/>
  <c r="V38" i="57"/>
  <c r="N38" i="57"/>
  <c r="L38" i="57"/>
  <c r="B38" i="57"/>
  <c r="Z37" i="57"/>
  <c r="X37" i="57"/>
  <c r="V37" i="57"/>
  <c r="N37" i="57"/>
  <c r="L37" i="57"/>
  <c r="B37" i="57"/>
  <c r="Z36" i="57"/>
  <c r="X36" i="57"/>
  <c r="R36" i="57"/>
  <c r="N36" i="57"/>
  <c r="L36" i="57"/>
  <c r="B36" i="57"/>
  <c r="Z35" i="57"/>
  <c r="X35" i="57"/>
  <c r="N35" i="57"/>
  <c r="L35" i="57"/>
  <c r="B35" i="57"/>
  <c r="Z34" i="57"/>
  <c r="X34" i="57"/>
  <c r="V34" i="57"/>
  <c r="N34" i="57"/>
  <c r="L34" i="57"/>
  <c r="B34" i="57"/>
  <c r="Z33" i="57"/>
  <c r="X33" i="57"/>
  <c r="V33" i="57"/>
  <c r="N33" i="57"/>
  <c r="L33" i="57"/>
  <c r="B33" i="57"/>
  <c r="Z32" i="57"/>
  <c r="X32" i="57"/>
  <c r="N32" i="57"/>
  <c r="L32" i="57"/>
  <c r="B32" i="57"/>
  <c r="X31" i="57"/>
  <c r="Z31" i="57" s="1"/>
  <c r="N31" i="57"/>
  <c r="L31" i="57"/>
  <c r="B31" i="57"/>
  <c r="V30" i="57"/>
  <c r="T30" i="57"/>
  <c r="X30" i="57" s="1"/>
  <c r="Z30" i="57" s="1"/>
  <c r="P30" i="57"/>
  <c r="H30" i="57"/>
  <c r="D30" i="57"/>
  <c r="L30" i="57" s="1"/>
  <c r="B30" i="57"/>
  <c r="X29" i="57"/>
  <c r="Z29" i="57" s="1"/>
  <c r="V29" i="57"/>
  <c r="L29" i="57"/>
  <c r="N29" i="57" s="1"/>
  <c r="B29" i="57"/>
  <c r="Z28" i="57"/>
  <c r="X28" i="57"/>
  <c r="V28" i="57"/>
  <c r="N28" i="57"/>
  <c r="L28" i="57"/>
  <c r="J28" i="57"/>
  <c r="B28" i="57"/>
  <c r="Z27" i="57"/>
  <c r="X27" i="57"/>
  <c r="V27" i="57"/>
  <c r="R27" i="57"/>
  <c r="N27" i="57"/>
  <c r="L27" i="57"/>
  <c r="B27" i="57"/>
  <c r="Z26" i="57"/>
  <c r="X26" i="57"/>
  <c r="V26" i="57"/>
  <c r="N26" i="57"/>
  <c r="L26" i="57"/>
  <c r="B26" i="57"/>
  <c r="X25" i="57"/>
  <c r="Z25" i="57" s="1"/>
  <c r="V25" i="57"/>
  <c r="L25" i="57"/>
  <c r="N25" i="57" s="1"/>
  <c r="B25" i="57"/>
  <c r="X24" i="57"/>
  <c r="Z24" i="57" s="1"/>
  <c r="V24" i="57"/>
  <c r="N24" i="57"/>
  <c r="L24" i="57"/>
  <c r="B24" i="57"/>
  <c r="Z23" i="57"/>
  <c r="X23" i="57"/>
  <c r="V23" i="57"/>
  <c r="L23" i="57"/>
  <c r="N23" i="57" s="1"/>
  <c r="B23" i="57"/>
  <c r="Z22" i="57"/>
  <c r="X22" i="57"/>
  <c r="V22" i="57"/>
  <c r="L22" i="57"/>
  <c r="N22" i="57" s="1"/>
  <c r="J22" i="57"/>
  <c r="B22" i="57"/>
  <c r="X21" i="57"/>
  <c r="Z21" i="57" s="1"/>
  <c r="V21" i="57"/>
  <c r="L21" i="57"/>
  <c r="N21" i="57" s="1"/>
  <c r="B21" i="57"/>
  <c r="Z20" i="57"/>
  <c r="X20" i="57"/>
  <c r="V20" i="57"/>
  <c r="T20" i="57"/>
  <c r="R20" i="57"/>
  <c r="P20" i="57"/>
  <c r="J20" i="57"/>
  <c r="H20" i="57"/>
  <c r="D20" i="57"/>
  <c r="L20" i="57" s="1"/>
  <c r="N20" i="57" s="1"/>
  <c r="B20" i="57"/>
  <c r="V19" i="57"/>
  <c r="T19" i="57"/>
  <c r="P19" i="57"/>
  <c r="H19" i="57"/>
  <c r="D19" i="57"/>
  <c r="V17" i="57"/>
  <c r="Z15" i="57"/>
  <c r="X15" i="57"/>
  <c r="V15" i="57"/>
  <c r="T15" i="57"/>
  <c r="T17" i="57" s="1"/>
  <c r="P15" i="57"/>
  <c r="L15" i="57"/>
  <c r="H15" i="57"/>
  <c r="N15" i="57" s="1"/>
  <c r="D15" i="57"/>
  <c r="Z13" i="57"/>
  <c r="X13" i="57"/>
  <c r="P13" i="57"/>
  <c r="N13" i="57"/>
  <c r="D13" i="57"/>
  <c r="B13" i="57"/>
  <c r="Z12" i="57"/>
  <c r="T12" i="57"/>
  <c r="V47" i="57" s="1"/>
  <c r="P12" i="57"/>
  <c r="N12" i="57"/>
  <c r="H12" i="57"/>
  <c r="J57" i="57" s="1"/>
  <c r="D6" i="57"/>
  <c r="D4" i="57"/>
  <c r="J79" i="56"/>
  <c r="Z77" i="56"/>
  <c r="X77" i="56"/>
  <c r="N77" i="56"/>
  <c r="L77" i="56"/>
  <c r="J77" i="56"/>
  <c r="T73" i="56"/>
  <c r="P73" i="56"/>
  <c r="N73" i="56"/>
  <c r="H73" i="56"/>
  <c r="D73" i="56"/>
  <c r="L73" i="56" s="1"/>
  <c r="Z71" i="56"/>
  <c r="X71" i="56"/>
  <c r="N71" i="56"/>
  <c r="L71" i="56"/>
  <c r="B71" i="56"/>
  <c r="T70" i="56"/>
  <c r="Z70" i="56" s="1"/>
  <c r="P70" i="56"/>
  <c r="X70" i="56" s="1"/>
  <c r="L70" i="56"/>
  <c r="H70" i="56"/>
  <c r="N70" i="56" s="1"/>
  <c r="D70" i="56"/>
  <c r="B70" i="56"/>
  <c r="X69" i="56"/>
  <c r="Z69" i="56" s="1"/>
  <c r="L69" i="56"/>
  <c r="N69" i="56" s="1"/>
  <c r="J69" i="56"/>
  <c r="B69" i="56"/>
  <c r="T68" i="56"/>
  <c r="P68" i="56"/>
  <c r="L68" i="56"/>
  <c r="H68" i="56"/>
  <c r="D68" i="56"/>
  <c r="B68" i="56"/>
  <c r="X67" i="56"/>
  <c r="Z67" i="56" s="1"/>
  <c r="N67" i="56"/>
  <c r="L67" i="56"/>
  <c r="B67" i="56"/>
  <c r="X66" i="56"/>
  <c r="Z66" i="56" s="1"/>
  <c r="N66" i="56"/>
  <c r="L66" i="56"/>
  <c r="B66" i="56"/>
  <c r="Z65" i="56"/>
  <c r="X65" i="56"/>
  <c r="N65" i="56"/>
  <c r="L65" i="56"/>
  <c r="F65" i="56"/>
  <c r="B65" i="56"/>
  <c r="T64" i="56"/>
  <c r="P64" i="56"/>
  <c r="X64" i="56" s="1"/>
  <c r="Z64" i="56" s="1"/>
  <c r="L64" i="56"/>
  <c r="H64" i="56"/>
  <c r="D64" i="56"/>
  <c r="B64" i="56"/>
  <c r="Z63" i="56"/>
  <c r="X63" i="56"/>
  <c r="N63" i="56"/>
  <c r="L63" i="56"/>
  <c r="J63" i="56"/>
  <c r="B63" i="56"/>
  <c r="T62" i="56"/>
  <c r="P62" i="56"/>
  <c r="N62" i="56"/>
  <c r="L62" i="56"/>
  <c r="H62" i="56"/>
  <c r="D62" i="56"/>
  <c r="B62" i="56"/>
  <c r="Z61" i="56"/>
  <c r="X61" i="56"/>
  <c r="L61" i="56"/>
  <c r="N61" i="56" s="1"/>
  <c r="B61" i="56"/>
  <c r="T60" i="56"/>
  <c r="P60" i="56"/>
  <c r="X60" i="56" s="1"/>
  <c r="N60" i="56"/>
  <c r="J60" i="56"/>
  <c r="H60" i="56"/>
  <c r="D60" i="56"/>
  <c r="L60" i="56" s="1"/>
  <c r="B60" i="56"/>
  <c r="X59" i="56"/>
  <c r="Z59" i="56" s="1"/>
  <c r="N59" i="56"/>
  <c r="L59" i="56"/>
  <c r="J59" i="56"/>
  <c r="F59" i="56"/>
  <c r="B59" i="56"/>
  <c r="X58" i="56"/>
  <c r="Z58" i="56" s="1"/>
  <c r="L58" i="56"/>
  <c r="N58" i="56" s="1"/>
  <c r="J58" i="56"/>
  <c r="B58" i="56"/>
  <c r="Z57" i="56"/>
  <c r="X57" i="56"/>
  <c r="T57" i="56"/>
  <c r="P57" i="56"/>
  <c r="J57" i="56"/>
  <c r="H57" i="56"/>
  <c r="F57" i="56"/>
  <c r="D57" i="56"/>
  <c r="B57" i="56"/>
  <c r="Z56" i="56"/>
  <c r="X56" i="56"/>
  <c r="N56" i="56"/>
  <c r="L56" i="56"/>
  <c r="B56" i="56"/>
  <c r="X55" i="56"/>
  <c r="Z55" i="56" s="1"/>
  <c r="T55" i="56"/>
  <c r="P55" i="56"/>
  <c r="H55" i="56"/>
  <c r="F55" i="56"/>
  <c r="D55" i="56"/>
  <c r="B55" i="56"/>
  <c r="X54" i="56"/>
  <c r="Z54" i="56" s="1"/>
  <c r="N54" i="56"/>
  <c r="L54" i="56"/>
  <c r="B54" i="56"/>
  <c r="X53" i="56"/>
  <c r="Z53" i="56" s="1"/>
  <c r="T53" i="56"/>
  <c r="P53" i="56"/>
  <c r="N53" i="56"/>
  <c r="H53" i="56"/>
  <c r="D53" i="56"/>
  <c r="B53" i="56"/>
  <c r="X52" i="56"/>
  <c r="Z52" i="56" s="1"/>
  <c r="N52" i="56"/>
  <c r="L52" i="56"/>
  <c r="B52" i="56"/>
  <c r="T51" i="56"/>
  <c r="P51" i="56"/>
  <c r="X51" i="56" s="1"/>
  <c r="L51" i="56"/>
  <c r="N51" i="56" s="1"/>
  <c r="H51" i="56"/>
  <c r="D51" i="56"/>
  <c r="B51" i="56"/>
  <c r="X50" i="56"/>
  <c r="Z50" i="56" s="1"/>
  <c r="L50" i="56"/>
  <c r="N50" i="56" s="1"/>
  <c r="J50" i="56"/>
  <c r="B50" i="56"/>
  <c r="T49" i="56"/>
  <c r="P49" i="56"/>
  <c r="J49" i="56"/>
  <c r="H49" i="56"/>
  <c r="F49" i="56"/>
  <c r="D49" i="56"/>
  <c r="B49" i="56"/>
  <c r="Z48" i="56"/>
  <c r="X48" i="56"/>
  <c r="V48" i="56"/>
  <c r="N48" i="56"/>
  <c r="L48" i="56"/>
  <c r="B48" i="56"/>
  <c r="T47" i="56"/>
  <c r="P47" i="56"/>
  <c r="N47" i="56"/>
  <c r="L47" i="56"/>
  <c r="H47" i="56"/>
  <c r="D47" i="56"/>
  <c r="B47" i="56"/>
  <c r="X46" i="56"/>
  <c r="Z46" i="56" s="1"/>
  <c r="L46" i="56"/>
  <c r="N46" i="56" s="1"/>
  <c r="J46" i="56"/>
  <c r="B46" i="56"/>
  <c r="T45" i="56"/>
  <c r="P45" i="56"/>
  <c r="X45" i="56" s="1"/>
  <c r="Z45" i="56" s="1"/>
  <c r="L45" i="56"/>
  <c r="H45" i="56"/>
  <c r="D45" i="56"/>
  <c r="B45" i="56"/>
  <c r="X44" i="56"/>
  <c r="Z44" i="56" s="1"/>
  <c r="N44" i="56"/>
  <c r="L44" i="56"/>
  <c r="J44" i="56"/>
  <c r="F44" i="56"/>
  <c r="B44" i="56"/>
  <c r="T43" i="56"/>
  <c r="P43" i="56"/>
  <c r="H43" i="56"/>
  <c r="N43" i="56" s="1"/>
  <c r="D43" i="56"/>
  <c r="L43" i="56" s="1"/>
  <c r="B43" i="56"/>
  <c r="Z42" i="56"/>
  <c r="X42" i="56"/>
  <c r="L42" i="56"/>
  <c r="N42" i="56" s="1"/>
  <c r="J42" i="56"/>
  <c r="B42" i="56"/>
  <c r="T41" i="56"/>
  <c r="P41" i="56"/>
  <c r="J41" i="56"/>
  <c r="H41" i="56"/>
  <c r="D41" i="56"/>
  <c r="B41" i="56"/>
  <c r="Z40" i="56"/>
  <c r="X40" i="56"/>
  <c r="N40" i="56"/>
  <c r="L40" i="56"/>
  <c r="B40" i="56"/>
  <c r="Z39" i="56"/>
  <c r="X39" i="56"/>
  <c r="N39" i="56"/>
  <c r="L39" i="56"/>
  <c r="J39" i="56"/>
  <c r="B39" i="56"/>
  <c r="X38" i="56"/>
  <c r="Z38" i="56" s="1"/>
  <c r="N38" i="56"/>
  <c r="L38" i="56"/>
  <c r="J38" i="56"/>
  <c r="B38" i="56"/>
  <c r="Z37" i="56"/>
  <c r="X37" i="56"/>
  <c r="L37" i="56"/>
  <c r="N37" i="56" s="1"/>
  <c r="B37" i="56"/>
  <c r="Z36" i="56"/>
  <c r="X36" i="56"/>
  <c r="N36" i="56"/>
  <c r="L36" i="56"/>
  <c r="B36" i="56"/>
  <c r="Z35" i="56"/>
  <c r="X35" i="56"/>
  <c r="N35" i="56"/>
  <c r="L35" i="56"/>
  <c r="B35" i="56"/>
  <c r="Z34" i="56"/>
  <c r="X34" i="56"/>
  <c r="N34" i="56"/>
  <c r="L34" i="56"/>
  <c r="J34" i="56"/>
  <c r="B34" i="56"/>
  <c r="Z33" i="56"/>
  <c r="X33" i="56"/>
  <c r="N33" i="56"/>
  <c r="L33" i="56"/>
  <c r="J33" i="56"/>
  <c r="B33" i="56"/>
  <c r="X32" i="56"/>
  <c r="Z32" i="56" s="1"/>
  <c r="V32" i="56"/>
  <c r="N32" i="56"/>
  <c r="L32" i="56"/>
  <c r="B32" i="56"/>
  <c r="Z31" i="56"/>
  <c r="X31" i="56"/>
  <c r="L31" i="56"/>
  <c r="N31" i="56" s="1"/>
  <c r="B31" i="56"/>
  <c r="T30" i="56"/>
  <c r="P30" i="56"/>
  <c r="L30" i="56"/>
  <c r="N30" i="56" s="1"/>
  <c r="J30" i="56"/>
  <c r="H30" i="56"/>
  <c r="D30" i="56"/>
  <c r="B30" i="56"/>
  <c r="X29" i="56"/>
  <c r="Z29" i="56" s="1"/>
  <c r="V29" i="56"/>
  <c r="N29" i="56"/>
  <c r="L29" i="56"/>
  <c r="J29" i="56"/>
  <c r="F29" i="56"/>
  <c r="B29" i="56"/>
  <c r="Z28" i="56"/>
  <c r="X28" i="56"/>
  <c r="L28" i="56"/>
  <c r="N28" i="56" s="1"/>
  <c r="J28" i="56"/>
  <c r="B28" i="56"/>
  <c r="X27" i="56"/>
  <c r="Z27" i="56" s="1"/>
  <c r="N27" i="56"/>
  <c r="L27" i="56"/>
  <c r="J27" i="56"/>
  <c r="F27" i="56"/>
  <c r="B27" i="56"/>
  <c r="Z26" i="56"/>
  <c r="X26" i="56"/>
  <c r="N26" i="56"/>
  <c r="L26" i="56"/>
  <c r="J26" i="56"/>
  <c r="B26" i="56"/>
  <c r="X25" i="56"/>
  <c r="Z25" i="56" s="1"/>
  <c r="V25" i="56"/>
  <c r="N25" i="56"/>
  <c r="L25" i="56"/>
  <c r="J25" i="56"/>
  <c r="F25" i="56"/>
  <c r="B25" i="56"/>
  <c r="Z24" i="56"/>
  <c r="X24" i="56"/>
  <c r="L24" i="56"/>
  <c r="N24" i="56" s="1"/>
  <c r="J24" i="56"/>
  <c r="B24" i="56"/>
  <c r="X23" i="56"/>
  <c r="Z23" i="56" s="1"/>
  <c r="N23" i="56"/>
  <c r="L23" i="56"/>
  <c r="J23" i="56"/>
  <c r="F23" i="56"/>
  <c r="B23" i="56"/>
  <c r="X22" i="56"/>
  <c r="Z22" i="56" s="1"/>
  <c r="N22" i="56"/>
  <c r="L22" i="56"/>
  <c r="J22" i="56"/>
  <c r="B22" i="56"/>
  <c r="X21" i="56"/>
  <c r="Z21" i="56" s="1"/>
  <c r="N21" i="56"/>
  <c r="L21" i="56"/>
  <c r="J21" i="56"/>
  <c r="F21" i="56"/>
  <c r="B21" i="56"/>
  <c r="T20" i="56"/>
  <c r="P20" i="56"/>
  <c r="X20" i="56" s="1"/>
  <c r="L20" i="56"/>
  <c r="J20" i="56"/>
  <c r="H20" i="56"/>
  <c r="N20" i="56" s="1"/>
  <c r="F20" i="56"/>
  <c r="D20" i="56"/>
  <c r="B20" i="56"/>
  <c r="T19" i="56"/>
  <c r="P19" i="56"/>
  <c r="J19" i="56"/>
  <c r="H19" i="56"/>
  <c r="D19" i="56"/>
  <c r="T17" i="56"/>
  <c r="J17" i="56"/>
  <c r="H17" i="56"/>
  <c r="N17" i="56" s="1"/>
  <c r="T15" i="56"/>
  <c r="Z15" i="56" s="1"/>
  <c r="P15" i="56"/>
  <c r="X15" i="56" s="1"/>
  <c r="J15" i="56"/>
  <c r="H15" i="56"/>
  <c r="N15" i="56" s="1"/>
  <c r="D15" i="56"/>
  <c r="L15" i="56" s="1"/>
  <c r="Z13" i="56"/>
  <c r="P13" i="56"/>
  <c r="P12" i="56" s="1"/>
  <c r="R57" i="56" s="1"/>
  <c r="N13" i="56"/>
  <c r="L13" i="56"/>
  <c r="D13" i="56"/>
  <c r="B13" i="56"/>
  <c r="T12" i="56"/>
  <c r="N12" i="56"/>
  <c r="H12" i="56"/>
  <c r="J56" i="56" s="1"/>
  <c r="D12" i="56"/>
  <c r="F79" i="56" s="1"/>
  <c r="D6" i="56"/>
  <c r="D4" i="56"/>
  <c r="R38" i="55"/>
  <c r="F38" i="55"/>
  <c r="R35" i="55"/>
  <c r="Z33" i="55"/>
  <c r="X33" i="55"/>
  <c r="R33" i="55"/>
  <c r="N33" i="55"/>
  <c r="L33" i="55"/>
  <c r="J31" i="55"/>
  <c r="T29" i="55"/>
  <c r="P29" i="55"/>
  <c r="N29" i="55"/>
  <c r="L29" i="55"/>
  <c r="J29" i="55"/>
  <c r="H29" i="55"/>
  <c r="D29" i="55"/>
  <c r="Z27" i="55"/>
  <c r="X27" i="55"/>
  <c r="R27" i="55"/>
  <c r="N27" i="55"/>
  <c r="L27" i="55"/>
  <c r="B27" i="55"/>
  <c r="X26" i="55"/>
  <c r="Z26" i="55" s="1"/>
  <c r="L26" i="55"/>
  <c r="N26" i="55" s="1"/>
  <c r="J26" i="55"/>
  <c r="B26" i="55"/>
  <c r="X25" i="55"/>
  <c r="Z25" i="55" s="1"/>
  <c r="T25" i="55"/>
  <c r="R25" i="55"/>
  <c r="P25" i="55"/>
  <c r="J25" i="55"/>
  <c r="H25" i="55"/>
  <c r="D25" i="55"/>
  <c r="B25" i="55"/>
  <c r="X24" i="55"/>
  <c r="Z24" i="55" s="1"/>
  <c r="R24" i="55"/>
  <c r="N24" i="55"/>
  <c r="L24" i="55"/>
  <c r="J24" i="55"/>
  <c r="B24" i="55"/>
  <c r="X23" i="55"/>
  <c r="T23" i="55"/>
  <c r="Z23" i="55" s="1"/>
  <c r="R23" i="55"/>
  <c r="P23" i="55"/>
  <c r="H23" i="55"/>
  <c r="D23" i="55"/>
  <c r="L23" i="55" s="1"/>
  <c r="B23" i="55"/>
  <c r="Z22" i="55"/>
  <c r="X22" i="55"/>
  <c r="R22" i="55"/>
  <c r="L22" i="55"/>
  <c r="N22" i="55" s="1"/>
  <c r="B22" i="55"/>
  <c r="X21" i="55"/>
  <c r="Z21" i="55" s="1"/>
  <c r="T21" i="55"/>
  <c r="R21" i="55"/>
  <c r="P21" i="55"/>
  <c r="N21" i="55"/>
  <c r="H21" i="55"/>
  <c r="D21" i="55"/>
  <c r="L21" i="55" s="1"/>
  <c r="B21" i="55"/>
  <c r="Z20" i="55"/>
  <c r="X20" i="55"/>
  <c r="R20" i="55"/>
  <c r="L20" i="55"/>
  <c r="N20" i="55" s="1"/>
  <c r="B20" i="55"/>
  <c r="T19" i="55"/>
  <c r="P19" i="55"/>
  <c r="L19" i="55"/>
  <c r="N19" i="55" s="1"/>
  <c r="J19" i="55"/>
  <c r="H19" i="55"/>
  <c r="D19" i="55"/>
  <c r="B19" i="55"/>
  <c r="V18" i="55"/>
  <c r="T18" i="55"/>
  <c r="R18" i="55"/>
  <c r="P18" i="55"/>
  <c r="X18" i="55" s="1"/>
  <c r="Z18" i="55" s="1"/>
  <c r="H18" i="55"/>
  <c r="D18" i="55"/>
  <c r="L18" i="55" s="1"/>
  <c r="N18" i="55" s="1"/>
  <c r="R16" i="55"/>
  <c r="Z14" i="55"/>
  <c r="X14" i="55"/>
  <c r="T14" i="55"/>
  <c r="R14" i="55"/>
  <c r="P14" i="55"/>
  <c r="P16" i="55" s="1"/>
  <c r="N14" i="55"/>
  <c r="L14" i="55"/>
  <c r="H14" i="55"/>
  <c r="D14" i="55"/>
  <c r="T12" i="55"/>
  <c r="V27" i="55" s="1"/>
  <c r="P12" i="55"/>
  <c r="R26" i="55" s="1"/>
  <c r="N12" i="55"/>
  <c r="H12" i="55"/>
  <c r="J20" i="55" s="1"/>
  <c r="D12" i="55"/>
  <c r="F35" i="55" s="1"/>
  <c r="D6" i="55"/>
  <c r="D4" i="55"/>
  <c r="V31" i="54"/>
  <c r="R31" i="54"/>
  <c r="V29" i="54"/>
  <c r="T29" i="54"/>
  <c r="R29" i="54"/>
  <c r="P29" i="54"/>
  <c r="X29" i="54" s="1"/>
  <c r="H29" i="54"/>
  <c r="D29" i="54"/>
  <c r="V28" i="54"/>
  <c r="T28" i="54"/>
  <c r="R28" i="54"/>
  <c r="P28" i="54"/>
  <c r="X28" i="54" s="1"/>
  <c r="H28" i="54"/>
  <c r="D28" i="54"/>
  <c r="V26" i="54"/>
  <c r="R26" i="54"/>
  <c r="Z24" i="54"/>
  <c r="X24" i="54"/>
  <c r="V24" i="54"/>
  <c r="R24" i="54"/>
  <c r="N24" i="54"/>
  <c r="L24" i="54"/>
  <c r="J22" i="54"/>
  <c r="X20" i="54"/>
  <c r="T20" i="54"/>
  <c r="Z20" i="54" s="1"/>
  <c r="P20" i="54"/>
  <c r="N20" i="54"/>
  <c r="L20" i="54"/>
  <c r="J20" i="54"/>
  <c r="H20" i="54"/>
  <c r="D20" i="54"/>
  <c r="X18" i="54"/>
  <c r="T18" i="54"/>
  <c r="Z18" i="54" s="1"/>
  <c r="P18" i="54"/>
  <c r="N18" i="54"/>
  <c r="L18" i="54"/>
  <c r="J18" i="54"/>
  <c r="H18" i="54"/>
  <c r="D18" i="54"/>
  <c r="J16" i="54"/>
  <c r="X14" i="54"/>
  <c r="T14" i="54"/>
  <c r="T16" i="54" s="1"/>
  <c r="P14" i="54"/>
  <c r="N14" i="54"/>
  <c r="L14" i="54"/>
  <c r="J14" i="54"/>
  <c r="H14" i="54"/>
  <c r="D14" i="54"/>
  <c r="Z12" i="54"/>
  <c r="X12" i="54"/>
  <c r="T12" i="54"/>
  <c r="V22" i="54" s="1"/>
  <c r="P12" i="54"/>
  <c r="R22" i="54" s="1"/>
  <c r="H12" i="54"/>
  <c r="N12" i="54" s="1"/>
  <c r="D12" i="54"/>
  <c r="D6" i="54"/>
  <c r="D4" i="54"/>
  <c r="X102" i="51"/>
  <c r="Z102" i="51" s="1"/>
  <c r="N102" i="51"/>
  <c r="L102" i="51"/>
  <c r="J102" i="51"/>
  <c r="P98" i="51"/>
  <c r="X98" i="51" s="1"/>
  <c r="Z98" i="51" s="1"/>
  <c r="N98" i="51"/>
  <c r="D98" i="51"/>
  <c r="L98" i="51" s="1"/>
  <c r="B98" i="51"/>
  <c r="Z97" i="51"/>
  <c r="X97" i="51"/>
  <c r="P97" i="51"/>
  <c r="N97" i="51"/>
  <c r="L97" i="51"/>
  <c r="D97" i="51"/>
  <c r="D96" i="51" s="1"/>
  <c r="B97" i="51"/>
  <c r="X96" i="51"/>
  <c r="Z96" i="51" s="1"/>
  <c r="V96" i="51"/>
  <c r="T96" i="51"/>
  <c r="P96" i="51"/>
  <c r="L96" i="51"/>
  <c r="H96" i="51"/>
  <c r="N96" i="51" s="1"/>
  <c r="Z94" i="51"/>
  <c r="X94" i="51"/>
  <c r="N94" i="51"/>
  <c r="L94" i="51"/>
  <c r="B94" i="51"/>
  <c r="T93" i="51"/>
  <c r="Z93" i="51" s="1"/>
  <c r="P93" i="51"/>
  <c r="L93" i="51"/>
  <c r="H93" i="51"/>
  <c r="N93" i="51" s="1"/>
  <c r="D93" i="51"/>
  <c r="B93" i="51"/>
  <c r="Z92" i="51"/>
  <c r="X92" i="51"/>
  <c r="N92" i="51"/>
  <c r="L92" i="51"/>
  <c r="B92" i="51"/>
  <c r="T91" i="51"/>
  <c r="P91" i="51"/>
  <c r="X91" i="51" s="1"/>
  <c r="Z91" i="51" s="1"/>
  <c r="L91" i="51"/>
  <c r="N91" i="51" s="1"/>
  <c r="H91" i="51"/>
  <c r="D91" i="51"/>
  <c r="B91" i="51"/>
  <c r="X90" i="51"/>
  <c r="Z90" i="51" s="1"/>
  <c r="N90" i="51"/>
  <c r="L90" i="51"/>
  <c r="J90" i="51"/>
  <c r="B90" i="51"/>
  <c r="X89" i="51"/>
  <c r="Z89" i="51" s="1"/>
  <c r="V89" i="51"/>
  <c r="N89" i="51"/>
  <c r="L89" i="51"/>
  <c r="B89" i="51"/>
  <c r="Z88" i="51"/>
  <c r="X88" i="51"/>
  <c r="N88" i="51"/>
  <c r="L88" i="51"/>
  <c r="B88" i="51"/>
  <c r="T87" i="51"/>
  <c r="P87" i="51"/>
  <c r="L87" i="51"/>
  <c r="N87" i="51" s="1"/>
  <c r="J87" i="51"/>
  <c r="H87" i="51"/>
  <c r="D87" i="51"/>
  <c r="B87" i="51"/>
  <c r="Z86" i="51"/>
  <c r="X86" i="51"/>
  <c r="N86" i="51"/>
  <c r="L86" i="51"/>
  <c r="B86" i="51"/>
  <c r="T85" i="51"/>
  <c r="P85" i="51"/>
  <c r="L85" i="51"/>
  <c r="H85" i="51"/>
  <c r="N85" i="51" s="1"/>
  <c r="D85" i="51"/>
  <c r="B85" i="51"/>
  <c r="Z84" i="51"/>
  <c r="X84" i="51"/>
  <c r="V84" i="51"/>
  <c r="N84" i="51"/>
  <c r="L84" i="51"/>
  <c r="B84" i="51"/>
  <c r="T83" i="51"/>
  <c r="P83" i="51"/>
  <c r="X83" i="51" s="1"/>
  <c r="Z83" i="51" s="1"/>
  <c r="N83" i="51"/>
  <c r="L83" i="51"/>
  <c r="H83" i="51"/>
  <c r="D83" i="51"/>
  <c r="B83" i="51"/>
  <c r="X82" i="51"/>
  <c r="Z82" i="51" s="1"/>
  <c r="N82" i="51"/>
  <c r="L82" i="51"/>
  <c r="J82" i="51"/>
  <c r="B82" i="51"/>
  <c r="X81" i="51"/>
  <c r="Z81" i="51" s="1"/>
  <c r="V81" i="51"/>
  <c r="T81" i="51"/>
  <c r="P81" i="51"/>
  <c r="H81" i="51"/>
  <c r="D81" i="51"/>
  <c r="B81" i="51"/>
  <c r="Z80" i="51"/>
  <c r="X80" i="51"/>
  <c r="N80" i="51"/>
  <c r="L80" i="51"/>
  <c r="J80" i="51"/>
  <c r="B80" i="51"/>
  <c r="X79" i="51"/>
  <c r="Z79" i="51" s="1"/>
  <c r="N79" i="51"/>
  <c r="L79" i="51"/>
  <c r="B79" i="51"/>
  <c r="Z78" i="51"/>
  <c r="X78" i="51"/>
  <c r="T78" i="51"/>
  <c r="P78" i="51"/>
  <c r="L78" i="51"/>
  <c r="N78" i="51" s="1"/>
  <c r="H78" i="51"/>
  <c r="D78" i="51"/>
  <c r="B78" i="51"/>
  <c r="X77" i="51"/>
  <c r="Z77" i="51" s="1"/>
  <c r="L77" i="51"/>
  <c r="N77" i="51" s="1"/>
  <c r="J77" i="51"/>
  <c r="B77" i="51"/>
  <c r="T76" i="51"/>
  <c r="P76" i="51"/>
  <c r="X76" i="51" s="1"/>
  <c r="H76" i="51"/>
  <c r="D76" i="51"/>
  <c r="B76" i="51"/>
  <c r="X75" i="51"/>
  <c r="Z75" i="51" s="1"/>
  <c r="V75" i="51"/>
  <c r="L75" i="51"/>
  <c r="N75" i="51" s="1"/>
  <c r="B75" i="51"/>
  <c r="T74" i="51"/>
  <c r="P74" i="51"/>
  <c r="X74" i="51" s="1"/>
  <c r="N74" i="51"/>
  <c r="J74" i="51"/>
  <c r="H74" i="51"/>
  <c r="D74" i="51"/>
  <c r="L74" i="51" s="1"/>
  <c r="B74" i="51"/>
  <c r="Z73" i="51"/>
  <c r="X73" i="51"/>
  <c r="N73" i="51"/>
  <c r="L73" i="51"/>
  <c r="B73" i="51"/>
  <c r="X72" i="51"/>
  <c r="T72" i="51"/>
  <c r="Z72" i="51" s="1"/>
  <c r="P72" i="51"/>
  <c r="L72" i="51"/>
  <c r="N72" i="51" s="1"/>
  <c r="J72" i="51"/>
  <c r="H72" i="51"/>
  <c r="D72" i="51"/>
  <c r="B72" i="51"/>
  <c r="Z71" i="51"/>
  <c r="X71" i="51"/>
  <c r="L71" i="51"/>
  <c r="N71" i="51" s="1"/>
  <c r="J71" i="51"/>
  <c r="B71" i="51"/>
  <c r="T70" i="51"/>
  <c r="P70" i="51"/>
  <c r="H70" i="51"/>
  <c r="D70" i="51"/>
  <c r="B70" i="51"/>
  <c r="Z69" i="51"/>
  <c r="X69" i="51"/>
  <c r="N69" i="51"/>
  <c r="L69" i="51"/>
  <c r="B69" i="51"/>
  <c r="Z68" i="51"/>
  <c r="X68" i="51"/>
  <c r="N68" i="51"/>
  <c r="L68" i="51"/>
  <c r="B68" i="51"/>
  <c r="X67" i="51"/>
  <c r="Z67" i="51" s="1"/>
  <c r="L67" i="51"/>
  <c r="N67" i="51" s="1"/>
  <c r="B67" i="51"/>
  <c r="X66" i="51"/>
  <c r="Z66" i="51" s="1"/>
  <c r="N66" i="51"/>
  <c r="L66" i="51"/>
  <c r="J66" i="51"/>
  <c r="B66" i="51"/>
  <c r="Z65" i="51"/>
  <c r="X65" i="51"/>
  <c r="N65" i="51"/>
  <c r="L65" i="51"/>
  <c r="B65" i="51"/>
  <c r="Z64" i="51"/>
  <c r="X64" i="51"/>
  <c r="N64" i="51"/>
  <c r="L64" i="51"/>
  <c r="B64" i="51"/>
  <c r="X63" i="51"/>
  <c r="Z63" i="51" s="1"/>
  <c r="L63" i="51"/>
  <c r="N63" i="51" s="1"/>
  <c r="B63" i="51"/>
  <c r="Z62" i="51"/>
  <c r="X62" i="51"/>
  <c r="N62" i="51"/>
  <c r="L62" i="51"/>
  <c r="J62" i="51"/>
  <c r="B62" i="51"/>
  <c r="X61" i="51"/>
  <c r="Z61" i="51" s="1"/>
  <c r="N61" i="51"/>
  <c r="L61" i="51"/>
  <c r="B61" i="51"/>
  <c r="Z60" i="51"/>
  <c r="X60" i="51"/>
  <c r="N60" i="51"/>
  <c r="L60" i="51"/>
  <c r="B60" i="51"/>
  <c r="X59" i="51"/>
  <c r="T59" i="51"/>
  <c r="P59" i="51"/>
  <c r="L59" i="51"/>
  <c r="N59" i="51" s="1"/>
  <c r="J59" i="51"/>
  <c r="H59" i="51"/>
  <c r="D59" i="51"/>
  <c r="B59" i="51"/>
  <c r="X58" i="51"/>
  <c r="Z58" i="51" s="1"/>
  <c r="N58" i="51"/>
  <c r="L58" i="51"/>
  <c r="B58" i="51"/>
  <c r="Z57" i="51"/>
  <c r="X57" i="51"/>
  <c r="L57" i="51"/>
  <c r="N57" i="51" s="1"/>
  <c r="B57" i="51"/>
  <c r="X56" i="51"/>
  <c r="Z56" i="51" s="1"/>
  <c r="N56" i="51"/>
  <c r="L56" i="51"/>
  <c r="J56" i="51"/>
  <c r="B56" i="51"/>
  <c r="Z55" i="51"/>
  <c r="X55" i="51"/>
  <c r="N55" i="51"/>
  <c r="L55" i="51"/>
  <c r="J55" i="51"/>
  <c r="B55" i="51"/>
  <c r="Z54" i="51"/>
  <c r="X54" i="51"/>
  <c r="N54" i="51"/>
  <c r="L54" i="51"/>
  <c r="J54" i="51"/>
  <c r="B54" i="51"/>
  <c r="Z53" i="51"/>
  <c r="X53" i="51"/>
  <c r="N53" i="51"/>
  <c r="L53" i="51"/>
  <c r="B53" i="51"/>
  <c r="X52" i="51"/>
  <c r="Z52" i="51" s="1"/>
  <c r="N52" i="51"/>
  <c r="L52" i="51"/>
  <c r="J52" i="51"/>
  <c r="B52" i="51"/>
  <c r="X51" i="51"/>
  <c r="Z51" i="51" s="1"/>
  <c r="N51" i="51"/>
  <c r="L51" i="51"/>
  <c r="J51" i="51"/>
  <c r="B51" i="51"/>
  <c r="X50" i="51"/>
  <c r="Z50" i="51" s="1"/>
  <c r="N50" i="51"/>
  <c r="L50" i="51"/>
  <c r="J50" i="51"/>
  <c r="B50" i="51"/>
  <c r="Z49" i="51"/>
  <c r="X49" i="51"/>
  <c r="N49" i="51"/>
  <c r="L49" i="51"/>
  <c r="B49" i="51"/>
  <c r="X48" i="51"/>
  <c r="T48" i="51"/>
  <c r="Z48" i="51" s="1"/>
  <c r="P48" i="51"/>
  <c r="L48" i="51"/>
  <c r="N48" i="51" s="1"/>
  <c r="J48" i="51"/>
  <c r="H48" i="51"/>
  <c r="D48" i="51"/>
  <c r="B48" i="51"/>
  <c r="T47" i="51"/>
  <c r="P47" i="51"/>
  <c r="H47" i="51"/>
  <c r="D47" i="51"/>
  <c r="Z43" i="51"/>
  <c r="X43" i="51"/>
  <c r="N43" i="51"/>
  <c r="L43" i="51"/>
  <c r="J43" i="51"/>
  <c r="B43" i="51"/>
  <c r="Z42" i="51"/>
  <c r="X42" i="51"/>
  <c r="V42" i="51"/>
  <c r="N42" i="51"/>
  <c r="L42" i="51"/>
  <c r="B42" i="51"/>
  <c r="Z41" i="51"/>
  <c r="X41" i="51"/>
  <c r="N41" i="51"/>
  <c r="L41" i="51"/>
  <c r="J41" i="51"/>
  <c r="B41" i="51"/>
  <c r="Z40" i="51"/>
  <c r="X40" i="51"/>
  <c r="N40" i="51"/>
  <c r="L40" i="51"/>
  <c r="J40" i="51"/>
  <c r="B40" i="51"/>
  <c r="Z39" i="51"/>
  <c r="X39" i="51"/>
  <c r="N39" i="51"/>
  <c r="L39" i="51"/>
  <c r="J39" i="51"/>
  <c r="B39" i="51"/>
  <c r="Z38" i="51"/>
  <c r="X38" i="51"/>
  <c r="N38" i="51"/>
  <c r="L38" i="51"/>
  <c r="B38" i="51"/>
  <c r="Z37" i="51"/>
  <c r="X37" i="51"/>
  <c r="N37" i="51"/>
  <c r="L37" i="51"/>
  <c r="J37" i="51"/>
  <c r="B37" i="51"/>
  <c r="Z36" i="51"/>
  <c r="X36" i="51"/>
  <c r="N36" i="51"/>
  <c r="L36" i="51"/>
  <c r="J36" i="51"/>
  <c r="B36" i="51"/>
  <c r="Z35" i="51"/>
  <c r="X35" i="51"/>
  <c r="N35" i="51"/>
  <c r="L35" i="51"/>
  <c r="J35" i="51"/>
  <c r="B35" i="51"/>
  <c r="Z34" i="51"/>
  <c r="X34" i="51"/>
  <c r="N34" i="51"/>
  <c r="L34" i="51"/>
  <c r="B34" i="51"/>
  <c r="Z33" i="51"/>
  <c r="X33" i="51"/>
  <c r="N33" i="51"/>
  <c r="L33" i="51"/>
  <c r="J33" i="51"/>
  <c r="B33" i="51"/>
  <c r="T32" i="51"/>
  <c r="P32" i="51"/>
  <c r="X32" i="51" s="1"/>
  <c r="H32" i="51"/>
  <c r="J32" i="51" s="1"/>
  <c r="D32" i="51"/>
  <c r="L32" i="51" s="1"/>
  <c r="N32" i="51" s="1"/>
  <c r="Z30" i="51"/>
  <c r="P30" i="51"/>
  <c r="X30" i="51" s="1"/>
  <c r="N30" i="51"/>
  <c r="L30" i="51"/>
  <c r="D30" i="51"/>
  <c r="B30" i="51"/>
  <c r="Z29" i="51"/>
  <c r="X29" i="51"/>
  <c r="P29" i="51"/>
  <c r="N29" i="51"/>
  <c r="L29" i="51"/>
  <c r="D29" i="51"/>
  <c r="B29" i="51"/>
  <c r="Z28" i="51"/>
  <c r="X28" i="51"/>
  <c r="P28" i="51"/>
  <c r="N28" i="51"/>
  <c r="D28" i="51"/>
  <c r="L28" i="51" s="1"/>
  <c r="B28" i="51"/>
  <c r="Z27" i="51"/>
  <c r="P27" i="51"/>
  <c r="X27" i="51" s="1"/>
  <c r="N27" i="51"/>
  <c r="D27" i="51"/>
  <c r="L27" i="51" s="1"/>
  <c r="B27" i="51"/>
  <c r="Z26" i="51"/>
  <c r="P26" i="51"/>
  <c r="X26" i="51" s="1"/>
  <c r="N26" i="51"/>
  <c r="D26" i="51"/>
  <c r="L26" i="51" s="1"/>
  <c r="B26" i="51"/>
  <c r="Z25" i="51"/>
  <c r="X25" i="51"/>
  <c r="P25" i="51"/>
  <c r="N25" i="51"/>
  <c r="L25" i="51"/>
  <c r="D25" i="51"/>
  <c r="B25" i="51"/>
  <c r="Z24" i="51"/>
  <c r="X24" i="51"/>
  <c r="P24" i="51"/>
  <c r="N24" i="51"/>
  <c r="D24" i="51"/>
  <c r="L24" i="51" s="1"/>
  <c r="B24" i="51"/>
  <c r="Z23" i="51"/>
  <c r="P23" i="51"/>
  <c r="X23" i="51" s="1"/>
  <c r="N23" i="51"/>
  <c r="D23" i="51"/>
  <c r="L23" i="51" s="1"/>
  <c r="B23" i="51"/>
  <c r="Z22" i="51"/>
  <c r="X22" i="51"/>
  <c r="P22" i="51"/>
  <c r="N22" i="51"/>
  <c r="L22" i="51"/>
  <c r="D22" i="51"/>
  <c r="B22" i="51"/>
  <c r="Z21" i="51"/>
  <c r="X21" i="51"/>
  <c r="P21" i="51"/>
  <c r="N21" i="51"/>
  <c r="L21" i="51"/>
  <c r="D21" i="51"/>
  <c r="B21" i="51"/>
  <c r="Z20" i="51"/>
  <c r="X20" i="51"/>
  <c r="P20" i="51"/>
  <c r="N20" i="51"/>
  <c r="L20" i="51"/>
  <c r="D20" i="51"/>
  <c r="B20" i="51"/>
  <c r="X19" i="51"/>
  <c r="Z19" i="51" s="1"/>
  <c r="P19" i="51"/>
  <c r="N19" i="51"/>
  <c r="L19" i="51"/>
  <c r="D19" i="51"/>
  <c r="B19" i="51"/>
  <c r="Z18" i="51"/>
  <c r="P18" i="51"/>
  <c r="X18" i="51" s="1"/>
  <c r="N18" i="51"/>
  <c r="L18" i="51"/>
  <c r="D18" i="51"/>
  <c r="B18" i="51"/>
  <c r="Z17" i="51"/>
  <c r="P17" i="51"/>
  <c r="N17" i="51"/>
  <c r="L17" i="51"/>
  <c r="D17" i="51"/>
  <c r="B17" i="51"/>
  <c r="Z16" i="51"/>
  <c r="X16" i="51"/>
  <c r="P16" i="51"/>
  <c r="N16" i="51"/>
  <c r="D16" i="51"/>
  <c r="L16" i="51" s="1"/>
  <c r="B16" i="51"/>
  <c r="Z15" i="51"/>
  <c r="P15" i="51"/>
  <c r="X15" i="51" s="1"/>
  <c r="N15" i="51"/>
  <c r="D15" i="51"/>
  <c r="L15" i="51" s="1"/>
  <c r="B15" i="51"/>
  <c r="Z14" i="51"/>
  <c r="P14" i="51"/>
  <c r="X14" i="51" s="1"/>
  <c r="N14" i="51"/>
  <c r="D14" i="51"/>
  <c r="L14" i="51" s="1"/>
  <c r="B14" i="51"/>
  <c r="Z13" i="51"/>
  <c r="X13" i="51"/>
  <c r="P13" i="51"/>
  <c r="D13" i="51"/>
  <c r="B13" i="51"/>
  <c r="T12" i="51"/>
  <c r="V87" i="51" s="1"/>
  <c r="H12" i="51"/>
  <c r="J97" i="51" s="1"/>
  <c r="D4" i="51"/>
  <c r="Z73" i="48"/>
  <c r="X73" i="48"/>
  <c r="N73" i="48"/>
  <c r="L73" i="48"/>
  <c r="X69" i="48"/>
  <c r="Z69" i="48" s="1"/>
  <c r="P69" i="48"/>
  <c r="P68" i="48" s="1"/>
  <c r="X68" i="48" s="1"/>
  <c r="L69" i="48"/>
  <c r="N69" i="48" s="1"/>
  <c r="J69" i="48"/>
  <c r="D69" i="48"/>
  <c r="B69" i="48"/>
  <c r="T68" i="48"/>
  <c r="H68" i="48"/>
  <c r="D68" i="48"/>
  <c r="Z66" i="48"/>
  <c r="X66" i="48"/>
  <c r="L66" i="48"/>
  <c r="N66" i="48" s="1"/>
  <c r="B66" i="48"/>
  <c r="T65" i="48"/>
  <c r="P65" i="48"/>
  <c r="H65" i="48"/>
  <c r="D65" i="48"/>
  <c r="B65" i="48"/>
  <c r="Z64" i="48"/>
  <c r="X64" i="48"/>
  <c r="N64" i="48"/>
  <c r="L64" i="48"/>
  <c r="B64" i="48"/>
  <c r="Z63" i="48"/>
  <c r="X63" i="48"/>
  <c r="L63" i="48"/>
  <c r="N63" i="48" s="1"/>
  <c r="B63" i="48"/>
  <c r="X62" i="48"/>
  <c r="T62" i="48"/>
  <c r="Z62" i="48" s="1"/>
  <c r="P62" i="48"/>
  <c r="L62" i="48"/>
  <c r="J62" i="48"/>
  <c r="H62" i="48"/>
  <c r="N62" i="48" s="1"/>
  <c r="D62" i="48"/>
  <c r="B62" i="48"/>
  <c r="Z61" i="48"/>
  <c r="X61" i="48"/>
  <c r="N61" i="48"/>
  <c r="L61" i="48"/>
  <c r="F61" i="48"/>
  <c r="B61" i="48"/>
  <c r="Z60" i="48"/>
  <c r="X60" i="48"/>
  <c r="N60" i="48"/>
  <c r="L60" i="48"/>
  <c r="B60" i="48"/>
  <c r="X59" i="48"/>
  <c r="Z59" i="48" s="1"/>
  <c r="L59" i="48"/>
  <c r="N59" i="48" s="1"/>
  <c r="J59" i="48"/>
  <c r="B59" i="48"/>
  <c r="X58" i="48"/>
  <c r="Z58" i="48" s="1"/>
  <c r="N58" i="48"/>
  <c r="L58" i="48"/>
  <c r="B58" i="48"/>
  <c r="Z57" i="48"/>
  <c r="X57" i="48"/>
  <c r="T57" i="48"/>
  <c r="P57" i="48"/>
  <c r="L57" i="48"/>
  <c r="N57" i="48" s="1"/>
  <c r="H57" i="48"/>
  <c r="D57" i="48"/>
  <c r="B57" i="48"/>
  <c r="X56" i="48"/>
  <c r="Z56" i="48" s="1"/>
  <c r="L56" i="48"/>
  <c r="N56" i="48" s="1"/>
  <c r="J56" i="48"/>
  <c r="B56" i="48"/>
  <c r="X55" i="48"/>
  <c r="T55" i="48"/>
  <c r="Z55" i="48" s="1"/>
  <c r="P55" i="48"/>
  <c r="H55" i="48"/>
  <c r="D55" i="48"/>
  <c r="B55" i="48"/>
  <c r="X54" i="48"/>
  <c r="Z54" i="48" s="1"/>
  <c r="L54" i="48"/>
  <c r="N54" i="48" s="1"/>
  <c r="B54" i="48"/>
  <c r="T53" i="48"/>
  <c r="Z53" i="48" s="1"/>
  <c r="P53" i="48"/>
  <c r="X53" i="48" s="1"/>
  <c r="H53" i="48"/>
  <c r="D53" i="48"/>
  <c r="L53" i="48" s="1"/>
  <c r="N53" i="48" s="1"/>
  <c r="B53" i="48"/>
  <c r="Z52" i="48"/>
  <c r="X52" i="48"/>
  <c r="L52" i="48"/>
  <c r="N52" i="48" s="1"/>
  <c r="B52" i="48"/>
  <c r="X51" i="48"/>
  <c r="Z51" i="48" s="1"/>
  <c r="T51" i="48"/>
  <c r="P51" i="48"/>
  <c r="N51" i="48"/>
  <c r="L51" i="48"/>
  <c r="H51" i="48"/>
  <c r="D51" i="48"/>
  <c r="B51" i="48"/>
  <c r="Z50" i="48"/>
  <c r="X50" i="48"/>
  <c r="L50" i="48"/>
  <c r="N50" i="48" s="1"/>
  <c r="B50" i="48"/>
  <c r="Z49" i="48"/>
  <c r="X49" i="48"/>
  <c r="N49" i="48"/>
  <c r="L49" i="48"/>
  <c r="B49" i="48"/>
  <c r="X48" i="48"/>
  <c r="Z48" i="48" s="1"/>
  <c r="T48" i="48"/>
  <c r="P48" i="48"/>
  <c r="N48" i="48"/>
  <c r="H48" i="48"/>
  <c r="D48" i="48"/>
  <c r="L48" i="48" s="1"/>
  <c r="B48" i="48"/>
  <c r="Z47" i="48"/>
  <c r="X47" i="48"/>
  <c r="L47" i="48"/>
  <c r="N47" i="48" s="1"/>
  <c r="B47" i="48"/>
  <c r="X46" i="48"/>
  <c r="T46" i="48"/>
  <c r="Z46" i="48" s="1"/>
  <c r="P46" i="48"/>
  <c r="L46" i="48"/>
  <c r="J46" i="48"/>
  <c r="H46" i="48"/>
  <c r="N46" i="48" s="1"/>
  <c r="D46" i="48"/>
  <c r="B46" i="48"/>
  <c r="Z45" i="48"/>
  <c r="X45" i="48"/>
  <c r="N45" i="48"/>
  <c r="L45" i="48"/>
  <c r="F45" i="48"/>
  <c r="B45" i="48"/>
  <c r="T44" i="48"/>
  <c r="P44" i="48"/>
  <c r="X44" i="48" s="1"/>
  <c r="H44" i="48"/>
  <c r="N44" i="48" s="1"/>
  <c r="F44" i="48"/>
  <c r="D44" i="48"/>
  <c r="L44" i="48" s="1"/>
  <c r="B44" i="48"/>
  <c r="X43" i="48"/>
  <c r="Z43" i="48" s="1"/>
  <c r="N43" i="48"/>
  <c r="L43" i="48"/>
  <c r="B43" i="48"/>
  <c r="T42" i="48"/>
  <c r="P42" i="48"/>
  <c r="X42" i="48" s="1"/>
  <c r="Z42" i="48" s="1"/>
  <c r="L42" i="48"/>
  <c r="N42" i="48" s="1"/>
  <c r="H42" i="48"/>
  <c r="D42" i="48"/>
  <c r="B42" i="48"/>
  <c r="Z41" i="48"/>
  <c r="X41" i="48"/>
  <c r="N41" i="48"/>
  <c r="L41" i="48"/>
  <c r="B41" i="48"/>
  <c r="Z40" i="48"/>
  <c r="X40" i="48"/>
  <c r="N40" i="48"/>
  <c r="L40" i="48"/>
  <c r="B40" i="48"/>
  <c r="Z39" i="48"/>
  <c r="X39" i="48"/>
  <c r="L39" i="48"/>
  <c r="N39" i="48" s="1"/>
  <c r="B39" i="48"/>
  <c r="X38" i="48"/>
  <c r="Z38" i="48" s="1"/>
  <c r="N38" i="48"/>
  <c r="L38" i="48"/>
  <c r="B38" i="48"/>
  <c r="Z37" i="48"/>
  <c r="X37" i="48"/>
  <c r="N37" i="48"/>
  <c r="L37" i="48"/>
  <c r="B37" i="48"/>
  <c r="Z36" i="48"/>
  <c r="X36" i="48"/>
  <c r="N36" i="48"/>
  <c r="L36" i="48"/>
  <c r="B36" i="48"/>
  <c r="Z35" i="48"/>
  <c r="X35" i="48"/>
  <c r="L35" i="48"/>
  <c r="N35" i="48" s="1"/>
  <c r="B35" i="48"/>
  <c r="Z34" i="48"/>
  <c r="X34" i="48"/>
  <c r="N34" i="48"/>
  <c r="L34" i="48"/>
  <c r="B34" i="48"/>
  <c r="Z33" i="48"/>
  <c r="X33" i="48"/>
  <c r="N33" i="48"/>
  <c r="L33" i="48"/>
  <c r="B33" i="48"/>
  <c r="X32" i="48"/>
  <c r="Z32" i="48" s="1"/>
  <c r="L32" i="48"/>
  <c r="N32" i="48" s="1"/>
  <c r="B32" i="48"/>
  <c r="T31" i="48"/>
  <c r="P31" i="48"/>
  <c r="X31" i="48" s="1"/>
  <c r="Z31" i="48" s="1"/>
  <c r="H31" i="48"/>
  <c r="D31" i="48"/>
  <c r="L31" i="48" s="1"/>
  <c r="B31" i="48"/>
  <c r="X30" i="48"/>
  <c r="Z30" i="48" s="1"/>
  <c r="N30" i="48"/>
  <c r="L30" i="48"/>
  <c r="B30" i="48"/>
  <c r="Z29" i="48"/>
  <c r="X29" i="48"/>
  <c r="N29" i="48"/>
  <c r="L29" i="48"/>
  <c r="F29" i="48"/>
  <c r="B29" i="48"/>
  <c r="X28" i="48"/>
  <c r="Z28" i="48" s="1"/>
  <c r="L28" i="48"/>
  <c r="N28" i="48" s="1"/>
  <c r="B28" i="48"/>
  <c r="Z27" i="48"/>
  <c r="X27" i="48"/>
  <c r="N27" i="48"/>
  <c r="L27" i="48"/>
  <c r="J27" i="48"/>
  <c r="B27" i="48"/>
  <c r="Z26" i="48"/>
  <c r="X26" i="48"/>
  <c r="N26" i="48"/>
  <c r="L26" i="48"/>
  <c r="B26" i="48"/>
  <c r="Z25" i="48"/>
  <c r="X25" i="48"/>
  <c r="N25" i="48"/>
  <c r="L25" i="48"/>
  <c r="F25" i="48"/>
  <c r="B25" i="48"/>
  <c r="X24" i="48"/>
  <c r="Z24" i="48" s="1"/>
  <c r="L24" i="48"/>
  <c r="N24" i="48" s="1"/>
  <c r="B24" i="48"/>
  <c r="X23" i="48"/>
  <c r="Z23" i="48" s="1"/>
  <c r="L23" i="48"/>
  <c r="N23" i="48" s="1"/>
  <c r="J23" i="48"/>
  <c r="B23" i="48"/>
  <c r="X22" i="48"/>
  <c r="Z22" i="48" s="1"/>
  <c r="N22" i="48"/>
  <c r="L22" i="48"/>
  <c r="B22" i="48"/>
  <c r="Z21" i="48"/>
  <c r="X21" i="48"/>
  <c r="N21" i="48"/>
  <c r="L21" i="48"/>
  <c r="F21" i="48"/>
  <c r="B21" i="48"/>
  <c r="T20" i="48"/>
  <c r="P20" i="48"/>
  <c r="X20" i="48" s="1"/>
  <c r="H20" i="48"/>
  <c r="F20" i="48"/>
  <c r="D20" i="48"/>
  <c r="L20" i="48" s="1"/>
  <c r="B20" i="48"/>
  <c r="T19" i="48"/>
  <c r="P19" i="48"/>
  <c r="H19" i="48"/>
  <c r="D19" i="48"/>
  <c r="H17" i="48"/>
  <c r="T15" i="48"/>
  <c r="Z15" i="48" s="1"/>
  <c r="P15" i="48"/>
  <c r="H15" i="48"/>
  <c r="N15" i="48" s="1"/>
  <c r="D15" i="48"/>
  <c r="P13" i="48"/>
  <c r="P12" i="48" s="1"/>
  <c r="N13" i="48"/>
  <c r="L13" i="48"/>
  <c r="D13" i="48"/>
  <c r="B13" i="48"/>
  <c r="T12" i="48"/>
  <c r="H12" i="48"/>
  <c r="J65" i="48" s="1"/>
  <c r="D12" i="48"/>
  <c r="F68" i="48" s="1"/>
  <c r="D4" i="48"/>
  <c r="Z100" i="45"/>
  <c r="X100" i="45"/>
  <c r="N100" i="45"/>
  <c r="L100" i="45"/>
  <c r="Z96" i="45"/>
  <c r="X96" i="45"/>
  <c r="T96" i="45"/>
  <c r="P96" i="45"/>
  <c r="N96" i="45"/>
  <c r="L96" i="45"/>
  <c r="H96" i="45"/>
  <c r="D96" i="45"/>
  <c r="Z94" i="45"/>
  <c r="X94" i="45"/>
  <c r="N94" i="45"/>
  <c r="L94" i="45"/>
  <c r="B94" i="45"/>
  <c r="T93" i="45"/>
  <c r="Z93" i="45" s="1"/>
  <c r="P93" i="45"/>
  <c r="X93" i="45" s="1"/>
  <c r="H93" i="45"/>
  <c r="N93" i="45" s="1"/>
  <c r="D93" i="45"/>
  <c r="L93" i="45" s="1"/>
  <c r="B93" i="45"/>
  <c r="X92" i="45"/>
  <c r="Z92" i="45" s="1"/>
  <c r="N92" i="45"/>
  <c r="L92" i="45"/>
  <c r="B92" i="45"/>
  <c r="Z91" i="45"/>
  <c r="T91" i="45"/>
  <c r="P91" i="45"/>
  <c r="X91" i="45" s="1"/>
  <c r="N91" i="45"/>
  <c r="L91" i="45"/>
  <c r="H91" i="45"/>
  <c r="D91" i="45"/>
  <c r="B91" i="45"/>
  <c r="Z90" i="45"/>
  <c r="X90" i="45"/>
  <c r="N90" i="45"/>
  <c r="L90" i="45"/>
  <c r="B90" i="45"/>
  <c r="X89" i="45"/>
  <c r="Z89" i="45" s="1"/>
  <c r="N89" i="45"/>
  <c r="L89" i="45"/>
  <c r="B89" i="45"/>
  <c r="T88" i="45"/>
  <c r="P88" i="45"/>
  <c r="X88" i="45" s="1"/>
  <c r="Z88" i="45" s="1"/>
  <c r="H88" i="45"/>
  <c r="D88" i="45"/>
  <c r="L88" i="45" s="1"/>
  <c r="B88" i="45"/>
  <c r="X87" i="45"/>
  <c r="Z87" i="45" s="1"/>
  <c r="N87" i="45"/>
  <c r="L87" i="45"/>
  <c r="B87" i="45"/>
  <c r="Z86" i="45"/>
  <c r="X86" i="45"/>
  <c r="N86" i="45"/>
  <c r="L86" i="45"/>
  <c r="B86" i="45"/>
  <c r="Z85" i="45"/>
  <c r="X85" i="45"/>
  <c r="N85" i="45"/>
  <c r="L85" i="45"/>
  <c r="B85" i="45"/>
  <c r="X84" i="45"/>
  <c r="Z84" i="45" s="1"/>
  <c r="L84" i="45"/>
  <c r="N84" i="45" s="1"/>
  <c r="B84" i="45"/>
  <c r="X83" i="45"/>
  <c r="Z83" i="45" s="1"/>
  <c r="N83" i="45"/>
  <c r="L83" i="45"/>
  <c r="B83" i="45"/>
  <c r="Z82" i="45"/>
  <c r="X82" i="45"/>
  <c r="L82" i="45"/>
  <c r="N82" i="45" s="1"/>
  <c r="B82" i="45"/>
  <c r="Z81" i="45"/>
  <c r="X81" i="45"/>
  <c r="N81" i="45"/>
  <c r="L81" i="45"/>
  <c r="B81" i="45"/>
  <c r="X80" i="45"/>
  <c r="Z80" i="45" s="1"/>
  <c r="L80" i="45"/>
  <c r="N80" i="45" s="1"/>
  <c r="B80" i="45"/>
  <c r="X79" i="45"/>
  <c r="Z79" i="45" s="1"/>
  <c r="N79" i="45"/>
  <c r="L79" i="45"/>
  <c r="B79" i="45"/>
  <c r="Z78" i="45"/>
  <c r="X78" i="45"/>
  <c r="L78" i="45"/>
  <c r="N78" i="45" s="1"/>
  <c r="B78" i="45"/>
  <c r="T77" i="45"/>
  <c r="Z77" i="45" s="1"/>
  <c r="P77" i="45"/>
  <c r="X77" i="45" s="1"/>
  <c r="H77" i="45"/>
  <c r="D77" i="45"/>
  <c r="L77" i="45" s="1"/>
  <c r="B77" i="45"/>
  <c r="X76" i="45"/>
  <c r="Z76" i="45" s="1"/>
  <c r="N76" i="45"/>
  <c r="L76" i="45"/>
  <c r="B76" i="45"/>
  <c r="Z75" i="45"/>
  <c r="X75" i="45"/>
  <c r="L75" i="45"/>
  <c r="N75" i="45" s="1"/>
  <c r="B75" i="45"/>
  <c r="X74" i="45"/>
  <c r="Z74" i="45" s="1"/>
  <c r="L74" i="45"/>
  <c r="N74" i="45" s="1"/>
  <c r="B74" i="45"/>
  <c r="Z73" i="45"/>
  <c r="X73" i="45"/>
  <c r="L73" i="45"/>
  <c r="N73" i="45" s="1"/>
  <c r="J73" i="45"/>
  <c r="B73" i="45"/>
  <c r="T72" i="45"/>
  <c r="P72" i="45"/>
  <c r="H72" i="45"/>
  <c r="D72" i="45"/>
  <c r="L72" i="45" s="1"/>
  <c r="B72" i="45"/>
  <c r="X71" i="45"/>
  <c r="Z71" i="45" s="1"/>
  <c r="L71" i="45"/>
  <c r="N71" i="45" s="1"/>
  <c r="B71" i="45"/>
  <c r="X70" i="45"/>
  <c r="Z70" i="45" s="1"/>
  <c r="N70" i="45"/>
  <c r="L70" i="45"/>
  <c r="B70" i="45"/>
  <c r="X69" i="45"/>
  <c r="Z69" i="45" s="1"/>
  <c r="N69" i="45"/>
  <c r="L69" i="45"/>
  <c r="B69" i="45"/>
  <c r="T68" i="45"/>
  <c r="P68" i="45"/>
  <c r="X68" i="45" s="1"/>
  <c r="Z68" i="45" s="1"/>
  <c r="H68" i="45"/>
  <c r="D68" i="45"/>
  <c r="L68" i="45" s="1"/>
  <c r="B68" i="45"/>
  <c r="X67" i="45"/>
  <c r="Z67" i="45" s="1"/>
  <c r="N67" i="45"/>
  <c r="L67" i="45"/>
  <c r="B67" i="45"/>
  <c r="Z66" i="45"/>
  <c r="X66" i="45"/>
  <c r="T66" i="45"/>
  <c r="P66" i="45"/>
  <c r="L66" i="45"/>
  <c r="H66" i="45"/>
  <c r="D66" i="45"/>
  <c r="B66" i="45"/>
  <c r="Z65" i="45"/>
  <c r="X65" i="45"/>
  <c r="L65" i="45"/>
  <c r="N65" i="45" s="1"/>
  <c r="J65" i="45"/>
  <c r="B65" i="45"/>
  <c r="V64" i="45"/>
  <c r="T64" i="45"/>
  <c r="P64" i="45"/>
  <c r="H64" i="45"/>
  <c r="D64" i="45"/>
  <c r="B64" i="45"/>
  <c r="X63" i="45"/>
  <c r="Z63" i="45" s="1"/>
  <c r="L63" i="45"/>
  <c r="N63" i="45" s="1"/>
  <c r="B63" i="45"/>
  <c r="T62" i="45"/>
  <c r="P62" i="45"/>
  <c r="X62" i="45" s="1"/>
  <c r="H62" i="45"/>
  <c r="D62" i="45"/>
  <c r="L62" i="45" s="1"/>
  <c r="N62" i="45" s="1"/>
  <c r="B62" i="45"/>
  <c r="Z61" i="45"/>
  <c r="X61" i="45"/>
  <c r="N61" i="45"/>
  <c r="L61" i="45"/>
  <c r="B61" i="45"/>
  <c r="X60" i="45"/>
  <c r="T60" i="45"/>
  <c r="Z60" i="45" s="1"/>
  <c r="P60" i="45"/>
  <c r="N60" i="45"/>
  <c r="L60" i="45"/>
  <c r="H60" i="45"/>
  <c r="D60" i="45"/>
  <c r="B60" i="45"/>
  <c r="Z59" i="45"/>
  <c r="X59" i="45"/>
  <c r="L59" i="45"/>
  <c r="N59" i="45" s="1"/>
  <c r="B59" i="45"/>
  <c r="T58" i="45"/>
  <c r="P58" i="45"/>
  <c r="X58" i="45" s="1"/>
  <c r="J58" i="45"/>
  <c r="H58" i="45"/>
  <c r="D58" i="45"/>
  <c r="B58" i="45"/>
  <c r="X57" i="45"/>
  <c r="Z57" i="45" s="1"/>
  <c r="N57" i="45"/>
  <c r="L57" i="45"/>
  <c r="B57" i="45"/>
  <c r="T56" i="45"/>
  <c r="P56" i="45"/>
  <c r="X56" i="45" s="1"/>
  <c r="Z56" i="45" s="1"/>
  <c r="H56" i="45"/>
  <c r="D56" i="45"/>
  <c r="L56" i="45" s="1"/>
  <c r="B56" i="45"/>
  <c r="X55" i="45"/>
  <c r="Z55" i="45" s="1"/>
  <c r="N55" i="45"/>
  <c r="L55" i="45"/>
  <c r="B55" i="45"/>
  <c r="Z54" i="45"/>
  <c r="X54" i="45"/>
  <c r="T54" i="45"/>
  <c r="P54" i="45"/>
  <c r="L54" i="45"/>
  <c r="H54" i="45"/>
  <c r="N54" i="45" s="1"/>
  <c r="D54" i="45"/>
  <c r="B54" i="45"/>
  <c r="Z53" i="45"/>
  <c r="X53" i="45"/>
  <c r="L53" i="45"/>
  <c r="N53" i="45" s="1"/>
  <c r="J53" i="45"/>
  <c r="B53" i="45"/>
  <c r="T52" i="45"/>
  <c r="P52" i="45"/>
  <c r="H52" i="45"/>
  <c r="D52" i="45"/>
  <c r="L52" i="45" s="1"/>
  <c r="B52" i="45"/>
  <c r="X51" i="45"/>
  <c r="Z51" i="45" s="1"/>
  <c r="L51" i="45"/>
  <c r="N51" i="45" s="1"/>
  <c r="B51" i="45"/>
  <c r="T50" i="45"/>
  <c r="Z50" i="45" s="1"/>
  <c r="P50" i="45"/>
  <c r="X50" i="45" s="1"/>
  <c r="H50" i="45"/>
  <c r="D50" i="45"/>
  <c r="L50" i="45" s="1"/>
  <c r="N50" i="45" s="1"/>
  <c r="B50" i="45"/>
  <c r="Z49" i="45"/>
  <c r="X49" i="45"/>
  <c r="N49" i="45"/>
  <c r="L49" i="45"/>
  <c r="B49" i="45"/>
  <c r="X48" i="45"/>
  <c r="T48" i="45"/>
  <c r="P48" i="45"/>
  <c r="N48" i="45"/>
  <c r="L48" i="45"/>
  <c r="H48" i="45"/>
  <c r="D48" i="45"/>
  <c r="B48" i="45"/>
  <c r="Z47" i="45"/>
  <c r="X47" i="45"/>
  <c r="N47" i="45"/>
  <c r="L47" i="45"/>
  <c r="J47" i="45"/>
  <c r="B47" i="45"/>
  <c r="Z46" i="45"/>
  <c r="X46" i="45"/>
  <c r="N46" i="45"/>
  <c r="L46" i="45"/>
  <c r="B46" i="45"/>
  <c r="Z45" i="45"/>
  <c r="X45" i="45"/>
  <c r="L45" i="45"/>
  <c r="N45" i="45" s="1"/>
  <c r="J45" i="45"/>
  <c r="B45" i="45"/>
  <c r="X44" i="45"/>
  <c r="Z44" i="45" s="1"/>
  <c r="N44" i="45"/>
  <c r="L44" i="45"/>
  <c r="B44" i="45"/>
  <c r="Z43" i="45"/>
  <c r="X43" i="45"/>
  <c r="N43" i="45"/>
  <c r="L43" i="45"/>
  <c r="J43" i="45"/>
  <c r="B43" i="45"/>
  <c r="Z42" i="45"/>
  <c r="X42" i="45"/>
  <c r="L42" i="45"/>
  <c r="N42" i="45" s="1"/>
  <c r="B42" i="45"/>
  <c r="Z41" i="45"/>
  <c r="X41" i="45"/>
  <c r="L41" i="45"/>
  <c r="N41" i="45" s="1"/>
  <c r="J41" i="45"/>
  <c r="B41" i="45"/>
  <c r="Z40" i="45"/>
  <c r="X40" i="45"/>
  <c r="N40" i="45"/>
  <c r="L40" i="45"/>
  <c r="B40" i="45"/>
  <c r="Z39" i="45"/>
  <c r="X39" i="45"/>
  <c r="L39" i="45"/>
  <c r="N39" i="45" s="1"/>
  <c r="J39" i="45"/>
  <c r="B39" i="45"/>
  <c r="Z38" i="45"/>
  <c r="X38" i="45"/>
  <c r="N38" i="45"/>
  <c r="L38" i="45"/>
  <c r="B38" i="45"/>
  <c r="Z37" i="45"/>
  <c r="X37" i="45"/>
  <c r="T37" i="45"/>
  <c r="P37" i="45"/>
  <c r="J37" i="45"/>
  <c r="H37" i="45"/>
  <c r="D37" i="45"/>
  <c r="L37" i="45" s="1"/>
  <c r="N37" i="45" s="1"/>
  <c r="B37" i="45"/>
  <c r="Z36" i="45"/>
  <c r="X36" i="45"/>
  <c r="L36" i="45"/>
  <c r="N36" i="45" s="1"/>
  <c r="B36" i="45"/>
  <c r="X35" i="45"/>
  <c r="Z35" i="45" s="1"/>
  <c r="V35" i="45"/>
  <c r="L35" i="45"/>
  <c r="N35" i="45" s="1"/>
  <c r="B35" i="45"/>
  <c r="X34" i="45"/>
  <c r="Z34" i="45" s="1"/>
  <c r="L34" i="45"/>
  <c r="N34" i="45" s="1"/>
  <c r="B34" i="45"/>
  <c r="Z33" i="45"/>
  <c r="X33" i="45"/>
  <c r="N33" i="45"/>
  <c r="L33" i="45"/>
  <c r="B33" i="45"/>
  <c r="Z32" i="45"/>
  <c r="X32" i="45"/>
  <c r="N32" i="45"/>
  <c r="L32" i="45"/>
  <c r="B32" i="45"/>
  <c r="X31" i="45"/>
  <c r="Z31" i="45" s="1"/>
  <c r="L31" i="45"/>
  <c r="N31" i="45" s="1"/>
  <c r="B31" i="45"/>
  <c r="X30" i="45"/>
  <c r="Z30" i="45" s="1"/>
  <c r="N30" i="45"/>
  <c r="L30" i="45"/>
  <c r="B30" i="45"/>
  <c r="X29" i="45"/>
  <c r="Z29" i="45" s="1"/>
  <c r="V29" i="45"/>
  <c r="N29" i="45"/>
  <c r="L29" i="45"/>
  <c r="B29" i="45"/>
  <c r="Z28" i="45"/>
  <c r="X28" i="45"/>
  <c r="L28" i="45"/>
  <c r="N28" i="45" s="1"/>
  <c r="B28" i="45"/>
  <c r="X27" i="45"/>
  <c r="Z27" i="45" s="1"/>
  <c r="L27" i="45"/>
  <c r="N27" i="45" s="1"/>
  <c r="B27" i="45"/>
  <c r="X26" i="45"/>
  <c r="T26" i="45"/>
  <c r="Z26" i="45" s="1"/>
  <c r="P26" i="45"/>
  <c r="H26" i="45"/>
  <c r="D26" i="45"/>
  <c r="L26" i="45" s="1"/>
  <c r="N26" i="45" s="1"/>
  <c r="B26" i="45"/>
  <c r="T25" i="45"/>
  <c r="P25" i="45"/>
  <c r="H25" i="45"/>
  <c r="D25" i="45"/>
  <c r="L25" i="45" s="1"/>
  <c r="Z21" i="45"/>
  <c r="X21" i="45"/>
  <c r="N21" i="45"/>
  <c r="L21" i="45"/>
  <c r="B21" i="45"/>
  <c r="Z20" i="45"/>
  <c r="X20" i="45"/>
  <c r="N20" i="45"/>
  <c r="L20" i="45"/>
  <c r="J20" i="45"/>
  <c r="B20" i="45"/>
  <c r="X19" i="45"/>
  <c r="Z19" i="45" s="1"/>
  <c r="N19" i="45"/>
  <c r="L19" i="45"/>
  <c r="J19" i="45"/>
  <c r="B19" i="45"/>
  <c r="Z18" i="45"/>
  <c r="X18" i="45"/>
  <c r="T18" i="45"/>
  <c r="P18" i="45"/>
  <c r="L18" i="45"/>
  <c r="H18" i="45"/>
  <c r="D18" i="45"/>
  <c r="Z16" i="45"/>
  <c r="X16" i="45"/>
  <c r="P16" i="45"/>
  <c r="N16" i="45"/>
  <c r="L16" i="45"/>
  <c r="D16" i="45"/>
  <c r="B16" i="45"/>
  <c r="Z15" i="45"/>
  <c r="P15" i="45"/>
  <c r="X15" i="45" s="1"/>
  <c r="N15" i="45"/>
  <c r="L15" i="45"/>
  <c r="D15" i="45"/>
  <c r="B15" i="45"/>
  <c r="Z14" i="45"/>
  <c r="P14" i="45"/>
  <c r="X14" i="45" s="1"/>
  <c r="D14" i="45"/>
  <c r="L14" i="45" s="1"/>
  <c r="N14" i="45" s="1"/>
  <c r="B14" i="45"/>
  <c r="Z13" i="45"/>
  <c r="P13" i="45"/>
  <c r="X13" i="45" s="1"/>
  <c r="N13" i="45"/>
  <c r="D13" i="45"/>
  <c r="B13" i="45"/>
  <c r="T12" i="45"/>
  <c r="V57" i="45" s="1"/>
  <c r="H12" i="45"/>
  <c r="D4" i="45"/>
  <c r="X121" i="42"/>
  <c r="Z121" i="42" s="1"/>
  <c r="L121" i="42"/>
  <c r="N121" i="42" s="1"/>
  <c r="Z117" i="42"/>
  <c r="P117" i="42"/>
  <c r="X117" i="42" s="1"/>
  <c r="N117" i="42"/>
  <c r="D117" i="42"/>
  <c r="L117" i="42" s="1"/>
  <c r="B117" i="42"/>
  <c r="X116" i="42"/>
  <c r="Z116" i="42" s="1"/>
  <c r="P116" i="42"/>
  <c r="P113" i="42" s="1"/>
  <c r="L116" i="42"/>
  <c r="N116" i="42" s="1"/>
  <c r="D116" i="42"/>
  <c r="B116" i="42"/>
  <c r="X115" i="42"/>
  <c r="Z115" i="42" s="1"/>
  <c r="P115" i="42"/>
  <c r="L115" i="42"/>
  <c r="N115" i="42" s="1"/>
  <c r="J115" i="42"/>
  <c r="D115" i="42"/>
  <c r="B115" i="42"/>
  <c r="Z114" i="42"/>
  <c r="X114" i="42"/>
  <c r="P114" i="42"/>
  <c r="D114" i="42"/>
  <c r="B114" i="42"/>
  <c r="X113" i="42"/>
  <c r="T113" i="42"/>
  <c r="H113" i="42"/>
  <c r="X111" i="42"/>
  <c r="Z111" i="42" s="1"/>
  <c r="N111" i="42"/>
  <c r="L111" i="42"/>
  <c r="B111" i="42"/>
  <c r="Z110" i="42"/>
  <c r="X110" i="42"/>
  <c r="T110" i="42"/>
  <c r="P110" i="42"/>
  <c r="H110" i="42"/>
  <c r="D110" i="42"/>
  <c r="L110" i="42" s="1"/>
  <c r="N110" i="42" s="1"/>
  <c r="B110" i="42"/>
  <c r="Z109" i="42"/>
  <c r="X109" i="42"/>
  <c r="R109" i="42"/>
  <c r="N109" i="42"/>
  <c r="L109" i="42"/>
  <c r="B109" i="42"/>
  <c r="Z108" i="42"/>
  <c r="X108" i="42"/>
  <c r="V108" i="42"/>
  <c r="N108" i="42"/>
  <c r="L108" i="42"/>
  <c r="J108" i="42"/>
  <c r="B108" i="42"/>
  <c r="Z107" i="42"/>
  <c r="X107" i="42"/>
  <c r="N107" i="42"/>
  <c r="L107" i="42"/>
  <c r="B107" i="42"/>
  <c r="Z106" i="42"/>
  <c r="T106" i="42"/>
  <c r="P106" i="42"/>
  <c r="X106" i="42" s="1"/>
  <c r="L106" i="42"/>
  <c r="J106" i="42"/>
  <c r="H106" i="42"/>
  <c r="N106" i="42" s="1"/>
  <c r="D106" i="42"/>
  <c r="B106" i="42"/>
  <c r="Z105" i="42"/>
  <c r="X105" i="42"/>
  <c r="N105" i="42"/>
  <c r="L105" i="42"/>
  <c r="B105" i="42"/>
  <c r="Z104" i="42"/>
  <c r="V104" i="42"/>
  <c r="T104" i="42"/>
  <c r="P104" i="42"/>
  <c r="X104" i="42" s="1"/>
  <c r="H104" i="42"/>
  <c r="N104" i="42" s="1"/>
  <c r="D104" i="42"/>
  <c r="L104" i="42" s="1"/>
  <c r="B104" i="42"/>
  <c r="X103" i="42"/>
  <c r="Z103" i="42" s="1"/>
  <c r="N103" i="42"/>
  <c r="L103" i="42"/>
  <c r="B103" i="42"/>
  <c r="Z102" i="42"/>
  <c r="X102" i="42"/>
  <c r="N102" i="42"/>
  <c r="L102" i="42"/>
  <c r="B102" i="42"/>
  <c r="T101" i="42"/>
  <c r="P101" i="42"/>
  <c r="X101" i="42" s="1"/>
  <c r="L101" i="42"/>
  <c r="H101" i="42"/>
  <c r="N101" i="42" s="1"/>
  <c r="D101" i="42"/>
  <c r="B101" i="42"/>
  <c r="Z100" i="42"/>
  <c r="X100" i="42"/>
  <c r="V100" i="42"/>
  <c r="N100" i="42"/>
  <c r="L100" i="42"/>
  <c r="J100" i="42"/>
  <c r="B100" i="42"/>
  <c r="Z99" i="42"/>
  <c r="X99" i="42"/>
  <c r="N99" i="42"/>
  <c r="L99" i="42"/>
  <c r="B99" i="42"/>
  <c r="Z98" i="42"/>
  <c r="X98" i="42"/>
  <c r="N98" i="42"/>
  <c r="L98" i="42"/>
  <c r="B98" i="42"/>
  <c r="Z97" i="42"/>
  <c r="X97" i="42"/>
  <c r="R97" i="42"/>
  <c r="N97" i="42"/>
  <c r="L97" i="42"/>
  <c r="B97" i="42"/>
  <c r="Z96" i="42"/>
  <c r="X96" i="42"/>
  <c r="V96" i="42"/>
  <c r="N96" i="42"/>
  <c r="L96" i="42"/>
  <c r="J96" i="42"/>
  <c r="B96" i="42"/>
  <c r="Z95" i="42"/>
  <c r="X95" i="42"/>
  <c r="L95" i="42"/>
  <c r="N95" i="42" s="1"/>
  <c r="B95" i="42"/>
  <c r="Z94" i="42"/>
  <c r="X94" i="42"/>
  <c r="L94" i="42"/>
  <c r="N94" i="42" s="1"/>
  <c r="B94" i="42"/>
  <c r="Z93" i="42"/>
  <c r="X93" i="42"/>
  <c r="L93" i="42"/>
  <c r="N93" i="42" s="1"/>
  <c r="B93" i="42"/>
  <c r="X92" i="42"/>
  <c r="Z92" i="42" s="1"/>
  <c r="V92" i="42"/>
  <c r="N92" i="42"/>
  <c r="L92" i="42"/>
  <c r="J92" i="42"/>
  <c r="B92" i="42"/>
  <c r="Z91" i="42"/>
  <c r="X91" i="42"/>
  <c r="N91" i="42"/>
  <c r="L91" i="42"/>
  <c r="B91" i="42"/>
  <c r="Z90" i="42"/>
  <c r="X90" i="42"/>
  <c r="N90" i="42"/>
  <c r="L90" i="42"/>
  <c r="B90" i="42"/>
  <c r="T89" i="42"/>
  <c r="P89" i="42"/>
  <c r="H89" i="42"/>
  <c r="D89" i="42"/>
  <c r="L89" i="42" s="1"/>
  <c r="N89" i="42" s="1"/>
  <c r="B89" i="42"/>
  <c r="Z88" i="42"/>
  <c r="X88" i="42"/>
  <c r="V88" i="42"/>
  <c r="N88" i="42"/>
  <c r="L88" i="42"/>
  <c r="B88" i="42"/>
  <c r="T87" i="42"/>
  <c r="P87" i="42"/>
  <c r="X87" i="42" s="1"/>
  <c r="Z87" i="42" s="1"/>
  <c r="L87" i="42"/>
  <c r="H87" i="42"/>
  <c r="N87" i="42" s="1"/>
  <c r="D87" i="42"/>
  <c r="B87" i="42"/>
  <c r="Z86" i="42"/>
  <c r="X86" i="42"/>
  <c r="N86" i="42"/>
  <c r="L86" i="42"/>
  <c r="B86" i="42"/>
  <c r="X85" i="42"/>
  <c r="Z85" i="42" s="1"/>
  <c r="R85" i="42"/>
  <c r="N85" i="42"/>
  <c r="L85" i="42"/>
  <c r="B85" i="42"/>
  <c r="Z84" i="42"/>
  <c r="X84" i="42"/>
  <c r="L84" i="42"/>
  <c r="N84" i="42" s="1"/>
  <c r="J84" i="42"/>
  <c r="B84" i="42"/>
  <c r="X83" i="42"/>
  <c r="Z83" i="42" s="1"/>
  <c r="N83" i="42"/>
  <c r="L83" i="42"/>
  <c r="B83" i="42"/>
  <c r="Z82" i="42"/>
  <c r="X82" i="42"/>
  <c r="N82" i="42"/>
  <c r="L82" i="42"/>
  <c r="B82" i="42"/>
  <c r="T81" i="42"/>
  <c r="P81" i="42"/>
  <c r="X81" i="42" s="1"/>
  <c r="L81" i="42"/>
  <c r="H81" i="42"/>
  <c r="N81" i="42" s="1"/>
  <c r="D81" i="42"/>
  <c r="B81" i="42"/>
  <c r="Z80" i="42"/>
  <c r="X80" i="42"/>
  <c r="V80" i="42"/>
  <c r="N80" i="42"/>
  <c r="L80" i="42"/>
  <c r="J80" i="42"/>
  <c r="B80" i="42"/>
  <c r="Z79" i="42"/>
  <c r="X79" i="42"/>
  <c r="N79" i="42"/>
  <c r="L79" i="42"/>
  <c r="B79" i="42"/>
  <c r="Z78" i="42"/>
  <c r="T78" i="42"/>
  <c r="P78" i="42"/>
  <c r="X78" i="42" s="1"/>
  <c r="L78" i="42"/>
  <c r="J78" i="42"/>
  <c r="H78" i="42"/>
  <c r="N78" i="42" s="1"/>
  <c r="D78" i="42"/>
  <c r="B78" i="42"/>
  <c r="X77" i="42"/>
  <c r="Z77" i="42" s="1"/>
  <c r="L77" i="42"/>
  <c r="N77" i="42" s="1"/>
  <c r="J77" i="42"/>
  <c r="B77" i="42"/>
  <c r="Z76" i="42"/>
  <c r="X76" i="42"/>
  <c r="V76" i="42"/>
  <c r="N76" i="42"/>
  <c r="L76" i="42"/>
  <c r="B76" i="42"/>
  <c r="Z75" i="42"/>
  <c r="X75" i="42"/>
  <c r="N75" i="42"/>
  <c r="L75" i="42"/>
  <c r="B75" i="42"/>
  <c r="Z74" i="42"/>
  <c r="X74" i="42"/>
  <c r="N74" i="42"/>
  <c r="L74" i="42"/>
  <c r="B74" i="42"/>
  <c r="X73" i="42"/>
  <c r="T73" i="42"/>
  <c r="Z73" i="42" s="1"/>
  <c r="P73" i="42"/>
  <c r="L73" i="42"/>
  <c r="N73" i="42" s="1"/>
  <c r="H73" i="42"/>
  <c r="D73" i="42"/>
  <c r="B73" i="42"/>
  <c r="Z72" i="42"/>
  <c r="X72" i="42"/>
  <c r="L72" i="42"/>
  <c r="N72" i="42" s="1"/>
  <c r="J72" i="42"/>
  <c r="B72" i="42"/>
  <c r="X71" i="42"/>
  <c r="T71" i="42"/>
  <c r="Z71" i="42" s="1"/>
  <c r="P71" i="42"/>
  <c r="H71" i="42"/>
  <c r="D71" i="42"/>
  <c r="L71" i="42" s="1"/>
  <c r="B71" i="42"/>
  <c r="Z70" i="42"/>
  <c r="X70" i="42"/>
  <c r="L70" i="42"/>
  <c r="N70" i="42" s="1"/>
  <c r="B70" i="42"/>
  <c r="T69" i="42"/>
  <c r="P69" i="42"/>
  <c r="H69" i="42"/>
  <c r="D69" i="42"/>
  <c r="L69" i="42" s="1"/>
  <c r="N69" i="42" s="1"/>
  <c r="B69" i="42"/>
  <c r="Z68" i="42"/>
  <c r="X68" i="42"/>
  <c r="V68" i="42"/>
  <c r="N68" i="42"/>
  <c r="L68" i="42"/>
  <c r="B68" i="42"/>
  <c r="T67" i="42"/>
  <c r="P67" i="42"/>
  <c r="X67" i="42" s="1"/>
  <c r="Z67" i="42" s="1"/>
  <c r="L67" i="42"/>
  <c r="H67" i="42"/>
  <c r="N67" i="42" s="1"/>
  <c r="D67" i="42"/>
  <c r="B67" i="42"/>
  <c r="Z66" i="42"/>
  <c r="X66" i="42"/>
  <c r="N66" i="42"/>
  <c r="L66" i="42"/>
  <c r="B66" i="42"/>
  <c r="T65" i="42"/>
  <c r="P65" i="42"/>
  <c r="L65" i="42"/>
  <c r="H65" i="42"/>
  <c r="N65" i="42" s="1"/>
  <c r="D65" i="42"/>
  <c r="B65" i="42"/>
  <c r="Z64" i="42"/>
  <c r="X64" i="42"/>
  <c r="V64" i="42"/>
  <c r="N64" i="42"/>
  <c r="L64" i="42"/>
  <c r="J64" i="42"/>
  <c r="B64" i="42"/>
  <c r="T63" i="42"/>
  <c r="Z63" i="42" s="1"/>
  <c r="P63" i="42"/>
  <c r="X63" i="42" s="1"/>
  <c r="H63" i="42"/>
  <c r="D63" i="42"/>
  <c r="B63" i="42"/>
  <c r="X62" i="42"/>
  <c r="Z62" i="42" s="1"/>
  <c r="N62" i="42"/>
  <c r="L62" i="42"/>
  <c r="B62" i="42"/>
  <c r="X61" i="42"/>
  <c r="T61" i="42"/>
  <c r="Z61" i="42" s="1"/>
  <c r="P61" i="42"/>
  <c r="J61" i="42"/>
  <c r="H61" i="42"/>
  <c r="D61" i="42"/>
  <c r="L61" i="42" s="1"/>
  <c r="N61" i="42" s="1"/>
  <c r="B61" i="42"/>
  <c r="Z60" i="42"/>
  <c r="X60" i="42"/>
  <c r="N60" i="42"/>
  <c r="L60" i="42"/>
  <c r="J60" i="42"/>
  <c r="B60" i="42"/>
  <c r="X59" i="42"/>
  <c r="T59" i="42"/>
  <c r="Z59" i="42" s="1"/>
  <c r="P59" i="42"/>
  <c r="H59" i="42"/>
  <c r="D59" i="42"/>
  <c r="L59" i="42" s="1"/>
  <c r="B59" i="42"/>
  <c r="Z58" i="42"/>
  <c r="X58" i="42"/>
  <c r="L58" i="42"/>
  <c r="N58" i="42" s="1"/>
  <c r="B58" i="42"/>
  <c r="Z57" i="42"/>
  <c r="X57" i="42"/>
  <c r="L57" i="42"/>
  <c r="N57" i="42" s="1"/>
  <c r="B57" i="42"/>
  <c r="Z56" i="42"/>
  <c r="X56" i="42"/>
  <c r="V56" i="42"/>
  <c r="N56" i="42"/>
  <c r="L56" i="42"/>
  <c r="J56" i="42"/>
  <c r="B56" i="42"/>
  <c r="T55" i="42"/>
  <c r="P55" i="42"/>
  <c r="X55" i="42" s="1"/>
  <c r="H55" i="42"/>
  <c r="D55" i="42"/>
  <c r="B55" i="42"/>
  <c r="X54" i="42"/>
  <c r="Z54" i="42" s="1"/>
  <c r="N54" i="42"/>
  <c r="L54" i="42"/>
  <c r="B54" i="42"/>
  <c r="X53" i="42"/>
  <c r="T53" i="42"/>
  <c r="Z53" i="42" s="1"/>
  <c r="P53" i="42"/>
  <c r="L53" i="42"/>
  <c r="N53" i="42" s="1"/>
  <c r="J53" i="42"/>
  <c r="H53" i="42"/>
  <c r="D53" i="42"/>
  <c r="B53" i="42"/>
  <c r="Z52" i="42"/>
  <c r="X52" i="42"/>
  <c r="L52" i="42"/>
  <c r="N52" i="42" s="1"/>
  <c r="J52" i="42"/>
  <c r="B52" i="42"/>
  <c r="X51" i="42"/>
  <c r="T51" i="42"/>
  <c r="Z51" i="42" s="1"/>
  <c r="P51" i="42"/>
  <c r="H51" i="42"/>
  <c r="D51" i="42"/>
  <c r="L51" i="42" s="1"/>
  <c r="B51" i="42"/>
  <c r="Z50" i="42"/>
  <c r="X50" i="42"/>
  <c r="L50" i="42"/>
  <c r="N50" i="42" s="1"/>
  <c r="B50" i="42"/>
  <c r="T49" i="42"/>
  <c r="P49" i="42"/>
  <c r="H49" i="42"/>
  <c r="D49" i="42"/>
  <c r="L49" i="42" s="1"/>
  <c r="B49" i="42"/>
  <c r="Z48" i="42"/>
  <c r="X48" i="42"/>
  <c r="V48" i="42"/>
  <c r="N48" i="42"/>
  <c r="L48" i="42"/>
  <c r="B48" i="42"/>
  <c r="Z47" i="42"/>
  <c r="X47" i="42"/>
  <c r="N47" i="42"/>
  <c r="L47" i="42"/>
  <c r="B47" i="42"/>
  <c r="X46" i="42"/>
  <c r="Z46" i="42" s="1"/>
  <c r="N46" i="42"/>
  <c r="L46" i="42"/>
  <c r="B46" i="42"/>
  <c r="X45" i="42"/>
  <c r="Z45" i="42" s="1"/>
  <c r="N45" i="42"/>
  <c r="L45" i="42"/>
  <c r="J45" i="42"/>
  <c r="B45" i="42"/>
  <c r="Z44" i="42"/>
  <c r="X44" i="42"/>
  <c r="V44" i="42"/>
  <c r="N44" i="42"/>
  <c r="L44" i="42"/>
  <c r="B44" i="42"/>
  <c r="X43" i="42"/>
  <c r="Z43" i="42" s="1"/>
  <c r="L43" i="42"/>
  <c r="N43" i="42" s="1"/>
  <c r="B43" i="42"/>
  <c r="X42" i="42"/>
  <c r="Z42" i="42" s="1"/>
  <c r="N42" i="42"/>
  <c r="L42" i="42"/>
  <c r="B42" i="42"/>
  <c r="Z41" i="42"/>
  <c r="X41" i="42"/>
  <c r="N41" i="42"/>
  <c r="L41" i="42"/>
  <c r="J41" i="42"/>
  <c r="B41" i="42"/>
  <c r="Z40" i="42"/>
  <c r="X40" i="42"/>
  <c r="V40" i="42"/>
  <c r="N40" i="42"/>
  <c r="L40" i="42"/>
  <c r="B40" i="42"/>
  <c r="X39" i="42"/>
  <c r="Z39" i="42" s="1"/>
  <c r="L39" i="42"/>
  <c r="N39" i="42" s="1"/>
  <c r="B39" i="42"/>
  <c r="T38" i="42"/>
  <c r="P38" i="42"/>
  <c r="X38" i="42" s="1"/>
  <c r="J38" i="42"/>
  <c r="H38" i="42"/>
  <c r="D38" i="42"/>
  <c r="L38" i="42" s="1"/>
  <c r="N38" i="42" s="1"/>
  <c r="B38" i="42"/>
  <c r="X37" i="42"/>
  <c r="Z37" i="42" s="1"/>
  <c r="V37" i="42"/>
  <c r="N37" i="42"/>
  <c r="L37" i="42"/>
  <c r="B37" i="42"/>
  <c r="Z36" i="42"/>
  <c r="X36" i="42"/>
  <c r="L36" i="42"/>
  <c r="N36" i="42" s="1"/>
  <c r="J36" i="42"/>
  <c r="B36" i="42"/>
  <c r="X35" i="42"/>
  <c r="Z35" i="42" s="1"/>
  <c r="N35" i="42"/>
  <c r="L35" i="42"/>
  <c r="B35" i="42"/>
  <c r="Z34" i="42"/>
  <c r="X34" i="42"/>
  <c r="N34" i="42"/>
  <c r="L34" i="42"/>
  <c r="B34" i="42"/>
  <c r="X33" i="42"/>
  <c r="Z33" i="42" s="1"/>
  <c r="V33" i="42"/>
  <c r="N33" i="42"/>
  <c r="L33" i="42"/>
  <c r="B33" i="42"/>
  <c r="Z32" i="42"/>
  <c r="X32" i="42"/>
  <c r="L32" i="42"/>
  <c r="N32" i="42" s="1"/>
  <c r="J32" i="42"/>
  <c r="B32" i="42"/>
  <c r="X31" i="42"/>
  <c r="Z31" i="42" s="1"/>
  <c r="N31" i="42"/>
  <c r="L31" i="42"/>
  <c r="B31" i="42"/>
  <c r="Z30" i="42"/>
  <c r="X30" i="42"/>
  <c r="N30" i="42"/>
  <c r="L30" i="42"/>
  <c r="B30" i="42"/>
  <c r="X29" i="42"/>
  <c r="Z29" i="42" s="1"/>
  <c r="V29" i="42"/>
  <c r="N29" i="42"/>
  <c r="L29" i="42"/>
  <c r="B29" i="42"/>
  <c r="T28" i="42"/>
  <c r="P28" i="42"/>
  <c r="X28" i="42" s="1"/>
  <c r="Z28" i="42" s="1"/>
  <c r="N28" i="42"/>
  <c r="L28" i="42"/>
  <c r="H28" i="42"/>
  <c r="D28" i="42"/>
  <c r="B28" i="42"/>
  <c r="T27" i="42"/>
  <c r="P27" i="42"/>
  <c r="H27" i="42"/>
  <c r="D27" i="42"/>
  <c r="P25" i="42"/>
  <c r="H25" i="42"/>
  <c r="Z23" i="42"/>
  <c r="X23" i="42"/>
  <c r="N23" i="42"/>
  <c r="L23" i="42"/>
  <c r="J23" i="42"/>
  <c r="B23" i="42"/>
  <c r="Z22" i="42"/>
  <c r="X22" i="42"/>
  <c r="N22" i="42"/>
  <c r="L22" i="42"/>
  <c r="B22" i="42"/>
  <c r="Z21" i="42"/>
  <c r="X21" i="42"/>
  <c r="L21" i="42"/>
  <c r="N21" i="42" s="1"/>
  <c r="B21" i="42"/>
  <c r="X20" i="42"/>
  <c r="V20" i="42"/>
  <c r="T20" i="42"/>
  <c r="Z20" i="42" s="1"/>
  <c r="P20" i="42"/>
  <c r="J20" i="42"/>
  <c r="H20" i="42"/>
  <c r="L20" i="42" s="1"/>
  <c r="N20" i="42" s="1"/>
  <c r="D20" i="42"/>
  <c r="Z18" i="42"/>
  <c r="P18" i="42"/>
  <c r="X18" i="42" s="1"/>
  <c r="N18" i="42"/>
  <c r="L18" i="42"/>
  <c r="D18" i="42"/>
  <c r="B18" i="42"/>
  <c r="X17" i="42"/>
  <c r="Z17" i="42" s="1"/>
  <c r="P17" i="42"/>
  <c r="D17" i="42"/>
  <c r="L17" i="42" s="1"/>
  <c r="N17" i="42" s="1"/>
  <c r="B17" i="42"/>
  <c r="Z16" i="42"/>
  <c r="X16" i="42"/>
  <c r="P16" i="42"/>
  <c r="N16" i="42"/>
  <c r="L16" i="42"/>
  <c r="D16" i="42"/>
  <c r="B16" i="42"/>
  <c r="Z15" i="42"/>
  <c r="X15" i="42"/>
  <c r="P15" i="42"/>
  <c r="N15" i="42"/>
  <c r="D15" i="42"/>
  <c r="B15" i="42"/>
  <c r="Z14" i="42"/>
  <c r="P14" i="42"/>
  <c r="X14" i="42" s="1"/>
  <c r="N14" i="42"/>
  <c r="L14" i="42"/>
  <c r="D14" i="42"/>
  <c r="B14" i="42"/>
  <c r="P13" i="42"/>
  <c r="P12" i="42" s="1"/>
  <c r="N13" i="42"/>
  <c r="L13" i="42"/>
  <c r="D13" i="42"/>
  <c r="B13" i="42"/>
  <c r="T12" i="42"/>
  <c r="H12" i="42"/>
  <c r="J116" i="42" s="1"/>
  <c r="D4" i="42"/>
  <c r="X125" i="39"/>
  <c r="Z125" i="39" s="1"/>
  <c r="N125" i="39"/>
  <c r="L125" i="39"/>
  <c r="Z121" i="39"/>
  <c r="X121" i="39"/>
  <c r="P121" i="39"/>
  <c r="N121" i="39"/>
  <c r="D121" i="39"/>
  <c r="L121" i="39" s="1"/>
  <c r="B121" i="39"/>
  <c r="X120" i="39"/>
  <c r="Z120" i="39" s="1"/>
  <c r="P120" i="39"/>
  <c r="L120" i="39"/>
  <c r="N120" i="39" s="1"/>
  <c r="D120" i="39"/>
  <c r="B120" i="39"/>
  <c r="V119" i="39"/>
  <c r="P119" i="39"/>
  <c r="X119" i="39" s="1"/>
  <c r="Z119" i="39" s="1"/>
  <c r="D119" i="39"/>
  <c r="L119" i="39" s="1"/>
  <c r="N119" i="39" s="1"/>
  <c r="B119" i="39"/>
  <c r="P118" i="39"/>
  <c r="X118" i="39" s="1"/>
  <c r="Z118" i="39" s="1"/>
  <c r="N118" i="39"/>
  <c r="L118" i="39"/>
  <c r="D118" i="39"/>
  <c r="B118" i="39"/>
  <c r="T117" i="39"/>
  <c r="H117" i="39"/>
  <c r="D117" i="39"/>
  <c r="L117" i="39" s="1"/>
  <c r="Z115" i="39"/>
  <c r="X115" i="39"/>
  <c r="N115" i="39"/>
  <c r="L115" i="39"/>
  <c r="B115" i="39"/>
  <c r="T114" i="39"/>
  <c r="P114" i="39"/>
  <c r="X114" i="39" s="1"/>
  <c r="Z114" i="39" s="1"/>
  <c r="L114" i="39"/>
  <c r="H114" i="39"/>
  <c r="D114" i="39"/>
  <c r="B114" i="39"/>
  <c r="Z113" i="39"/>
  <c r="X113" i="39"/>
  <c r="N113" i="39"/>
  <c r="L113" i="39"/>
  <c r="B113" i="39"/>
  <c r="Z112" i="39"/>
  <c r="X112" i="39"/>
  <c r="N112" i="39"/>
  <c r="L112" i="39"/>
  <c r="B112" i="39"/>
  <c r="Z111" i="39"/>
  <c r="X111" i="39"/>
  <c r="L111" i="39"/>
  <c r="N111" i="39" s="1"/>
  <c r="B111" i="39"/>
  <c r="T110" i="39"/>
  <c r="P110" i="39"/>
  <c r="H110" i="39"/>
  <c r="D110" i="39"/>
  <c r="L110" i="39" s="1"/>
  <c r="N110" i="39" s="1"/>
  <c r="B110" i="39"/>
  <c r="X109" i="39"/>
  <c r="Z109" i="39" s="1"/>
  <c r="V109" i="39"/>
  <c r="N109" i="39"/>
  <c r="L109" i="39"/>
  <c r="B109" i="39"/>
  <c r="T108" i="39"/>
  <c r="P108" i="39"/>
  <c r="X108" i="39" s="1"/>
  <c r="Z108" i="39" s="1"/>
  <c r="N108" i="39"/>
  <c r="L108" i="39"/>
  <c r="H108" i="39"/>
  <c r="D108" i="39"/>
  <c r="B108" i="39"/>
  <c r="Z107" i="39"/>
  <c r="X107" i="39"/>
  <c r="N107" i="39"/>
  <c r="L107" i="39"/>
  <c r="B107" i="39"/>
  <c r="Z106" i="39"/>
  <c r="X106" i="39"/>
  <c r="L106" i="39"/>
  <c r="N106" i="39" s="1"/>
  <c r="B106" i="39"/>
  <c r="T105" i="39"/>
  <c r="P105" i="39"/>
  <c r="H105" i="39"/>
  <c r="D105" i="39"/>
  <c r="L105" i="39" s="1"/>
  <c r="B105" i="39"/>
  <c r="Z104" i="39"/>
  <c r="X104" i="39"/>
  <c r="N104" i="39"/>
  <c r="L104" i="39"/>
  <c r="B104" i="39"/>
  <c r="Z103" i="39"/>
  <c r="X103" i="39"/>
  <c r="L103" i="39"/>
  <c r="N103" i="39" s="1"/>
  <c r="B103" i="39"/>
  <c r="Z102" i="39"/>
  <c r="X102" i="39"/>
  <c r="N102" i="39"/>
  <c r="L102" i="39"/>
  <c r="B102" i="39"/>
  <c r="Z101" i="39"/>
  <c r="X101" i="39"/>
  <c r="N101" i="39"/>
  <c r="L101" i="39"/>
  <c r="J101" i="39"/>
  <c r="B101" i="39"/>
  <c r="Z100" i="39"/>
  <c r="X100" i="39"/>
  <c r="N100" i="39"/>
  <c r="L100" i="39"/>
  <c r="B100" i="39"/>
  <c r="Z99" i="39"/>
  <c r="X99" i="39"/>
  <c r="L99" i="39"/>
  <c r="N99" i="39" s="1"/>
  <c r="B99" i="39"/>
  <c r="X98" i="39"/>
  <c r="Z98" i="39" s="1"/>
  <c r="L98" i="39"/>
  <c r="N98" i="39" s="1"/>
  <c r="B98" i="39"/>
  <c r="X97" i="39"/>
  <c r="Z97" i="39" s="1"/>
  <c r="L97" i="39"/>
  <c r="N97" i="39" s="1"/>
  <c r="B97" i="39"/>
  <c r="Z96" i="39"/>
  <c r="X96" i="39"/>
  <c r="N96" i="39"/>
  <c r="L96" i="39"/>
  <c r="B96" i="39"/>
  <c r="X95" i="39"/>
  <c r="Z95" i="39" s="1"/>
  <c r="L95" i="39"/>
  <c r="N95" i="39" s="1"/>
  <c r="B95" i="39"/>
  <c r="Z94" i="39"/>
  <c r="X94" i="39"/>
  <c r="N94" i="39"/>
  <c r="L94" i="39"/>
  <c r="B94" i="39"/>
  <c r="X93" i="39"/>
  <c r="T93" i="39"/>
  <c r="Z93" i="39" s="1"/>
  <c r="P93" i="39"/>
  <c r="J93" i="39"/>
  <c r="H93" i="39"/>
  <c r="D93" i="39"/>
  <c r="L93" i="39" s="1"/>
  <c r="N93" i="39" s="1"/>
  <c r="B93" i="39"/>
  <c r="Z92" i="39"/>
  <c r="X92" i="39"/>
  <c r="L92" i="39"/>
  <c r="N92" i="39" s="1"/>
  <c r="B92" i="39"/>
  <c r="X91" i="39"/>
  <c r="T91" i="39"/>
  <c r="P91" i="39"/>
  <c r="H91" i="39"/>
  <c r="D91" i="39"/>
  <c r="B91" i="39"/>
  <c r="Z90" i="39"/>
  <c r="X90" i="39"/>
  <c r="V90" i="39"/>
  <c r="N90" i="39"/>
  <c r="L90" i="39"/>
  <c r="B90" i="39"/>
  <c r="X89" i="39"/>
  <c r="Z89" i="39" s="1"/>
  <c r="L89" i="39"/>
  <c r="N89" i="39" s="1"/>
  <c r="B89" i="39"/>
  <c r="X88" i="39"/>
  <c r="Z88" i="39" s="1"/>
  <c r="N88" i="39"/>
  <c r="L88" i="39"/>
  <c r="B88" i="39"/>
  <c r="Z87" i="39"/>
  <c r="X87" i="39"/>
  <c r="N87" i="39"/>
  <c r="L87" i="39"/>
  <c r="B87" i="39"/>
  <c r="Z86" i="39"/>
  <c r="X86" i="39"/>
  <c r="L86" i="39"/>
  <c r="N86" i="39" s="1"/>
  <c r="B86" i="39"/>
  <c r="X85" i="39"/>
  <c r="Z85" i="39" s="1"/>
  <c r="T85" i="39"/>
  <c r="P85" i="39"/>
  <c r="H85" i="39"/>
  <c r="D85" i="39"/>
  <c r="L85" i="39" s="1"/>
  <c r="B85" i="39"/>
  <c r="Z84" i="39"/>
  <c r="X84" i="39"/>
  <c r="V84" i="39"/>
  <c r="N84" i="39"/>
  <c r="L84" i="39"/>
  <c r="B84" i="39"/>
  <c r="Z83" i="39"/>
  <c r="X83" i="39"/>
  <c r="N83" i="39"/>
  <c r="L83" i="39"/>
  <c r="B83" i="39"/>
  <c r="T82" i="39"/>
  <c r="P82" i="39"/>
  <c r="H82" i="39"/>
  <c r="D82" i="39"/>
  <c r="L82" i="39" s="1"/>
  <c r="N82" i="39" s="1"/>
  <c r="B82" i="39"/>
  <c r="X81" i="39"/>
  <c r="Z81" i="39" s="1"/>
  <c r="N81" i="39"/>
  <c r="L81" i="39"/>
  <c r="B81" i="39"/>
  <c r="Z80" i="39"/>
  <c r="X80" i="39"/>
  <c r="L80" i="39"/>
  <c r="N80" i="39" s="1"/>
  <c r="B80" i="39"/>
  <c r="X79" i="39"/>
  <c r="Z79" i="39" s="1"/>
  <c r="N79" i="39"/>
  <c r="L79" i="39"/>
  <c r="B79" i="39"/>
  <c r="Z78" i="39"/>
  <c r="X78" i="39"/>
  <c r="N78" i="39"/>
  <c r="L78" i="39"/>
  <c r="J78" i="39"/>
  <c r="B78" i="39"/>
  <c r="T77" i="39"/>
  <c r="P77" i="39"/>
  <c r="X77" i="39" s="1"/>
  <c r="H77" i="39"/>
  <c r="D77" i="39"/>
  <c r="B77" i="39"/>
  <c r="X76" i="39"/>
  <c r="Z76" i="39" s="1"/>
  <c r="N76" i="39"/>
  <c r="L76" i="39"/>
  <c r="B76" i="39"/>
  <c r="T75" i="39"/>
  <c r="P75" i="39"/>
  <c r="X75" i="39" s="1"/>
  <c r="H75" i="39"/>
  <c r="D75" i="39"/>
  <c r="L75" i="39" s="1"/>
  <c r="B75" i="39"/>
  <c r="Z74" i="39"/>
  <c r="X74" i="39"/>
  <c r="N74" i="39"/>
  <c r="L74" i="39"/>
  <c r="B74" i="39"/>
  <c r="X73" i="39"/>
  <c r="T73" i="39"/>
  <c r="Z73" i="39" s="1"/>
  <c r="P73" i="39"/>
  <c r="L73" i="39"/>
  <c r="N73" i="39" s="1"/>
  <c r="H73" i="39"/>
  <c r="D73" i="39"/>
  <c r="B73" i="39"/>
  <c r="Z72" i="39"/>
  <c r="X72" i="39"/>
  <c r="L72" i="39"/>
  <c r="N72" i="39" s="1"/>
  <c r="B72" i="39"/>
  <c r="T71" i="39"/>
  <c r="P71" i="39"/>
  <c r="H71" i="39"/>
  <c r="D71" i="39"/>
  <c r="L71" i="39" s="1"/>
  <c r="B71" i="39"/>
  <c r="Z70" i="39"/>
  <c r="X70" i="39"/>
  <c r="N70" i="39"/>
  <c r="L70" i="39"/>
  <c r="B70" i="39"/>
  <c r="T69" i="39"/>
  <c r="P69" i="39"/>
  <c r="X69" i="39" s="1"/>
  <c r="H69" i="39"/>
  <c r="N69" i="39" s="1"/>
  <c r="D69" i="39"/>
  <c r="L69" i="39" s="1"/>
  <c r="B69" i="39"/>
  <c r="Z68" i="39"/>
  <c r="X68" i="39"/>
  <c r="V68" i="39"/>
  <c r="N68" i="39"/>
  <c r="L68" i="39"/>
  <c r="B68" i="39"/>
  <c r="Z67" i="39"/>
  <c r="X67" i="39"/>
  <c r="N67" i="39"/>
  <c r="L67" i="39"/>
  <c r="B67" i="39"/>
  <c r="T66" i="39"/>
  <c r="Z66" i="39" s="1"/>
  <c r="P66" i="39"/>
  <c r="N66" i="39"/>
  <c r="J66" i="39"/>
  <c r="H66" i="39"/>
  <c r="D66" i="39"/>
  <c r="L66" i="39" s="1"/>
  <c r="B66" i="39"/>
  <c r="X65" i="39"/>
  <c r="Z65" i="39" s="1"/>
  <c r="N65" i="39"/>
  <c r="L65" i="39"/>
  <c r="B65" i="39"/>
  <c r="Z64" i="39"/>
  <c r="T64" i="39"/>
  <c r="P64" i="39"/>
  <c r="X64" i="39" s="1"/>
  <c r="N64" i="39"/>
  <c r="L64" i="39"/>
  <c r="H64" i="39"/>
  <c r="D64" i="39"/>
  <c r="B64" i="39"/>
  <c r="Z63" i="39"/>
  <c r="X63" i="39"/>
  <c r="N63" i="39"/>
  <c r="L63" i="39"/>
  <c r="B63" i="39"/>
  <c r="Z62" i="39"/>
  <c r="T62" i="39"/>
  <c r="X62" i="39" s="1"/>
  <c r="P62" i="39"/>
  <c r="L62" i="39"/>
  <c r="H62" i="39"/>
  <c r="N62" i="39" s="1"/>
  <c r="D62" i="39"/>
  <c r="B62" i="39"/>
  <c r="X61" i="39"/>
  <c r="Z61" i="39" s="1"/>
  <c r="L61" i="39"/>
  <c r="N61" i="39" s="1"/>
  <c r="B61" i="39"/>
  <c r="Z60" i="39"/>
  <c r="X60" i="39"/>
  <c r="N60" i="39"/>
  <c r="L60" i="39"/>
  <c r="B60" i="39"/>
  <c r="Z59" i="39"/>
  <c r="X59" i="39"/>
  <c r="N59" i="39"/>
  <c r="L59" i="39"/>
  <c r="B59" i="39"/>
  <c r="T58" i="39"/>
  <c r="P58" i="39"/>
  <c r="X58" i="39" s="1"/>
  <c r="N58" i="39"/>
  <c r="H58" i="39"/>
  <c r="D58" i="39"/>
  <c r="L58" i="39" s="1"/>
  <c r="B58" i="39"/>
  <c r="X57" i="39"/>
  <c r="Z57" i="39" s="1"/>
  <c r="V57" i="39"/>
  <c r="N57" i="39"/>
  <c r="L57" i="39"/>
  <c r="B57" i="39"/>
  <c r="Z56" i="39"/>
  <c r="T56" i="39"/>
  <c r="P56" i="39"/>
  <c r="X56" i="39" s="1"/>
  <c r="L56" i="39"/>
  <c r="N56" i="39" s="1"/>
  <c r="H56" i="39"/>
  <c r="D56" i="39"/>
  <c r="B56" i="39"/>
  <c r="Z55" i="39"/>
  <c r="X55" i="39"/>
  <c r="L55" i="39"/>
  <c r="N55" i="39" s="1"/>
  <c r="B55" i="39"/>
  <c r="Z54" i="39"/>
  <c r="V54" i="39"/>
  <c r="T54" i="39"/>
  <c r="X54" i="39" s="1"/>
  <c r="P54" i="39"/>
  <c r="L54" i="39"/>
  <c r="H54" i="39"/>
  <c r="N54" i="39" s="1"/>
  <c r="D54" i="39"/>
  <c r="B54" i="39"/>
  <c r="X53" i="39"/>
  <c r="Z53" i="39" s="1"/>
  <c r="L53" i="39"/>
  <c r="N53" i="39" s="1"/>
  <c r="J53" i="39"/>
  <c r="B53" i="39"/>
  <c r="V52" i="39"/>
  <c r="T52" i="39"/>
  <c r="P52" i="39"/>
  <c r="X52" i="39" s="1"/>
  <c r="Z52" i="39" s="1"/>
  <c r="H52" i="39"/>
  <c r="D52" i="39"/>
  <c r="L52" i="39" s="1"/>
  <c r="B52" i="39"/>
  <c r="Z51" i="39"/>
  <c r="X51" i="39"/>
  <c r="N51" i="39"/>
  <c r="L51" i="39"/>
  <c r="B51" i="39"/>
  <c r="Z50" i="39"/>
  <c r="X50" i="39"/>
  <c r="N50" i="39"/>
  <c r="L50" i="39"/>
  <c r="B50" i="39"/>
  <c r="X49" i="39"/>
  <c r="Z49" i="39" s="1"/>
  <c r="N49" i="39"/>
  <c r="L49" i="39"/>
  <c r="B49" i="39"/>
  <c r="X48" i="39"/>
  <c r="Z48" i="39" s="1"/>
  <c r="N48" i="39"/>
  <c r="L48" i="39"/>
  <c r="B48" i="39"/>
  <c r="Z47" i="39"/>
  <c r="X47" i="39"/>
  <c r="N47" i="39"/>
  <c r="L47" i="39"/>
  <c r="B47" i="39"/>
  <c r="Z46" i="39"/>
  <c r="X46" i="39"/>
  <c r="V46" i="39"/>
  <c r="L46" i="39"/>
  <c r="N46" i="39" s="1"/>
  <c r="B46" i="39"/>
  <c r="X45" i="39"/>
  <c r="Z45" i="39" s="1"/>
  <c r="V45" i="39"/>
  <c r="N45" i="39"/>
  <c r="L45" i="39"/>
  <c r="B45" i="39"/>
  <c r="Z44" i="39"/>
  <c r="X44" i="39"/>
  <c r="N44" i="39"/>
  <c r="L44" i="39"/>
  <c r="J44" i="39"/>
  <c r="B44" i="39"/>
  <c r="X43" i="39"/>
  <c r="Z43" i="39" s="1"/>
  <c r="V43" i="39"/>
  <c r="L43" i="39"/>
  <c r="N43" i="39" s="1"/>
  <c r="B43" i="39"/>
  <c r="X42" i="39"/>
  <c r="Z42" i="39" s="1"/>
  <c r="V42" i="39"/>
  <c r="L42" i="39"/>
  <c r="N42" i="39" s="1"/>
  <c r="B42" i="39"/>
  <c r="T41" i="39"/>
  <c r="Z41" i="39" s="1"/>
  <c r="P41" i="39"/>
  <c r="X41" i="39" s="1"/>
  <c r="J41" i="39"/>
  <c r="H41" i="39"/>
  <c r="D41" i="39"/>
  <c r="L41" i="39" s="1"/>
  <c r="N41" i="39" s="1"/>
  <c r="B41" i="39"/>
  <c r="X40" i="39"/>
  <c r="Z40" i="39" s="1"/>
  <c r="V40" i="39"/>
  <c r="N40" i="39"/>
  <c r="L40" i="39"/>
  <c r="B40" i="39"/>
  <c r="X39" i="39"/>
  <c r="Z39" i="39" s="1"/>
  <c r="L39" i="39"/>
  <c r="N39" i="39" s="1"/>
  <c r="J39" i="39"/>
  <c r="B39" i="39"/>
  <c r="X38" i="39"/>
  <c r="Z38" i="39" s="1"/>
  <c r="N38" i="39"/>
  <c r="L38" i="39"/>
  <c r="B38" i="39"/>
  <c r="Z37" i="39"/>
  <c r="X37" i="39"/>
  <c r="V37" i="39"/>
  <c r="N37" i="39"/>
  <c r="L37" i="39"/>
  <c r="B37" i="39"/>
  <c r="X36" i="39"/>
  <c r="Z36" i="39" s="1"/>
  <c r="V36" i="39"/>
  <c r="N36" i="39"/>
  <c r="L36" i="39"/>
  <c r="B36" i="39"/>
  <c r="X35" i="39"/>
  <c r="Z35" i="39" s="1"/>
  <c r="L35" i="39"/>
  <c r="N35" i="39" s="1"/>
  <c r="J35" i="39"/>
  <c r="B35" i="39"/>
  <c r="X34" i="39"/>
  <c r="Z34" i="39" s="1"/>
  <c r="N34" i="39"/>
  <c r="L34" i="39"/>
  <c r="B34" i="39"/>
  <c r="Z33" i="39"/>
  <c r="X33" i="39"/>
  <c r="V33" i="39"/>
  <c r="N33" i="39"/>
  <c r="L33" i="39"/>
  <c r="B33" i="39"/>
  <c r="X32" i="39"/>
  <c r="Z32" i="39" s="1"/>
  <c r="V32" i="39"/>
  <c r="N32" i="39"/>
  <c r="L32" i="39"/>
  <c r="B32" i="39"/>
  <c r="T31" i="39"/>
  <c r="P31" i="39"/>
  <c r="X31" i="39" s="1"/>
  <c r="Z31" i="39" s="1"/>
  <c r="N31" i="39"/>
  <c r="L31" i="39"/>
  <c r="H31" i="39"/>
  <c r="D31" i="39"/>
  <c r="B31" i="39"/>
  <c r="T30" i="39"/>
  <c r="P30" i="39"/>
  <c r="H30" i="39"/>
  <c r="D30" i="39"/>
  <c r="T28" i="39"/>
  <c r="H28" i="39"/>
  <c r="Z26" i="39"/>
  <c r="X26" i="39"/>
  <c r="N26" i="39"/>
  <c r="L26" i="39"/>
  <c r="B26" i="39"/>
  <c r="Z25" i="39"/>
  <c r="X25" i="39"/>
  <c r="V25" i="39"/>
  <c r="N25" i="39"/>
  <c r="L25" i="39"/>
  <c r="J25" i="39"/>
  <c r="B25" i="39"/>
  <c r="Z24" i="39"/>
  <c r="X24" i="39"/>
  <c r="L24" i="39"/>
  <c r="N24" i="39" s="1"/>
  <c r="B24" i="39"/>
  <c r="X23" i="39"/>
  <c r="Z23" i="39" s="1"/>
  <c r="V23" i="39"/>
  <c r="T23" i="39"/>
  <c r="P23" i="39"/>
  <c r="J23" i="39"/>
  <c r="H23" i="39"/>
  <c r="L23" i="39" s="1"/>
  <c r="N23" i="39" s="1"/>
  <c r="D23" i="39"/>
  <c r="Z21" i="39"/>
  <c r="P21" i="39"/>
  <c r="N21" i="39"/>
  <c r="L21" i="39"/>
  <c r="D21" i="39"/>
  <c r="B21" i="39"/>
  <c r="Z20" i="39"/>
  <c r="X20" i="39"/>
  <c r="P20" i="39"/>
  <c r="N20" i="39"/>
  <c r="D20" i="39"/>
  <c r="L20" i="39" s="1"/>
  <c r="B20" i="39"/>
  <c r="Z19" i="39"/>
  <c r="X19" i="39"/>
  <c r="P19" i="39"/>
  <c r="N19" i="39"/>
  <c r="L19" i="39"/>
  <c r="D19" i="39"/>
  <c r="B19" i="39"/>
  <c r="P18" i="39"/>
  <c r="X18" i="39" s="1"/>
  <c r="Z18" i="39" s="1"/>
  <c r="D18" i="39"/>
  <c r="L18" i="39" s="1"/>
  <c r="N18" i="39" s="1"/>
  <c r="B18" i="39"/>
  <c r="Z17" i="39"/>
  <c r="P17" i="39"/>
  <c r="X17" i="39" s="1"/>
  <c r="N17" i="39"/>
  <c r="L17" i="39"/>
  <c r="D17" i="39"/>
  <c r="B17" i="39"/>
  <c r="Z16" i="39"/>
  <c r="P16" i="39"/>
  <c r="X16" i="39" s="1"/>
  <c r="N16" i="39"/>
  <c r="L16" i="39"/>
  <c r="D16" i="39"/>
  <c r="B16" i="39"/>
  <c r="Z15" i="39"/>
  <c r="P15" i="39"/>
  <c r="X15" i="39" s="1"/>
  <c r="N15" i="39"/>
  <c r="D15" i="39"/>
  <c r="L15" i="39" s="1"/>
  <c r="B15" i="39"/>
  <c r="Z14" i="39"/>
  <c r="X14" i="39"/>
  <c r="P14" i="39"/>
  <c r="N14" i="39"/>
  <c r="D14" i="39"/>
  <c r="L14" i="39" s="1"/>
  <c r="B14" i="39"/>
  <c r="Z13" i="39"/>
  <c r="X13" i="39"/>
  <c r="P13" i="39"/>
  <c r="D13" i="39"/>
  <c r="D12" i="39" s="1"/>
  <c r="F47" i="39" s="1"/>
  <c r="B13" i="39"/>
  <c r="T12" i="39"/>
  <c r="V49" i="39" s="1"/>
  <c r="H12" i="39"/>
  <c r="D4" i="39"/>
  <c r="Z128" i="36"/>
  <c r="X128" i="36"/>
  <c r="N128" i="36"/>
  <c r="L128" i="36"/>
  <c r="Z124" i="36"/>
  <c r="P124" i="36"/>
  <c r="X124" i="36" s="1"/>
  <c r="N124" i="36"/>
  <c r="L124" i="36"/>
  <c r="F124" i="36"/>
  <c r="D124" i="36"/>
  <c r="B124" i="36"/>
  <c r="P123" i="36"/>
  <c r="X123" i="36" s="1"/>
  <c r="Z123" i="36" s="1"/>
  <c r="N123" i="36"/>
  <c r="J123" i="36"/>
  <c r="D123" i="36"/>
  <c r="L123" i="36" s="1"/>
  <c r="B123" i="36"/>
  <c r="P122" i="36"/>
  <c r="X122" i="36" s="1"/>
  <c r="Z122" i="36" s="1"/>
  <c r="L122" i="36"/>
  <c r="N122" i="36" s="1"/>
  <c r="D122" i="36"/>
  <c r="B122" i="36"/>
  <c r="X121" i="36"/>
  <c r="Z121" i="36" s="1"/>
  <c r="P121" i="36"/>
  <c r="J121" i="36"/>
  <c r="D121" i="36"/>
  <c r="B121" i="36"/>
  <c r="T120" i="36"/>
  <c r="J120" i="36"/>
  <c r="H120" i="36"/>
  <c r="Z118" i="36"/>
  <c r="X118" i="36"/>
  <c r="L118" i="36"/>
  <c r="N118" i="36" s="1"/>
  <c r="B118" i="36"/>
  <c r="X117" i="36"/>
  <c r="T117" i="36"/>
  <c r="P117" i="36"/>
  <c r="H117" i="36"/>
  <c r="D117" i="36"/>
  <c r="L117" i="36" s="1"/>
  <c r="B117" i="36"/>
  <c r="Z116" i="36"/>
  <c r="X116" i="36"/>
  <c r="N116" i="36"/>
  <c r="L116" i="36"/>
  <c r="B116" i="36"/>
  <c r="Z115" i="36"/>
  <c r="X115" i="36"/>
  <c r="N115" i="36"/>
  <c r="L115" i="36"/>
  <c r="B115" i="36"/>
  <c r="X114" i="36"/>
  <c r="Z114" i="36" s="1"/>
  <c r="N114" i="36"/>
  <c r="L114" i="36"/>
  <c r="J114" i="36"/>
  <c r="B114" i="36"/>
  <c r="T113" i="36"/>
  <c r="P113" i="36"/>
  <c r="X113" i="36" s="1"/>
  <c r="Z113" i="36" s="1"/>
  <c r="H113" i="36"/>
  <c r="D113" i="36"/>
  <c r="B113" i="36"/>
  <c r="Z112" i="36"/>
  <c r="X112" i="36"/>
  <c r="N112" i="36"/>
  <c r="L112" i="36"/>
  <c r="J112" i="36"/>
  <c r="B112" i="36"/>
  <c r="X111" i="36"/>
  <c r="T111" i="36"/>
  <c r="Z111" i="36" s="1"/>
  <c r="P111" i="36"/>
  <c r="H111" i="36"/>
  <c r="D111" i="36"/>
  <c r="B111" i="36"/>
  <c r="Z110" i="36"/>
  <c r="X110" i="36"/>
  <c r="L110" i="36"/>
  <c r="N110" i="36" s="1"/>
  <c r="B110" i="36"/>
  <c r="X109" i="36"/>
  <c r="Z109" i="36" s="1"/>
  <c r="L109" i="36"/>
  <c r="N109" i="36" s="1"/>
  <c r="B109" i="36"/>
  <c r="Z108" i="36"/>
  <c r="X108" i="36"/>
  <c r="T108" i="36"/>
  <c r="P108" i="36"/>
  <c r="N108" i="36"/>
  <c r="H108" i="36"/>
  <c r="L108" i="36" s="1"/>
  <c r="D108" i="36"/>
  <c r="B108" i="36"/>
  <c r="X107" i="36"/>
  <c r="Z107" i="36" s="1"/>
  <c r="L107" i="36"/>
  <c r="N107" i="36" s="1"/>
  <c r="B107" i="36"/>
  <c r="X106" i="36"/>
  <c r="Z106" i="36" s="1"/>
  <c r="N106" i="36"/>
  <c r="L106" i="36"/>
  <c r="J106" i="36"/>
  <c r="B106" i="36"/>
  <c r="Z105" i="36"/>
  <c r="X105" i="36"/>
  <c r="N105" i="36"/>
  <c r="L105" i="36"/>
  <c r="B105" i="36"/>
  <c r="Z104" i="36"/>
  <c r="X104" i="36"/>
  <c r="N104" i="36"/>
  <c r="L104" i="36"/>
  <c r="B104" i="36"/>
  <c r="X103" i="36"/>
  <c r="Z103" i="36" s="1"/>
  <c r="R103" i="36"/>
  <c r="L103" i="36"/>
  <c r="N103" i="36" s="1"/>
  <c r="B103" i="36"/>
  <c r="X102" i="36"/>
  <c r="Z102" i="36" s="1"/>
  <c r="N102" i="36"/>
  <c r="L102" i="36"/>
  <c r="J102" i="36"/>
  <c r="B102" i="36"/>
  <c r="X101" i="36"/>
  <c r="Z101" i="36" s="1"/>
  <c r="L101" i="36"/>
  <c r="N101" i="36" s="1"/>
  <c r="B101" i="36"/>
  <c r="Z100" i="36"/>
  <c r="X100" i="36"/>
  <c r="L100" i="36"/>
  <c r="N100" i="36" s="1"/>
  <c r="B100" i="36"/>
  <c r="X99" i="36"/>
  <c r="Z99" i="36" s="1"/>
  <c r="L99" i="36"/>
  <c r="N99" i="36" s="1"/>
  <c r="B99" i="36"/>
  <c r="X98" i="36"/>
  <c r="Z98" i="36" s="1"/>
  <c r="N98" i="36"/>
  <c r="L98" i="36"/>
  <c r="J98" i="36"/>
  <c r="B98" i="36"/>
  <c r="X97" i="36"/>
  <c r="Z97" i="36" s="1"/>
  <c r="L97" i="36"/>
  <c r="N97" i="36" s="1"/>
  <c r="B97" i="36"/>
  <c r="T96" i="36"/>
  <c r="P96" i="36"/>
  <c r="X96" i="36" s="1"/>
  <c r="Z96" i="36" s="1"/>
  <c r="H96" i="36"/>
  <c r="D96" i="36"/>
  <c r="L96" i="36" s="1"/>
  <c r="B96" i="36"/>
  <c r="X95" i="36"/>
  <c r="Z95" i="36" s="1"/>
  <c r="N95" i="36"/>
  <c r="L95" i="36"/>
  <c r="B95" i="36"/>
  <c r="Z94" i="36"/>
  <c r="X94" i="36"/>
  <c r="V94" i="36"/>
  <c r="T94" i="36"/>
  <c r="P94" i="36"/>
  <c r="L94" i="36"/>
  <c r="N94" i="36" s="1"/>
  <c r="H94" i="36"/>
  <c r="D94" i="36"/>
  <c r="B94" i="36"/>
  <c r="X93" i="36"/>
  <c r="Z93" i="36" s="1"/>
  <c r="L93" i="36"/>
  <c r="N93" i="36" s="1"/>
  <c r="B93" i="36"/>
  <c r="Z92" i="36"/>
  <c r="X92" i="36"/>
  <c r="V92" i="36"/>
  <c r="N92" i="36"/>
  <c r="L92" i="36"/>
  <c r="J92" i="36"/>
  <c r="B92" i="36"/>
  <c r="Z91" i="36"/>
  <c r="X91" i="36"/>
  <c r="L91" i="36"/>
  <c r="N91" i="36" s="1"/>
  <c r="B91" i="36"/>
  <c r="Z90" i="36"/>
  <c r="X90" i="36"/>
  <c r="N90" i="36"/>
  <c r="L90" i="36"/>
  <c r="B90" i="36"/>
  <c r="X89" i="36"/>
  <c r="Z89" i="36" s="1"/>
  <c r="L89" i="36"/>
  <c r="N89" i="36" s="1"/>
  <c r="B89" i="36"/>
  <c r="Z88" i="36"/>
  <c r="X88" i="36"/>
  <c r="T88" i="36"/>
  <c r="P88" i="36"/>
  <c r="N88" i="36"/>
  <c r="H88" i="36"/>
  <c r="D88" i="36"/>
  <c r="L88" i="36" s="1"/>
  <c r="B88" i="36"/>
  <c r="Z87" i="36"/>
  <c r="X87" i="36"/>
  <c r="N87" i="36"/>
  <c r="L87" i="36"/>
  <c r="B87" i="36"/>
  <c r="Z86" i="36"/>
  <c r="X86" i="36"/>
  <c r="N86" i="36"/>
  <c r="L86" i="36"/>
  <c r="J86" i="36"/>
  <c r="B86" i="36"/>
  <c r="Z85" i="36"/>
  <c r="T85" i="36"/>
  <c r="P85" i="36"/>
  <c r="X85" i="36" s="1"/>
  <c r="H85" i="36"/>
  <c r="N85" i="36" s="1"/>
  <c r="D85" i="36"/>
  <c r="L85" i="36" s="1"/>
  <c r="B85" i="36"/>
  <c r="X84" i="36"/>
  <c r="Z84" i="36" s="1"/>
  <c r="N84" i="36"/>
  <c r="L84" i="36"/>
  <c r="J84" i="36"/>
  <c r="B84" i="36"/>
  <c r="X83" i="36"/>
  <c r="Z83" i="36" s="1"/>
  <c r="N83" i="36"/>
  <c r="L83" i="36"/>
  <c r="B83" i="36"/>
  <c r="Z82" i="36"/>
  <c r="X82" i="36"/>
  <c r="V82" i="36"/>
  <c r="N82" i="36"/>
  <c r="L82" i="36"/>
  <c r="B82" i="36"/>
  <c r="Z81" i="36"/>
  <c r="X81" i="36"/>
  <c r="N81" i="36"/>
  <c r="L81" i="36"/>
  <c r="B81" i="36"/>
  <c r="X80" i="36"/>
  <c r="Z80" i="36" s="1"/>
  <c r="T80" i="36"/>
  <c r="P80" i="36"/>
  <c r="N80" i="36"/>
  <c r="L80" i="36"/>
  <c r="J80" i="36"/>
  <c r="H80" i="36"/>
  <c r="D80" i="36"/>
  <c r="B80" i="36"/>
  <c r="Z79" i="36"/>
  <c r="X79" i="36"/>
  <c r="L79" i="36"/>
  <c r="N79" i="36" s="1"/>
  <c r="B79" i="36"/>
  <c r="Z78" i="36"/>
  <c r="T78" i="36"/>
  <c r="P78" i="36"/>
  <c r="X78" i="36" s="1"/>
  <c r="N78" i="36"/>
  <c r="L78" i="36"/>
  <c r="J78" i="36"/>
  <c r="H78" i="36"/>
  <c r="D78" i="36"/>
  <c r="B78" i="36"/>
  <c r="X77" i="36"/>
  <c r="Z77" i="36" s="1"/>
  <c r="L77" i="36"/>
  <c r="N77" i="36" s="1"/>
  <c r="B77" i="36"/>
  <c r="V76" i="36"/>
  <c r="T76" i="36"/>
  <c r="P76" i="36"/>
  <c r="X76" i="36" s="1"/>
  <c r="Z76" i="36" s="1"/>
  <c r="H76" i="36"/>
  <c r="N76" i="36" s="1"/>
  <c r="D76" i="36"/>
  <c r="L76" i="36" s="1"/>
  <c r="B76" i="36"/>
  <c r="X75" i="36"/>
  <c r="Z75" i="36" s="1"/>
  <c r="N75" i="36"/>
  <c r="L75" i="36"/>
  <c r="B75" i="36"/>
  <c r="Z74" i="36"/>
  <c r="X74" i="36"/>
  <c r="V74" i="36"/>
  <c r="T74" i="36"/>
  <c r="P74" i="36"/>
  <c r="L74" i="36"/>
  <c r="N74" i="36" s="1"/>
  <c r="H74" i="36"/>
  <c r="D74" i="36"/>
  <c r="B74" i="36"/>
  <c r="X73" i="36"/>
  <c r="Z73" i="36" s="1"/>
  <c r="R73" i="36"/>
  <c r="L73" i="36"/>
  <c r="N73" i="36" s="1"/>
  <c r="B73" i="36"/>
  <c r="V72" i="36"/>
  <c r="T72" i="36"/>
  <c r="P72" i="36"/>
  <c r="H72" i="36"/>
  <c r="D72" i="36"/>
  <c r="L72" i="36" s="1"/>
  <c r="N72" i="36" s="1"/>
  <c r="B72" i="36"/>
  <c r="X71" i="36"/>
  <c r="Z71" i="36" s="1"/>
  <c r="R71" i="36"/>
  <c r="L71" i="36"/>
  <c r="N71" i="36" s="1"/>
  <c r="B71" i="36"/>
  <c r="T70" i="36"/>
  <c r="P70" i="36"/>
  <c r="X70" i="36" s="1"/>
  <c r="J70" i="36"/>
  <c r="H70" i="36"/>
  <c r="D70" i="36"/>
  <c r="L70" i="36" s="1"/>
  <c r="N70" i="36" s="1"/>
  <c r="B70" i="36"/>
  <c r="Z69" i="36"/>
  <c r="X69" i="36"/>
  <c r="N69" i="36"/>
  <c r="L69" i="36"/>
  <c r="B69" i="36"/>
  <c r="Z68" i="36"/>
  <c r="X68" i="36"/>
  <c r="T68" i="36"/>
  <c r="P68" i="36"/>
  <c r="N68" i="36"/>
  <c r="L68" i="36"/>
  <c r="J68" i="36"/>
  <c r="H68" i="36"/>
  <c r="D68" i="36"/>
  <c r="B68" i="36"/>
  <c r="Z67" i="36"/>
  <c r="X67" i="36"/>
  <c r="L67" i="36"/>
  <c r="N67" i="36" s="1"/>
  <c r="B67" i="36"/>
  <c r="T66" i="36"/>
  <c r="P66" i="36"/>
  <c r="X66" i="36" s="1"/>
  <c r="Z66" i="36" s="1"/>
  <c r="J66" i="36"/>
  <c r="H66" i="36"/>
  <c r="D66" i="36"/>
  <c r="B66" i="36"/>
  <c r="X65" i="36"/>
  <c r="Z65" i="36" s="1"/>
  <c r="L65" i="36"/>
  <c r="N65" i="36" s="1"/>
  <c r="B65" i="36"/>
  <c r="Z64" i="36"/>
  <c r="V64" i="36"/>
  <c r="T64" i="36"/>
  <c r="P64" i="36"/>
  <c r="X64" i="36" s="1"/>
  <c r="H64" i="36"/>
  <c r="N64" i="36" s="1"/>
  <c r="D64" i="36"/>
  <c r="L64" i="36" s="1"/>
  <c r="B64" i="36"/>
  <c r="X63" i="36"/>
  <c r="Z63" i="36" s="1"/>
  <c r="N63" i="36"/>
  <c r="L63" i="36"/>
  <c r="B63" i="36"/>
  <c r="Z62" i="36"/>
  <c r="X62" i="36"/>
  <c r="V62" i="36"/>
  <c r="T62" i="36"/>
  <c r="P62" i="36"/>
  <c r="L62" i="36"/>
  <c r="N62" i="36" s="1"/>
  <c r="H62" i="36"/>
  <c r="D62" i="36"/>
  <c r="B62" i="36"/>
  <c r="X61" i="36"/>
  <c r="Z61" i="36" s="1"/>
  <c r="L61" i="36"/>
  <c r="N61" i="36" s="1"/>
  <c r="B61" i="36"/>
  <c r="X60" i="36"/>
  <c r="Z60" i="36" s="1"/>
  <c r="N60" i="36"/>
  <c r="L60" i="36"/>
  <c r="J60" i="36"/>
  <c r="B60" i="36"/>
  <c r="Z59" i="36"/>
  <c r="X59" i="36"/>
  <c r="N59" i="36"/>
  <c r="L59" i="36"/>
  <c r="B59" i="36"/>
  <c r="Z58" i="36"/>
  <c r="T58" i="36"/>
  <c r="P58" i="36"/>
  <c r="X58" i="36" s="1"/>
  <c r="J58" i="36"/>
  <c r="H58" i="36"/>
  <c r="D58" i="36"/>
  <c r="B58" i="36"/>
  <c r="X57" i="36"/>
  <c r="Z57" i="36" s="1"/>
  <c r="L57" i="36"/>
  <c r="N57" i="36" s="1"/>
  <c r="B57" i="36"/>
  <c r="Z56" i="36"/>
  <c r="T56" i="36"/>
  <c r="P56" i="36"/>
  <c r="X56" i="36" s="1"/>
  <c r="H56" i="36"/>
  <c r="N56" i="36" s="1"/>
  <c r="D56" i="36"/>
  <c r="L56" i="36" s="1"/>
  <c r="B56" i="36"/>
  <c r="X55" i="36"/>
  <c r="Z55" i="36" s="1"/>
  <c r="N55" i="36"/>
  <c r="L55" i="36"/>
  <c r="B55" i="36"/>
  <c r="Z54" i="36"/>
  <c r="X54" i="36"/>
  <c r="V54" i="36"/>
  <c r="T54" i="36"/>
  <c r="P54" i="36"/>
  <c r="L54" i="36"/>
  <c r="N54" i="36" s="1"/>
  <c r="H54" i="36"/>
  <c r="D54" i="36"/>
  <c r="B54" i="36"/>
  <c r="X53" i="36"/>
  <c r="Z53" i="36" s="1"/>
  <c r="N53" i="36"/>
  <c r="L53" i="36"/>
  <c r="B53" i="36"/>
  <c r="V52" i="36"/>
  <c r="T52" i="36"/>
  <c r="R52" i="36"/>
  <c r="P52" i="36"/>
  <c r="H52" i="36"/>
  <c r="D52" i="36"/>
  <c r="L52" i="36" s="1"/>
  <c r="N52" i="36" s="1"/>
  <c r="B52" i="36"/>
  <c r="Z51" i="36"/>
  <c r="X51" i="36"/>
  <c r="N51" i="36"/>
  <c r="L51" i="36"/>
  <c r="B51" i="36"/>
  <c r="Z50" i="36"/>
  <c r="X50" i="36"/>
  <c r="N50" i="36"/>
  <c r="L50" i="36"/>
  <c r="J50" i="36"/>
  <c r="B50" i="36"/>
  <c r="Z49" i="36"/>
  <c r="X49" i="36"/>
  <c r="L49" i="36"/>
  <c r="N49" i="36" s="1"/>
  <c r="B49" i="36"/>
  <c r="Z48" i="36"/>
  <c r="X48" i="36"/>
  <c r="N48" i="36"/>
  <c r="L48" i="36"/>
  <c r="B48" i="36"/>
  <c r="Z47" i="36"/>
  <c r="X47" i="36"/>
  <c r="R47" i="36"/>
  <c r="N47" i="36"/>
  <c r="L47" i="36"/>
  <c r="B47" i="36"/>
  <c r="X46" i="36"/>
  <c r="Z46" i="36" s="1"/>
  <c r="N46" i="36"/>
  <c r="L46" i="36"/>
  <c r="J46" i="36"/>
  <c r="B46" i="36"/>
  <c r="Z45" i="36"/>
  <c r="X45" i="36"/>
  <c r="L45" i="36"/>
  <c r="N45" i="36" s="1"/>
  <c r="F45" i="36"/>
  <c r="B45" i="36"/>
  <c r="Z44" i="36"/>
  <c r="X44" i="36"/>
  <c r="V44" i="36"/>
  <c r="N44" i="36"/>
  <c r="L44" i="36"/>
  <c r="B44" i="36"/>
  <c r="X43" i="36"/>
  <c r="Z43" i="36" s="1"/>
  <c r="L43" i="36"/>
  <c r="N43" i="36" s="1"/>
  <c r="B43" i="36"/>
  <c r="X42" i="36"/>
  <c r="Z42" i="36" s="1"/>
  <c r="N42" i="36"/>
  <c r="L42" i="36"/>
  <c r="J42" i="36"/>
  <c r="B42" i="36"/>
  <c r="T41" i="36"/>
  <c r="P41" i="36"/>
  <c r="X41" i="36" s="1"/>
  <c r="Z41" i="36" s="1"/>
  <c r="H41" i="36"/>
  <c r="D41" i="36"/>
  <c r="L41" i="36" s="1"/>
  <c r="B41" i="36"/>
  <c r="X40" i="36"/>
  <c r="Z40" i="36" s="1"/>
  <c r="N40" i="36"/>
  <c r="L40" i="36"/>
  <c r="J40" i="36"/>
  <c r="B40" i="36"/>
  <c r="X39" i="36"/>
  <c r="Z39" i="36" s="1"/>
  <c r="N39" i="36"/>
  <c r="L39" i="36"/>
  <c r="B39" i="36"/>
  <c r="Z38" i="36"/>
  <c r="X38" i="36"/>
  <c r="V38" i="36"/>
  <c r="N38" i="36"/>
  <c r="L38" i="36"/>
  <c r="B38" i="36"/>
  <c r="Z37" i="36"/>
  <c r="X37" i="36"/>
  <c r="N37" i="36"/>
  <c r="L37" i="36"/>
  <c r="B37" i="36"/>
  <c r="Z36" i="36"/>
  <c r="X36" i="36"/>
  <c r="N36" i="36"/>
  <c r="L36" i="36"/>
  <c r="J36" i="36"/>
  <c r="B36" i="36"/>
  <c r="X35" i="36"/>
  <c r="Z35" i="36" s="1"/>
  <c r="N35" i="36"/>
  <c r="L35" i="36"/>
  <c r="B35" i="36"/>
  <c r="Z34" i="36"/>
  <c r="X34" i="36"/>
  <c r="V34" i="36"/>
  <c r="N34" i="36"/>
  <c r="L34" i="36"/>
  <c r="B34" i="36"/>
  <c r="X33" i="36"/>
  <c r="Z33" i="36" s="1"/>
  <c r="L33" i="36"/>
  <c r="N33" i="36" s="1"/>
  <c r="B33" i="36"/>
  <c r="X32" i="36"/>
  <c r="Z32" i="36" s="1"/>
  <c r="N32" i="36"/>
  <c r="L32" i="36"/>
  <c r="J32" i="36"/>
  <c r="B32" i="36"/>
  <c r="X31" i="36"/>
  <c r="Z31" i="36" s="1"/>
  <c r="N31" i="36"/>
  <c r="L31" i="36"/>
  <c r="B31" i="36"/>
  <c r="Z30" i="36"/>
  <c r="X30" i="36"/>
  <c r="V30" i="36"/>
  <c r="T30" i="36"/>
  <c r="P30" i="36"/>
  <c r="L30" i="36"/>
  <c r="H30" i="36"/>
  <c r="N30" i="36" s="1"/>
  <c r="D30" i="36"/>
  <c r="B30" i="36"/>
  <c r="T29" i="36"/>
  <c r="P29" i="36"/>
  <c r="H29" i="36"/>
  <c r="D29" i="36"/>
  <c r="L29" i="36" s="1"/>
  <c r="T27" i="36"/>
  <c r="H27" i="36"/>
  <c r="Z25" i="36"/>
  <c r="X25" i="36"/>
  <c r="R25" i="36"/>
  <c r="N25" i="36"/>
  <c r="L25" i="36"/>
  <c r="J25" i="36"/>
  <c r="B25" i="36"/>
  <c r="Z24" i="36"/>
  <c r="X24" i="36"/>
  <c r="V24" i="36"/>
  <c r="N24" i="36"/>
  <c r="L24" i="36"/>
  <c r="J24" i="36"/>
  <c r="B24" i="36"/>
  <c r="Z23" i="36"/>
  <c r="X23" i="36"/>
  <c r="L23" i="36"/>
  <c r="N23" i="36" s="1"/>
  <c r="J23" i="36"/>
  <c r="B23" i="36"/>
  <c r="T22" i="36"/>
  <c r="X22" i="36" s="1"/>
  <c r="Z22" i="36" s="1"/>
  <c r="P22" i="36"/>
  <c r="J22" i="36"/>
  <c r="H22" i="36"/>
  <c r="D22" i="36"/>
  <c r="L22" i="36" s="1"/>
  <c r="N22" i="36" s="1"/>
  <c r="Z20" i="36"/>
  <c r="P20" i="36"/>
  <c r="X20" i="36" s="1"/>
  <c r="N20" i="36"/>
  <c r="D20" i="36"/>
  <c r="L20" i="36" s="1"/>
  <c r="B20" i="36"/>
  <c r="Z19" i="36"/>
  <c r="X19" i="36"/>
  <c r="P19" i="36"/>
  <c r="N19" i="36"/>
  <c r="L19" i="36"/>
  <c r="D19" i="36"/>
  <c r="B19" i="36"/>
  <c r="X18" i="36"/>
  <c r="Z18" i="36" s="1"/>
  <c r="P18" i="36"/>
  <c r="L18" i="36"/>
  <c r="N18" i="36" s="1"/>
  <c r="D18" i="36"/>
  <c r="B18" i="36"/>
  <c r="Z17" i="36"/>
  <c r="X17" i="36"/>
  <c r="P17" i="36"/>
  <c r="N17" i="36"/>
  <c r="D17" i="36"/>
  <c r="L17" i="36" s="1"/>
  <c r="B17" i="36"/>
  <c r="Z16" i="36"/>
  <c r="P16" i="36"/>
  <c r="X16" i="36" s="1"/>
  <c r="N16" i="36"/>
  <c r="L16" i="36"/>
  <c r="D16" i="36"/>
  <c r="B16" i="36"/>
  <c r="Z15" i="36"/>
  <c r="X15" i="36"/>
  <c r="P15" i="36"/>
  <c r="N15" i="36"/>
  <c r="L15" i="36"/>
  <c r="D15" i="36"/>
  <c r="B15" i="36"/>
  <c r="Z14" i="36"/>
  <c r="P14" i="36"/>
  <c r="X14" i="36" s="1"/>
  <c r="N14" i="36"/>
  <c r="D14" i="36"/>
  <c r="L14" i="36" s="1"/>
  <c r="B14" i="36"/>
  <c r="P13" i="36"/>
  <c r="X13" i="36" s="1"/>
  <c r="Z13" i="36" s="1"/>
  <c r="D13" i="36"/>
  <c r="L13" i="36" s="1"/>
  <c r="N13" i="36" s="1"/>
  <c r="B13" i="36"/>
  <c r="T12" i="36"/>
  <c r="V128" i="36" s="1"/>
  <c r="P12" i="36"/>
  <c r="R107" i="36" s="1"/>
  <c r="H12" i="36"/>
  <c r="J122" i="36" s="1"/>
  <c r="D12" i="36"/>
  <c r="F91" i="36" s="1"/>
  <c r="D4" i="36"/>
  <c r="Z82" i="33"/>
  <c r="X82" i="33"/>
  <c r="L82" i="33"/>
  <c r="N82" i="33" s="1"/>
  <c r="P78" i="33"/>
  <c r="D78" i="33"/>
  <c r="L78" i="33" s="1"/>
  <c r="N78" i="33" s="1"/>
  <c r="B78" i="33"/>
  <c r="T77" i="33"/>
  <c r="H77" i="33"/>
  <c r="Z75" i="33"/>
  <c r="X75" i="33"/>
  <c r="N75" i="33"/>
  <c r="L75" i="33"/>
  <c r="B75" i="33"/>
  <c r="X74" i="33"/>
  <c r="T74" i="33"/>
  <c r="Z74" i="33" s="1"/>
  <c r="P74" i="33"/>
  <c r="N74" i="33"/>
  <c r="J74" i="33"/>
  <c r="H74" i="33"/>
  <c r="D74" i="33"/>
  <c r="L74" i="33" s="1"/>
  <c r="B74" i="33"/>
  <c r="Z73" i="33"/>
  <c r="X73" i="33"/>
  <c r="N73" i="33"/>
  <c r="L73" i="33"/>
  <c r="B73" i="33"/>
  <c r="T72" i="33"/>
  <c r="Z72" i="33" s="1"/>
  <c r="P72" i="33"/>
  <c r="X72" i="33" s="1"/>
  <c r="L72" i="33"/>
  <c r="N72" i="33" s="1"/>
  <c r="H72" i="33"/>
  <c r="D72" i="33"/>
  <c r="B72" i="33"/>
  <c r="Z71" i="33"/>
  <c r="X71" i="33"/>
  <c r="V71" i="33"/>
  <c r="N71" i="33"/>
  <c r="L71" i="33"/>
  <c r="B71" i="33"/>
  <c r="Z70" i="33"/>
  <c r="X70" i="33"/>
  <c r="L70" i="33"/>
  <c r="N70" i="33" s="1"/>
  <c r="B70" i="33"/>
  <c r="Z69" i="33"/>
  <c r="X69" i="33"/>
  <c r="L69" i="33"/>
  <c r="N69" i="33" s="1"/>
  <c r="B69" i="33"/>
  <c r="Z68" i="33"/>
  <c r="X68" i="33"/>
  <c r="N68" i="33"/>
  <c r="L68" i="33"/>
  <c r="J68" i="33"/>
  <c r="B68" i="33"/>
  <c r="Z67" i="33"/>
  <c r="X67" i="33"/>
  <c r="V67" i="33"/>
  <c r="N67" i="33"/>
  <c r="L67" i="33"/>
  <c r="B67" i="33"/>
  <c r="Z66" i="33"/>
  <c r="T66" i="33"/>
  <c r="P66" i="33"/>
  <c r="X66" i="33" s="1"/>
  <c r="H66" i="33"/>
  <c r="D66" i="33"/>
  <c r="L66" i="33" s="1"/>
  <c r="B66" i="33"/>
  <c r="X65" i="33"/>
  <c r="Z65" i="33" s="1"/>
  <c r="N65" i="33"/>
  <c r="L65" i="33"/>
  <c r="B65" i="33"/>
  <c r="X64" i="33"/>
  <c r="Z64" i="33" s="1"/>
  <c r="V64" i="33"/>
  <c r="T64" i="33"/>
  <c r="P64" i="33"/>
  <c r="L64" i="33"/>
  <c r="H64" i="33"/>
  <c r="N64" i="33" s="1"/>
  <c r="D64" i="33"/>
  <c r="B64" i="33"/>
  <c r="X63" i="33"/>
  <c r="Z63" i="33" s="1"/>
  <c r="N63" i="33"/>
  <c r="L63" i="33"/>
  <c r="J63" i="33"/>
  <c r="B63" i="33"/>
  <c r="Z62" i="33"/>
  <c r="X62" i="33"/>
  <c r="N62" i="33"/>
  <c r="L62" i="33"/>
  <c r="B62" i="33"/>
  <c r="T61" i="33"/>
  <c r="P61" i="33"/>
  <c r="X61" i="33" s="1"/>
  <c r="Z61" i="33" s="1"/>
  <c r="L61" i="33"/>
  <c r="N61" i="33" s="1"/>
  <c r="H61" i="33"/>
  <c r="D61" i="33"/>
  <c r="B61" i="33"/>
  <c r="X60" i="33"/>
  <c r="Z60" i="33" s="1"/>
  <c r="L60" i="33"/>
  <c r="N60" i="33" s="1"/>
  <c r="J60" i="33"/>
  <c r="B60" i="33"/>
  <c r="X59" i="33"/>
  <c r="Z59" i="33" s="1"/>
  <c r="V59" i="33"/>
  <c r="N59" i="33"/>
  <c r="L59" i="33"/>
  <c r="B59" i="33"/>
  <c r="Z58" i="33"/>
  <c r="T58" i="33"/>
  <c r="P58" i="33"/>
  <c r="X58" i="33" s="1"/>
  <c r="H58" i="33"/>
  <c r="D58" i="33"/>
  <c r="L58" i="33" s="1"/>
  <c r="B58" i="33"/>
  <c r="X57" i="33"/>
  <c r="Z57" i="33" s="1"/>
  <c r="N57" i="33"/>
  <c r="L57" i="33"/>
  <c r="B57" i="33"/>
  <c r="X56" i="33"/>
  <c r="Z56" i="33" s="1"/>
  <c r="V56" i="33"/>
  <c r="T56" i="33"/>
  <c r="P56" i="33"/>
  <c r="L56" i="33"/>
  <c r="H56" i="33"/>
  <c r="N56" i="33" s="1"/>
  <c r="D56" i="33"/>
  <c r="B56" i="33"/>
  <c r="X55" i="33"/>
  <c r="Z55" i="33" s="1"/>
  <c r="L55" i="33"/>
  <c r="N55" i="33" s="1"/>
  <c r="J55" i="33"/>
  <c r="B55" i="33"/>
  <c r="T54" i="33"/>
  <c r="P54" i="33"/>
  <c r="H54" i="33"/>
  <c r="D54" i="33"/>
  <c r="L54" i="33" s="1"/>
  <c r="B54" i="33"/>
  <c r="Z53" i="33"/>
  <c r="X53" i="33"/>
  <c r="L53" i="33"/>
  <c r="N53" i="33" s="1"/>
  <c r="B53" i="33"/>
  <c r="T52" i="33"/>
  <c r="P52" i="33"/>
  <c r="X52" i="33" s="1"/>
  <c r="H52" i="33"/>
  <c r="D52" i="33"/>
  <c r="L52" i="33" s="1"/>
  <c r="N52" i="33" s="1"/>
  <c r="B52" i="33"/>
  <c r="Z51" i="33"/>
  <c r="X51" i="33"/>
  <c r="L51" i="33"/>
  <c r="N51" i="33" s="1"/>
  <c r="B51" i="33"/>
  <c r="X50" i="33"/>
  <c r="T50" i="33"/>
  <c r="Z50" i="33" s="1"/>
  <c r="P50" i="33"/>
  <c r="L50" i="33"/>
  <c r="N50" i="33" s="1"/>
  <c r="J50" i="33"/>
  <c r="H50" i="33"/>
  <c r="D50" i="33"/>
  <c r="B50" i="33"/>
  <c r="Z49" i="33"/>
  <c r="X49" i="33"/>
  <c r="N49" i="33"/>
  <c r="L49" i="33"/>
  <c r="B49" i="33"/>
  <c r="Z48" i="33"/>
  <c r="X48" i="33"/>
  <c r="N48" i="33"/>
  <c r="L48" i="33"/>
  <c r="B48" i="33"/>
  <c r="Z47" i="33"/>
  <c r="X47" i="33"/>
  <c r="N47" i="33"/>
  <c r="L47" i="33"/>
  <c r="J47" i="33"/>
  <c r="B47" i="33"/>
  <c r="Z46" i="33"/>
  <c r="X46" i="33"/>
  <c r="N46" i="33"/>
  <c r="L46" i="33"/>
  <c r="B46" i="33"/>
  <c r="Z45" i="33"/>
  <c r="X45" i="33"/>
  <c r="N45" i="33"/>
  <c r="L45" i="33"/>
  <c r="B45" i="33"/>
  <c r="Z44" i="33"/>
  <c r="X44" i="33"/>
  <c r="N44" i="33"/>
  <c r="L44" i="33"/>
  <c r="B44" i="33"/>
  <c r="Z43" i="33"/>
  <c r="X43" i="33"/>
  <c r="N43" i="33"/>
  <c r="L43" i="33"/>
  <c r="J43" i="33"/>
  <c r="B43" i="33"/>
  <c r="Z42" i="33"/>
  <c r="X42" i="33"/>
  <c r="N42" i="33"/>
  <c r="L42" i="33"/>
  <c r="B42" i="33"/>
  <c r="Z41" i="33"/>
  <c r="X41" i="33"/>
  <c r="N41" i="33"/>
  <c r="L41" i="33"/>
  <c r="B41" i="33"/>
  <c r="Z40" i="33"/>
  <c r="X40" i="33"/>
  <c r="N40" i="33"/>
  <c r="L40" i="33"/>
  <c r="B40" i="33"/>
  <c r="X39" i="33"/>
  <c r="Z39" i="33" s="1"/>
  <c r="T39" i="33"/>
  <c r="P39" i="33"/>
  <c r="H39" i="33"/>
  <c r="D39" i="33"/>
  <c r="L39" i="33" s="1"/>
  <c r="N39" i="33" s="1"/>
  <c r="B39" i="33"/>
  <c r="Z38" i="33"/>
  <c r="X38" i="33"/>
  <c r="V38" i="33"/>
  <c r="N38" i="33"/>
  <c r="L38" i="33"/>
  <c r="B38" i="33"/>
  <c r="Z37" i="33"/>
  <c r="X37" i="33"/>
  <c r="V37" i="33"/>
  <c r="L37" i="33"/>
  <c r="N37" i="33" s="1"/>
  <c r="B37" i="33"/>
  <c r="X36" i="33"/>
  <c r="Z36" i="33" s="1"/>
  <c r="L36" i="33"/>
  <c r="N36" i="33" s="1"/>
  <c r="J36" i="33"/>
  <c r="B36" i="33"/>
  <c r="Z35" i="33"/>
  <c r="X35" i="33"/>
  <c r="V35" i="33"/>
  <c r="N35" i="33"/>
  <c r="L35" i="33"/>
  <c r="B35" i="33"/>
  <c r="Z34" i="33"/>
  <c r="X34" i="33"/>
  <c r="V34" i="33"/>
  <c r="L34" i="33"/>
  <c r="N34" i="33" s="1"/>
  <c r="B34" i="33"/>
  <c r="Z33" i="33"/>
  <c r="X33" i="33"/>
  <c r="V33" i="33"/>
  <c r="L33" i="33"/>
  <c r="N33" i="33" s="1"/>
  <c r="B33" i="33"/>
  <c r="X32" i="33"/>
  <c r="Z32" i="33" s="1"/>
  <c r="L32" i="33"/>
  <c r="N32" i="33" s="1"/>
  <c r="J32" i="33"/>
  <c r="B32" i="33"/>
  <c r="Z31" i="33"/>
  <c r="X31" i="33"/>
  <c r="V31" i="33"/>
  <c r="N31" i="33"/>
  <c r="L31" i="33"/>
  <c r="B31" i="33"/>
  <c r="Z30" i="33"/>
  <c r="X30" i="33"/>
  <c r="V30" i="33"/>
  <c r="L30" i="33"/>
  <c r="N30" i="33" s="1"/>
  <c r="B30" i="33"/>
  <c r="T29" i="33"/>
  <c r="P29" i="33"/>
  <c r="X29" i="33" s="1"/>
  <c r="N29" i="33"/>
  <c r="L29" i="33"/>
  <c r="J29" i="33"/>
  <c r="H29" i="33"/>
  <c r="D29" i="33"/>
  <c r="B29" i="33"/>
  <c r="X28" i="33"/>
  <c r="Z28" i="33" s="1"/>
  <c r="T28" i="33"/>
  <c r="V28" i="33" s="1"/>
  <c r="P28" i="33"/>
  <c r="H28" i="33"/>
  <c r="D28" i="33"/>
  <c r="L28" i="33" s="1"/>
  <c r="Z24" i="33"/>
  <c r="X24" i="33"/>
  <c r="V24" i="33"/>
  <c r="T24" i="33"/>
  <c r="P24" i="33"/>
  <c r="L24" i="33"/>
  <c r="H24" i="33"/>
  <c r="N24" i="33" s="1"/>
  <c r="D24" i="33"/>
  <c r="Z22" i="33"/>
  <c r="P22" i="33"/>
  <c r="N22" i="33"/>
  <c r="L22" i="33"/>
  <c r="D22" i="33"/>
  <c r="B22" i="33"/>
  <c r="Z21" i="33"/>
  <c r="P21" i="33"/>
  <c r="X21" i="33" s="1"/>
  <c r="N21" i="33"/>
  <c r="L21" i="33"/>
  <c r="D21" i="33"/>
  <c r="B21" i="33"/>
  <c r="Z20" i="33"/>
  <c r="P20" i="33"/>
  <c r="X20" i="33" s="1"/>
  <c r="N20" i="33"/>
  <c r="D20" i="33"/>
  <c r="L20" i="33" s="1"/>
  <c r="B20" i="33"/>
  <c r="Z19" i="33"/>
  <c r="P19" i="33"/>
  <c r="X19" i="33" s="1"/>
  <c r="N19" i="33"/>
  <c r="D19" i="33"/>
  <c r="L19" i="33" s="1"/>
  <c r="B19" i="33"/>
  <c r="Z18" i="33"/>
  <c r="X18" i="33"/>
  <c r="P18" i="33"/>
  <c r="N18" i="33"/>
  <c r="D18" i="33"/>
  <c r="L18" i="33" s="1"/>
  <c r="B18" i="33"/>
  <c r="P17" i="33"/>
  <c r="X17" i="33" s="1"/>
  <c r="Z17" i="33" s="1"/>
  <c r="D17" i="33"/>
  <c r="L17" i="33" s="1"/>
  <c r="N17" i="33" s="1"/>
  <c r="B17" i="33"/>
  <c r="Z16" i="33"/>
  <c r="X16" i="33"/>
  <c r="P16" i="33"/>
  <c r="N16" i="33"/>
  <c r="D16" i="33"/>
  <c r="L16" i="33" s="1"/>
  <c r="B16" i="33"/>
  <c r="Z15" i="33"/>
  <c r="X15" i="33"/>
  <c r="P15" i="33"/>
  <c r="N15" i="33"/>
  <c r="L15" i="33"/>
  <c r="D15" i="33"/>
  <c r="B15" i="33"/>
  <c r="Z14" i="33"/>
  <c r="X14" i="33"/>
  <c r="P14" i="33"/>
  <c r="N14" i="33"/>
  <c r="D14" i="33"/>
  <c r="D12" i="33" s="1"/>
  <c r="B14" i="33"/>
  <c r="X13" i="33"/>
  <c r="Z13" i="33" s="1"/>
  <c r="P13" i="33"/>
  <c r="L13" i="33"/>
  <c r="N13" i="33" s="1"/>
  <c r="D13" i="33"/>
  <c r="B13" i="33"/>
  <c r="T12" i="33"/>
  <c r="V63" i="33" s="1"/>
  <c r="H12" i="33"/>
  <c r="J75" i="33" s="1"/>
  <c r="D4" i="33"/>
  <c r="Z164" i="30"/>
  <c r="X164" i="30"/>
  <c r="L164" i="30"/>
  <c r="N164" i="30" s="1"/>
  <c r="Z160" i="30"/>
  <c r="P160" i="30"/>
  <c r="X160" i="30" s="1"/>
  <c r="N160" i="30"/>
  <c r="D160" i="30"/>
  <c r="B160" i="30"/>
  <c r="Z159" i="30"/>
  <c r="P159" i="30"/>
  <c r="X159" i="30" s="1"/>
  <c r="N159" i="30"/>
  <c r="D159" i="30"/>
  <c r="L159" i="30" s="1"/>
  <c r="B159" i="30"/>
  <c r="P158" i="30"/>
  <c r="X158" i="30" s="1"/>
  <c r="Z158" i="30" s="1"/>
  <c r="L158" i="30"/>
  <c r="N158" i="30" s="1"/>
  <c r="D158" i="30"/>
  <c r="B158" i="30"/>
  <c r="T157" i="30"/>
  <c r="P157" i="30"/>
  <c r="X157" i="30" s="1"/>
  <c r="Z157" i="30" s="1"/>
  <c r="H157" i="30"/>
  <c r="Z155" i="30"/>
  <c r="X155" i="30"/>
  <c r="L155" i="30"/>
  <c r="N155" i="30" s="1"/>
  <c r="B155" i="30"/>
  <c r="T154" i="30"/>
  <c r="P154" i="30"/>
  <c r="X154" i="30" s="1"/>
  <c r="J154" i="30"/>
  <c r="H154" i="30"/>
  <c r="D154" i="30"/>
  <c r="B154" i="30"/>
  <c r="X153" i="30"/>
  <c r="Z153" i="30" s="1"/>
  <c r="N153" i="30"/>
  <c r="L153" i="30"/>
  <c r="B153" i="30"/>
  <c r="Z152" i="30"/>
  <c r="X152" i="30"/>
  <c r="L152" i="30"/>
  <c r="N152" i="30" s="1"/>
  <c r="B152" i="30"/>
  <c r="X151" i="30"/>
  <c r="T151" i="30"/>
  <c r="Z151" i="30" s="1"/>
  <c r="P151" i="30"/>
  <c r="L151" i="30"/>
  <c r="N151" i="30" s="1"/>
  <c r="J151" i="30"/>
  <c r="H151" i="30"/>
  <c r="D151" i="30"/>
  <c r="B151" i="30"/>
  <c r="Z150" i="30"/>
  <c r="X150" i="30"/>
  <c r="N150" i="30"/>
  <c r="L150" i="30"/>
  <c r="B150" i="30"/>
  <c r="T149" i="30"/>
  <c r="Z149" i="30" s="1"/>
  <c r="P149" i="30"/>
  <c r="H149" i="30"/>
  <c r="N149" i="30" s="1"/>
  <c r="D149" i="30"/>
  <c r="B149" i="30"/>
  <c r="Z148" i="30"/>
  <c r="X148" i="30"/>
  <c r="V148" i="30"/>
  <c r="N148" i="30"/>
  <c r="L148" i="30"/>
  <c r="B148" i="30"/>
  <c r="Z147" i="30"/>
  <c r="X147" i="30"/>
  <c r="L147" i="30"/>
  <c r="N147" i="30" s="1"/>
  <c r="B147" i="30"/>
  <c r="T146" i="30"/>
  <c r="P146" i="30"/>
  <c r="X146" i="30" s="1"/>
  <c r="H146" i="30"/>
  <c r="D146" i="30"/>
  <c r="B146" i="30"/>
  <c r="X145" i="30"/>
  <c r="Z145" i="30" s="1"/>
  <c r="V145" i="30"/>
  <c r="N145" i="30"/>
  <c r="L145" i="30"/>
  <c r="B145" i="30"/>
  <c r="Z144" i="30"/>
  <c r="X144" i="30"/>
  <c r="L144" i="30"/>
  <c r="N144" i="30" s="1"/>
  <c r="B144" i="30"/>
  <c r="X143" i="30"/>
  <c r="Z143" i="30" s="1"/>
  <c r="L143" i="30"/>
  <c r="N143" i="30" s="1"/>
  <c r="B143" i="30"/>
  <c r="X142" i="30"/>
  <c r="Z142" i="30" s="1"/>
  <c r="N142" i="30"/>
  <c r="L142" i="30"/>
  <c r="B142" i="30"/>
  <c r="X141" i="30"/>
  <c r="Z141" i="30" s="1"/>
  <c r="N141" i="30"/>
  <c r="L141" i="30"/>
  <c r="B141" i="30"/>
  <c r="Z140" i="30"/>
  <c r="X140" i="30"/>
  <c r="L140" i="30"/>
  <c r="N140" i="30" s="1"/>
  <c r="B140" i="30"/>
  <c r="X139" i="30"/>
  <c r="Z139" i="30" s="1"/>
  <c r="L139" i="30"/>
  <c r="N139" i="30" s="1"/>
  <c r="B139" i="30"/>
  <c r="X138" i="30"/>
  <c r="Z138" i="30" s="1"/>
  <c r="N138" i="30"/>
  <c r="L138" i="30"/>
  <c r="B138" i="30"/>
  <c r="X137" i="30"/>
  <c r="Z137" i="30" s="1"/>
  <c r="T137" i="30"/>
  <c r="P137" i="30"/>
  <c r="L137" i="30"/>
  <c r="H137" i="30"/>
  <c r="D137" i="30"/>
  <c r="B137" i="30"/>
  <c r="Z136" i="30"/>
  <c r="X136" i="30"/>
  <c r="N136" i="30"/>
  <c r="L136" i="30"/>
  <c r="J136" i="30"/>
  <c r="B136" i="30"/>
  <c r="X135" i="30"/>
  <c r="Z135" i="30" s="1"/>
  <c r="N135" i="30"/>
  <c r="L135" i="30"/>
  <c r="B135" i="30"/>
  <c r="Z134" i="30"/>
  <c r="X134" i="30"/>
  <c r="T134" i="30"/>
  <c r="P134" i="30"/>
  <c r="N134" i="30"/>
  <c r="L134" i="30"/>
  <c r="H134" i="30"/>
  <c r="D134" i="30"/>
  <c r="B134" i="30"/>
  <c r="Z133" i="30"/>
  <c r="X133" i="30"/>
  <c r="L133" i="30"/>
  <c r="N133" i="30" s="1"/>
  <c r="J133" i="30"/>
  <c r="B133" i="30"/>
  <c r="Z132" i="30"/>
  <c r="X132" i="30"/>
  <c r="V132" i="30"/>
  <c r="N132" i="30"/>
  <c r="L132" i="30"/>
  <c r="B132" i="30"/>
  <c r="Z131" i="30"/>
  <c r="X131" i="30"/>
  <c r="N131" i="30"/>
  <c r="L131" i="30"/>
  <c r="B131" i="30"/>
  <c r="T130" i="30"/>
  <c r="P130" i="30"/>
  <c r="H130" i="30"/>
  <c r="D130" i="30"/>
  <c r="B130" i="30"/>
  <c r="X129" i="30"/>
  <c r="Z129" i="30" s="1"/>
  <c r="N129" i="30"/>
  <c r="L129" i="30"/>
  <c r="B129" i="30"/>
  <c r="Z128" i="30"/>
  <c r="X128" i="30"/>
  <c r="L128" i="30"/>
  <c r="N128" i="30" s="1"/>
  <c r="B128" i="30"/>
  <c r="X127" i="30"/>
  <c r="Z127" i="30" s="1"/>
  <c r="L127" i="30"/>
  <c r="N127" i="30" s="1"/>
  <c r="B127" i="30"/>
  <c r="T126" i="30"/>
  <c r="P126" i="30"/>
  <c r="X126" i="30" s="1"/>
  <c r="H126" i="30"/>
  <c r="D126" i="30"/>
  <c r="L126" i="30" s="1"/>
  <c r="N126" i="30" s="1"/>
  <c r="B126" i="30"/>
  <c r="Z125" i="30"/>
  <c r="X125" i="30"/>
  <c r="N125" i="30"/>
  <c r="L125" i="30"/>
  <c r="B125" i="30"/>
  <c r="Z124" i="30"/>
  <c r="X124" i="30"/>
  <c r="N124" i="30"/>
  <c r="L124" i="30"/>
  <c r="J124" i="30"/>
  <c r="B124" i="30"/>
  <c r="T123" i="30"/>
  <c r="P123" i="30"/>
  <c r="H123" i="30"/>
  <c r="D123" i="30"/>
  <c r="B123" i="30"/>
  <c r="Z122" i="30"/>
  <c r="X122" i="30"/>
  <c r="L122" i="30"/>
  <c r="N122" i="30" s="1"/>
  <c r="B122" i="30"/>
  <c r="T121" i="30"/>
  <c r="P121" i="30"/>
  <c r="X121" i="30" s="1"/>
  <c r="Z121" i="30" s="1"/>
  <c r="H121" i="30"/>
  <c r="D121" i="30"/>
  <c r="L121" i="30" s="1"/>
  <c r="N121" i="30" s="1"/>
  <c r="B121" i="30"/>
  <c r="Z120" i="30"/>
  <c r="X120" i="30"/>
  <c r="L120" i="30"/>
  <c r="N120" i="30" s="1"/>
  <c r="B120" i="30"/>
  <c r="X119" i="30"/>
  <c r="T119" i="30"/>
  <c r="Z119" i="30" s="1"/>
  <c r="P119" i="30"/>
  <c r="L119" i="30"/>
  <c r="N119" i="30" s="1"/>
  <c r="H119" i="30"/>
  <c r="D119" i="30"/>
  <c r="B119" i="30"/>
  <c r="Z118" i="30"/>
  <c r="X118" i="30"/>
  <c r="N118" i="30"/>
  <c r="L118" i="30"/>
  <c r="B118" i="30"/>
  <c r="T117" i="30"/>
  <c r="P117" i="30"/>
  <c r="H117" i="30"/>
  <c r="D117" i="30"/>
  <c r="B117" i="30"/>
  <c r="Z116" i="30"/>
  <c r="X116" i="30"/>
  <c r="V116" i="30"/>
  <c r="N116" i="30"/>
  <c r="L116" i="30"/>
  <c r="B116" i="30"/>
  <c r="T115" i="30"/>
  <c r="P115" i="30"/>
  <c r="X115" i="30" s="1"/>
  <c r="Z115" i="30" s="1"/>
  <c r="H115" i="30"/>
  <c r="D115" i="30"/>
  <c r="L115" i="30" s="1"/>
  <c r="N115" i="30" s="1"/>
  <c r="B115" i="30"/>
  <c r="X114" i="30"/>
  <c r="Z114" i="30" s="1"/>
  <c r="N114" i="30"/>
  <c r="L114" i="30"/>
  <c r="B114" i="30"/>
  <c r="X113" i="30"/>
  <c r="Z113" i="30" s="1"/>
  <c r="V113" i="30"/>
  <c r="N113" i="30"/>
  <c r="L113" i="30"/>
  <c r="B113" i="30"/>
  <c r="T112" i="30"/>
  <c r="P112" i="30"/>
  <c r="X112" i="30" s="1"/>
  <c r="Z112" i="30" s="1"/>
  <c r="H112" i="30"/>
  <c r="D112" i="30"/>
  <c r="L112" i="30" s="1"/>
  <c r="B112" i="30"/>
  <c r="X111" i="30"/>
  <c r="Z111" i="30" s="1"/>
  <c r="N111" i="30"/>
  <c r="L111" i="30"/>
  <c r="B111" i="30"/>
  <c r="Z110" i="30"/>
  <c r="X110" i="30"/>
  <c r="N110" i="30"/>
  <c r="L110" i="30"/>
  <c r="B110" i="30"/>
  <c r="T109" i="30"/>
  <c r="P109" i="30"/>
  <c r="L109" i="30"/>
  <c r="H109" i="30"/>
  <c r="N109" i="30" s="1"/>
  <c r="D109" i="30"/>
  <c r="B109" i="30"/>
  <c r="Z108" i="30"/>
  <c r="X108" i="30"/>
  <c r="V108" i="30"/>
  <c r="N108" i="30"/>
  <c r="L108" i="30"/>
  <c r="B108" i="30"/>
  <c r="T107" i="30"/>
  <c r="P107" i="30"/>
  <c r="X107" i="30" s="1"/>
  <c r="Z107" i="30" s="1"/>
  <c r="H107" i="30"/>
  <c r="N107" i="30" s="1"/>
  <c r="D107" i="30"/>
  <c r="L107" i="30" s="1"/>
  <c r="B107" i="30"/>
  <c r="Z106" i="30"/>
  <c r="X106" i="30"/>
  <c r="N106" i="30"/>
  <c r="L106" i="30"/>
  <c r="B106" i="30"/>
  <c r="Z105" i="30"/>
  <c r="X105" i="30"/>
  <c r="T105" i="30"/>
  <c r="P105" i="30"/>
  <c r="L105" i="30"/>
  <c r="H105" i="30"/>
  <c r="N105" i="30" s="1"/>
  <c r="D105" i="30"/>
  <c r="B105" i="30"/>
  <c r="X104" i="30"/>
  <c r="Z104" i="30" s="1"/>
  <c r="N104" i="30"/>
  <c r="L104" i="30"/>
  <c r="B104" i="30"/>
  <c r="X103" i="30"/>
  <c r="T103" i="30"/>
  <c r="Z103" i="30" s="1"/>
  <c r="P103" i="30"/>
  <c r="H103" i="30"/>
  <c r="D103" i="30"/>
  <c r="B103" i="30"/>
  <c r="Z102" i="30"/>
  <c r="X102" i="30"/>
  <c r="L102" i="30"/>
  <c r="N102" i="30" s="1"/>
  <c r="B102" i="30"/>
  <c r="T101" i="30"/>
  <c r="P101" i="30"/>
  <c r="X101" i="30" s="1"/>
  <c r="H101" i="30"/>
  <c r="D101" i="30"/>
  <c r="L101" i="30" s="1"/>
  <c r="N101" i="30" s="1"/>
  <c r="B101" i="30"/>
  <c r="Z100" i="30"/>
  <c r="X100" i="30"/>
  <c r="L100" i="30"/>
  <c r="N100" i="30" s="1"/>
  <c r="B100" i="30"/>
  <c r="X99" i="30"/>
  <c r="T99" i="30"/>
  <c r="Z99" i="30" s="1"/>
  <c r="P99" i="30"/>
  <c r="L99" i="30"/>
  <c r="N99" i="30" s="1"/>
  <c r="H99" i="30"/>
  <c r="D99" i="30"/>
  <c r="B99" i="30"/>
  <c r="Z98" i="30"/>
  <c r="X98" i="30"/>
  <c r="N98" i="30"/>
  <c r="L98" i="30"/>
  <c r="B98" i="30"/>
  <c r="T97" i="30"/>
  <c r="P97" i="30"/>
  <c r="L97" i="30"/>
  <c r="H97" i="30"/>
  <c r="N97" i="30" s="1"/>
  <c r="D97" i="30"/>
  <c r="B97" i="30"/>
  <c r="Z96" i="30"/>
  <c r="X96" i="30"/>
  <c r="N96" i="30"/>
  <c r="L96" i="30"/>
  <c r="B96" i="30"/>
  <c r="Z95" i="30"/>
  <c r="X95" i="30"/>
  <c r="N95" i="30"/>
  <c r="L95" i="30"/>
  <c r="B95" i="30"/>
  <c r="Z94" i="30"/>
  <c r="X94" i="30"/>
  <c r="L94" i="30"/>
  <c r="N94" i="30" s="1"/>
  <c r="B94" i="30"/>
  <c r="Z93" i="30"/>
  <c r="X93" i="30"/>
  <c r="N93" i="30"/>
  <c r="L93" i="30"/>
  <c r="B93" i="30"/>
  <c r="Z92" i="30"/>
  <c r="X92" i="30"/>
  <c r="V92" i="30"/>
  <c r="N92" i="30"/>
  <c r="L92" i="30"/>
  <c r="B92" i="30"/>
  <c r="Z91" i="30"/>
  <c r="X91" i="30"/>
  <c r="N91" i="30"/>
  <c r="L91" i="30"/>
  <c r="B91" i="30"/>
  <c r="Z90" i="30"/>
  <c r="X90" i="30"/>
  <c r="L90" i="30"/>
  <c r="N90" i="30" s="1"/>
  <c r="B90" i="30"/>
  <c r="Z89" i="30"/>
  <c r="X89" i="30"/>
  <c r="N89" i="30"/>
  <c r="L89" i="30"/>
  <c r="J89" i="30"/>
  <c r="B89" i="30"/>
  <c r="Z88" i="30"/>
  <c r="X88" i="30"/>
  <c r="V88" i="30"/>
  <c r="N88" i="30"/>
  <c r="L88" i="30"/>
  <c r="B88" i="30"/>
  <c r="Z87" i="30"/>
  <c r="X87" i="30"/>
  <c r="N87" i="30"/>
  <c r="L87" i="30"/>
  <c r="B87" i="30"/>
  <c r="T86" i="30"/>
  <c r="P86" i="30"/>
  <c r="H86" i="30"/>
  <c r="D86" i="30"/>
  <c r="B86" i="30"/>
  <c r="X85" i="30"/>
  <c r="Z85" i="30" s="1"/>
  <c r="N85" i="30"/>
  <c r="L85" i="30"/>
  <c r="B85" i="30"/>
  <c r="Z84" i="30"/>
  <c r="X84" i="30"/>
  <c r="L84" i="30"/>
  <c r="N84" i="30" s="1"/>
  <c r="B84" i="30"/>
  <c r="X83" i="30"/>
  <c r="Z83" i="30" s="1"/>
  <c r="L83" i="30"/>
  <c r="N83" i="30" s="1"/>
  <c r="B83" i="30"/>
  <c r="Z82" i="30"/>
  <c r="X82" i="30"/>
  <c r="N82" i="30"/>
  <c r="L82" i="30"/>
  <c r="B82" i="30"/>
  <c r="X81" i="30"/>
  <c r="Z81" i="30" s="1"/>
  <c r="V81" i="30"/>
  <c r="N81" i="30"/>
  <c r="L81" i="30"/>
  <c r="B81" i="30"/>
  <c r="Z80" i="30"/>
  <c r="X80" i="30"/>
  <c r="L80" i="30"/>
  <c r="N80" i="30" s="1"/>
  <c r="B80" i="30"/>
  <c r="X79" i="30"/>
  <c r="Z79" i="30" s="1"/>
  <c r="L79" i="30"/>
  <c r="N79" i="30" s="1"/>
  <c r="B79" i="30"/>
  <c r="X78" i="30"/>
  <c r="Z78" i="30" s="1"/>
  <c r="N78" i="30"/>
  <c r="L78" i="30"/>
  <c r="B78" i="30"/>
  <c r="X77" i="30"/>
  <c r="Z77" i="30" s="1"/>
  <c r="V77" i="30"/>
  <c r="N77" i="30"/>
  <c r="L77" i="30"/>
  <c r="B77" i="30"/>
  <c r="T76" i="30"/>
  <c r="P76" i="30"/>
  <c r="X76" i="30" s="1"/>
  <c r="Z76" i="30" s="1"/>
  <c r="H76" i="30"/>
  <c r="D76" i="30"/>
  <c r="L76" i="30" s="1"/>
  <c r="B76" i="30"/>
  <c r="T75" i="30"/>
  <c r="P75" i="30"/>
  <c r="H75" i="30"/>
  <c r="D75" i="30"/>
  <c r="Z71" i="30"/>
  <c r="X71" i="30"/>
  <c r="N71" i="30"/>
  <c r="L71" i="30"/>
  <c r="B71" i="30"/>
  <c r="Z70" i="30"/>
  <c r="X70" i="30"/>
  <c r="N70" i="30"/>
  <c r="L70" i="30"/>
  <c r="B70" i="30"/>
  <c r="Z69" i="30"/>
  <c r="X69" i="30"/>
  <c r="N69" i="30"/>
  <c r="L69" i="30"/>
  <c r="B69" i="30"/>
  <c r="Z68" i="30"/>
  <c r="X68" i="30"/>
  <c r="N68" i="30"/>
  <c r="L68" i="30"/>
  <c r="B68" i="30"/>
  <c r="Z67" i="30"/>
  <c r="X67" i="30"/>
  <c r="N67" i="30"/>
  <c r="L67" i="30"/>
  <c r="B67" i="30"/>
  <c r="Z66" i="30"/>
  <c r="X66" i="30"/>
  <c r="V66" i="30"/>
  <c r="N66" i="30"/>
  <c r="L66" i="30"/>
  <c r="B66" i="30"/>
  <c r="Z65" i="30"/>
  <c r="X65" i="30"/>
  <c r="N65" i="30"/>
  <c r="L65" i="30"/>
  <c r="B65" i="30"/>
  <c r="Z64" i="30"/>
  <c r="X64" i="30"/>
  <c r="N64" i="30"/>
  <c r="L64" i="30"/>
  <c r="J64" i="30"/>
  <c r="B64" i="30"/>
  <c r="Z63" i="30"/>
  <c r="X63" i="30"/>
  <c r="N63" i="30"/>
  <c r="L63" i="30"/>
  <c r="B63" i="30"/>
  <c r="Z62" i="30"/>
  <c r="X62" i="30"/>
  <c r="V62" i="30"/>
  <c r="N62" i="30"/>
  <c r="L62" i="30"/>
  <c r="J62" i="30"/>
  <c r="B62" i="30"/>
  <c r="Z61" i="30"/>
  <c r="X61" i="30"/>
  <c r="N61" i="30"/>
  <c r="L61" i="30"/>
  <c r="B61" i="30"/>
  <c r="Z60" i="30"/>
  <c r="X60" i="30"/>
  <c r="N60" i="30"/>
  <c r="L60" i="30"/>
  <c r="B60" i="30"/>
  <c r="Z59" i="30"/>
  <c r="X59" i="30"/>
  <c r="N59" i="30"/>
  <c r="L59" i="30"/>
  <c r="B59" i="30"/>
  <c r="Z58" i="30"/>
  <c r="X58" i="30"/>
  <c r="V58" i="30"/>
  <c r="N58" i="30"/>
  <c r="L58" i="30"/>
  <c r="B58" i="30"/>
  <c r="Z57" i="30"/>
  <c r="X57" i="30"/>
  <c r="N57" i="30"/>
  <c r="L57" i="30"/>
  <c r="B57" i="30"/>
  <c r="Z56" i="30"/>
  <c r="X56" i="30"/>
  <c r="N56" i="30"/>
  <c r="L56" i="30"/>
  <c r="J56" i="30"/>
  <c r="B56" i="30"/>
  <c r="Z55" i="30"/>
  <c r="X55" i="30"/>
  <c r="N55" i="30"/>
  <c r="L55" i="30"/>
  <c r="B55" i="30"/>
  <c r="Z54" i="30"/>
  <c r="X54" i="30"/>
  <c r="V54" i="30"/>
  <c r="N54" i="30"/>
  <c r="L54" i="30"/>
  <c r="B54" i="30"/>
  <c r="Z53" i="30"/>
  <c r="X53" i="30"/>
  <c r="N53" i="30"/>
  <c r="L53" i="30"/>
  <c r="B53" i="30"/>
  <c r="Z52" i="30"/>
  <c r="X52" i="30"/>
  <c r="N52" i="30"/>
  <c r="L52" i="30"/>
  <c r="B52" i="30"/>
  <c r="X51" i="30"/>
  <c r="Z51" i="30" s="1"/>
  <c r="N51" i="30"/>
  <c r="L51" i="30"/>
  <c r="B51" i="30"/>
  <c r="Z50" i="30"/>
  <c r="V50" i="30"/>
  <c r="T50" i="30"/>
  <c r="P50" i="30"/>
  <c r="X50" i="30" s="1"/>
  <c r="N50" i="30"/>
  <c r="L50" i="30"/>
  <c r="H50" i="30"/>
  <c r="D50" i="30"/>
  <c r="Z48" i="30"/>
  <c r="P48" i="30"/>
  <c r="X48" i="30" s="1"/>
  <c r="N48" i="30"/>
  <c r="L48" i="30"/>
  <c r="D48" i="30"/>
  <c r="B48" i="30"/>
  <c r="Z47" i="30"/>
  <c r="X47" i="30"/>
  <c r="P47" i="30"/>
  <c r="N47" i="30"/>
  <c r="D47" i="30"/>
  <c r="L47" i="30" s="1"/>
  <c r="B47" i="30"/>
  <c r="Z46" i="30"/>
  <c r="P46" i="30"/>
  <c r="X46" i="30" s="1"/>
  <c r="N46" i="30"/>
  <c r="D46" i="30"/>
  <c r="L46" i="30" s="1"/>
  <c r="B46" i="30"/>
  <c r="Z45" i="30"/>
  <c r="P45" i="30"/>
  <c r="X45" i="30" s="1"/>
  <c r="N45" i="30"/>
  <c r="D45" i="30"/>
  <c r="L45" i="30" s="1"/>
  <c r="B45" i="30"/>
  <c r="Z44" i="30"/>
  <c r="P44" i="30"/>
  <c r="X44" i="30" s="1"/>
  <c r="N44" i="30"/>
  <c r="L44" i="30"/>
  <c r="D44" i="30"/>
  <c r="B44" i="30"/>
  <c r="Z43" i="30"/>
  <c r="X43" i="30"/>
  <c r="P43" i="30"/>
  <c r="N43" i="30"/>
  <c r="D43" i="30"/>
  <c r="L43" i="30" s="1"/>
  <c r="B43" i="30"/>
  <c r="Z42" i="30"/>
  <c r="X42" i="30"/>
  <c r="P42" i="30"/>
  <c r="N42" i="30"/>
  <c r="L42" i="30"/>
  <c r="D42" i="30"/>
  <c r="B42" i="30"/>
  <c r="Z41" i="30"/>
  <c r="X41" i="30"/>
  <c r="P41" i="30"/>
  <c r="N41" i="30"/>
  <c r="D41" i="30"/>
  <c r="L41" i="30" s="1"/>
  <c r="B41" i="30"/>
  <c r="Z40" i="30"/>
  <c r="P40" i="30"/>
  <c r="X40" i="30" s="1"/>
  <c r="N40" i="30"/>
  <c r="L40" i="30"/>
  <c r="D40" i="30"/>
  <c r="B40" i="30"/>
  <c r="Z39" i="30"/>
  <c r="X39" i="30"/>
  <c r="P39" i="30"/>
  <c r="N39" i="30"/>
  <c r="L39" i="30"/>
  <c r="D39" i="30"/>
  <c r="B39" i="30"/>
  <c r="Z38" i="30"/>
  <c r="P38" i="30"/>
  <c r="X38" i="30" s="1"/>
  <c r="N38" i="30"/>
  <c r="L38" i="30"/>
  <c r="D38" i="30"/>
  <c r="B38" i="30"/>
  <c r="Z37" i="30"/>
  <c r="X37" i="30"/>
  <c r="P37" i="30"/>
  <c r="N37" i="30"/>
  <c r="L37" i="30"/>
  <c r="D37" i="30"/>
  <c r="B37" i="30"/>
  <c r="Z36" i="30"/>
  <c r="P36" i="30"/>
  <c r="X36" i="30" s="1"/>
  <c r="N36" i="30"/>
  <c r="L36" i="30"/>
  <c r="D36" i="30"/>
  <c r="B36" i="30"/>
  <c r="Z35" i="30"/>
  <c r="X35" i="30"/>
  <c r="P35" i="30"/>
  <c r="N35" i="30"/>
  <c r="D35" i="30"/>
  <c r="L35" i="30" s="1"/>
  <c r="B35" i="30"/>
  <c r="Z34" i="30"/>
  <c r="P34" i="30"/>
  <c r="X34" i="30" s="1"/>
  <c r="N34" i="30"/>
  <c r="L34" i="30"/>
  <c r="D34" i="30"/>
  <c r="B34" i="30"/>
  <c r="Z33" i="30"/>
  <c r="P33" i="30"/>
  <c r="X33" i="30" s="1"/>
  <c r="N33" i="30"/>
  <c r="D33" i="30"/>
  <c r="L33" i="30" s="1"/>
  <c r="B33" i="30"/>
  <c r="Z32" i="30"/>
  <c r="P32" i="30"/>
  <c r="X32" i="30" s="1"/>
  <c r="N32" i="30"/>
  <c r="L32" i="30"/>
  <c r="D32" i="30"/>
  <c r="B32" i="30"/>
  <c r="Z31" i="30"/>
  <c r="X31" i="30"/>
  <c r="P31" i="30"/>
  <c r="N31" i="30"/>
  <c r="D31" i="30"/>
  <c r="L31" i="30" s="1"/>
  <c r="B31" i="30"/>
  <c r="Z30" i="30"/>
  <c r="X30" i="30"/>
  <c r="P30" i="30"/>
  <c r="N30" i="30"/>
  <c r="L30" i="30"/>
  <c r="D30" i="30"/>
  <c r="B30" i="30"/>
  <c r="Z29" i="30"/>
  <c r="X29" i="30"/>
  <c r="P29" i="30"/>
  <c r="N29" i="30"/>
  <c r="D29" i="30"/>
  <c r="L29" i="30" s="1"/>
  <c r="B29" i="30"/>
  <c r="Z28" i="30"/>
  <c r="X28" i="30"/>
  <c r="P28" i="30"/>
  <c r="N28" i="30"/>
  <c r="L28" i="30"/>
  <c r="D28" i="30"/>
  <c r="B28" i="30"/>
  <c r="Z27" i="30"/>
  <c r="X27" i="30"/>
  <c r="P27" i="30"/>
  <c r="N27" i="30"/>
  <c r="L27" i="30"/>
  <c r="D27" i="30"/>
  <c r="B27" i="30"/>
  <c r="Z26" i="30"/>
  <c r="P26" i="30"/>
  <c r="X26" i="30" s="1"/>
  <c r="N26" i="30"/>
  <c r="L26" i="30"/>
  <c r="D26" i="30"/>
  <c r="B26" i="30"/>
  <c r="Z25" i="30"/>
  <c r="X25" i="30"/>
  <c r="P25" i="30"/>
  <c r="N25" i="30"/>
  <c r="L25" i="30"/>
  <c r="D25" i="30"/>
  <c r="B25" i="30"/>
  <c r="Z24" i="30"/>
  <c r="P24" i="30"/>
  <c r="X24" i="30" s="1"/>
  <c r="N24" i="30"/>
  <c r="L24" i="30"/>
  <c r="D24" i="30"/>
  <c r="B24" i="30"/>
  <c r="Z23" i="30"/>
  <c r="P23" i="30"/>
  <c r="X23" i="30" s="1"/>
  <c r="N23" i="30"/>
  <c r="D23" i="30"/>
  <c r="L23" i="30" s="1"/>
  <c r="B23" i="30"/>
  <c r="Z22" i="30"/>
  <c r="P22" i="30"/>
  <c r="X22" i="30" s="1"/>
  <c r="N22" i="30"/>
  <c r="L22" i="30"/>
  <c r="D22" i="30"/>
  <c r="B22" i="30"/>
  <c r="Z21" i="30"/>
  <c r="X21" i="30"/>
  <c r="P21" i="30"/>
  <c r="N21" i="30"/>
  <c r="D21" i="30"/>
  <c r="L21" i="30" s="1"/>
  <c r="B21" i="30"/>
  <c r="Z20" i="30"/>
  <c r="P20" i="30"/>
  <c r="X20" i="30" s="1"/>
  <c r="N20" i="30"/>
  <c r="D20" i="30"/>
  <c r="L20" i="30" s="1"/>
  <c r="B20" i="30"/>
  <c r="Z19" i="30"/>
  <c r="X19" i="30"/>
  <c r="P19" i="30"/>
  <c r="N19" i="30"/>
  <c r="D19" i="30"/>
  <c r="L19" i="30" s="1"/>
  <c r="B19" i="30"/>
  <c r="Z18" i="30"/>
  <c r="X18" i="30"/>
  <c r="P18" i="30"/>
  <c r="N18" i="30"/>
  <c r="L18" i="30"/>
  <c r="D18" i="30"/>
  <c r="B18" i="30"/>
  <c r="Z17" i="30"/>
  <c r="X17" i="30"/>
  <c r="P17" i="30"/>
  <c r="N17" i="30"/>
  <c r="D17" i="30"/>
  <c r="L17" i="30" s="1"/>
  <c r="B17" i="30"/>
  <c r="Z16" i="30"/>
  <c r="X16" i="30"/>
  <c r="P16" i="30"/>
  <c r="N16" i="30"/>
  <c r="L16" i="30"/>
  <c r="D16" i="30"/>
  <c r="B16" i="30"/>
  <c r="Z15" i="30"/>
  <c r="X15" i="30"/>
  <c r="P15" i="30"/>
  <c r="N15" i="30"/>
  <c r="L15" i="30"/>
  <c r="D15" i="30"/>
  <c r="B15" i="30"/>
  <c r="Z14" i="30"/>
  <c r="P14" i="30"/>
  <c r="X14" i="30" s="1"/>
  <c r="N14" i="30"/>
  <c r="L14" i="30"/>
  <c r="D14" i="30"/>
  <c r="B14" i="30"/>
  <c r="P13" i="30"/>
  <c r="L13" i="30"/>
  <c r="N13" i="30" s="1"/>
  <c r="D13" i="30"/>
  <c r="B13" i="30"/>
  <c r="T12" i="30"/>
  <c r="V153" i="30" s="1"/>
  <c r="H12" i="30"/>
  <c r="J52" i="30" s="1"/>
  <c r="D4" i="30"/>
  <c r="Z112" i="27"/>
  <c r="X112" i="27"/>
  <c r="L112" i="27"/>
  <c r="N112" i="27" s="1"/>
  <c r="J112" i="27"/>
  <c r="Z108" i="27"/>
  <c r="P108" i="27"/>
  <c r="X108" i="27" s="1"/>
  <c r="N108" i="27"/>
  <c r="D108" i="27"/>
  <c r="L108" i="27" s="1"/>
  <c r="B108" i="27"/>
  <c r="X107" i="27"/>
  <c r="Z107" i="27" s="1"/>
  <c r="P107" i="27"/>
  <c r="P105" i="27" s="1"/>
  <c r="N107" i="27"/>
  <c r="L107" i="27"/>
  <c r="J107" i="27"/>
  <c r="D107" i="27"/>
  <c r="B107" i="27"/>
  <c r="X106" i="27"/>
  <c r="Z106" i="27" s="1"/>
  <c r="V106" i="27"/>
  <c r="P106" i="27"/>
  <c r="N106" i="27"/>
  <c r="L106" i="27"/>
  <c r="D106" i="27"/>
  <c r="D105" i="27" s="1"/>
  <c r="L105" i="27" s="1"/>
  <c r="B106" i="27"/>
  <c r="T105" i="27"/>
  <c r="H105" i="27"/>
  <c r="Z103" i="27"/>
  <c r="X103" i="27"/>
  <c r="V103" i="27"/>
  <c r="N103" i="27"/>
  <c r="L103" i="27"/>
  <c r="B103" i="27"/>
  <c r="Z102" i="27"/>
  <c r="T102" i="27"/>
  <c r="P102" i="27"/>
  <c r="X102" i="27" s="1"/>
  <c r="N102" i="27"/>
  <c r="H102" i="27"/>
  <c r="L102" i="27" s="1"/>
  <c r="D102" i="27"/>
  <c r="B102" i="27"/>
  <c r="Z101" i="27"/>
  <c r="X101" i="27"/>
  <c r="L101" i="27"/>
  <c r="N101" i="27" s="1"/>
  <c r="B101" i="27"/>
  <c r="Z100" i="27"/>
  <c r="X100" i="27"/>
  <c r="V100" i="27"/>
  <c r="L100" i="27"/>
  <c r="N100" i="27" s="1"/>
  <c r="B100" i="27"/>
  <c r="T99" i="27"/>
  <c r="Z99" i="27" s="1"/>
  <c r="P99" i="27"/>
  <c r="X99" i="27" s="1"/>
  <c r="H99" i="27"/>
  <c r="D99" i="27"/>
  <c r="L99" i="27" s="1"/>
  <c r="B99" i="27"/>
  <c r="X98" i="27"/>
  <c r="Z98" i="27" s="1"/>
  <c r="N98" i="27"/>
  <c r="L98" i="27"/>
  <c r="B98" i="27"/>
  <c r="Z97" i="27"/>
  <c r="X97" i="27"/>
  <c r="N97" i="27"/>
  <c r="L97" i="27"/>
  <c r="B97" i="27"/>
  <c r="X96" i="27"/>
  <c r="Z96" i="27" s="1"/>
  <c r="N96" i="27"/>
  <c r="L96" i="27"/>
  <c r="B96" i="27"/>
  <c r="X95" i="27"/>
  <c r="T95" i="27"/>
  <c r="Z95" i="27" s="1"/>
  <c r="P95" i="27"/>
  <c r="L95" i="27"/>
  <c r="N95" i="27" s="1"/>
  <c r="H95" i="27"/>
  <c r="D95" i="27"/>
  <c r="B95" i="27"/>
  <c r="Z94" i="27"/>
  <c r="X94" i="27"/>
  <c r="L94" i="27"/>
  <c r="N94" i="27" s="1"/>
  <c r="J94" i="27"/>
  <c r="B94" i="27"/>
  <c r="T93" i="27"/>
  <c r="P93" i="27"/>
  <c r="H93" i="27"/>
  <c r="D93" i="27"/>
  <c r="B93" i="27"/>
  <c r="Z92" i="27"/>
  <c r="X92" i="27"/>
  <c r="V92" i="27"/>
  <c r="L92" i="27"/>
  <c r="N92" i="27" s="1"/>
  <c r="B92" i="27"/>
  <c r="Z91" i="27"/>
  <c r="X91" i="27"/>
  <c r="L91" i="27"/>
  <c r="N91" i="27" s="1"/>
  <c r="B91" i="27"/>
  <c r="X90" i="27"/>
  <c r="Z90" i="27" s="1"/>
  <c r="V90" i="27"/>
  <c r="T90" i="27"/>
  <c r="P90" i="27"/>
  <c r="J90" i="27"/>
  <c r="H90" i="27"/>
  <c r="D90" i="27"/>
  <c r="L90" i="27" s="1"/>
  <c r="N90" i="27" s="1"/>
  <c r="B90" i="27"/>
  <c r="X89" i="27"/>
  <c r="Z89" i="27" s="1"/>
  <c r="N89" i="27"/>
  <c r="L89" i="27"/>
  <c r="B89" i="27"/>
  <c r="T88" i="27"/>
  <c r="P88" i="27"/>
  <c r="L88" i="27"/>
  <c r="H88" i="27"/>
  <c r="N88" i="27" s="1"/>
  <c r="D88" i="27"/>
  <c r="B88" i="27"/>
  <c r="Z87" i="27"/>
  <c r="X87" i="27"/>
  <c r="V87" i="27"/>
  <c r="N87" i="27"/>
  <c r="L87" i="27"/>
  <c r="J87" i="27"/>
  <c r="B87" i="27"/>
  <c r="Z86" i="27"/>
  <c r="X86" i="27"/>
  <c r="N86" i="27"/>
  <c r="L86" i="27"/>
  <c r="J86" i="27"/>
  <c r="B86" i="27"/>
  <c r="T85" i="27"/>
  <c r="P85" i="27"/>
  <c r="J85" i="27"/>
  <c r="H85" i="27"/>
  <c r="D85" i="27"/>
  <c r="B85" i="27"/>
  <c r="Z84" i="27"/>
  <c r="X84" i="27"/>
  <c r="V84" i="27"/>
  <c r="L84" i="27"/>
  <c r="N84" i="27" s="1"/>
  <c r="J84" i="27"/>
  <c r="B84" i="27"/>
  <c r="T83" i="27"/>
  <c r="Z83" i="27" s="1"/>
  <c r="P83" i="27"/>
  <c r="X83" i="27" s="1"/>
  <c r="H83" i="27"/>
  <c r="D83" i="27"/>
  <c r="L83" i="27" s="1"/>
  <c r="B83" i="27"/>
  <c r="X82" i="27"/>
  <c r="Z82" i="27" s="1"/>
  <c r="N82" i="27"/>
  <c r="L82" i="27"/>
  <c r="B82" i="27"/>
  <c r="Z81" i="27"/>
  <c r="X81" i="27"/>
  <c r="T81" i="27"/>
  <c r="P81" i="27"/>
  <c r="L81" i="27"/>
  <c r="H81" i="27"/>
  <c r="N81" i="27" s="1"/>
  <c r="D81" i="27"/>
  <c r="B81" i="27"/>
  <c r="Z80" i="27"/>
  <c r="X80" i="27"/>
  <c r="N80" i="27"/>
  <c r="L80" i="27"/>
  <c r="J80" i="27"/>
  <c r="B80" i="27"/>
  <c r="V79" i="27"/>
  <c r="T79" i="27"/>
  <c r="P79" i="27"/>
  <c r="H79" i="27"/>
  <c r="D79" i="27"/>
  <c r="B79" i="27"/>
  <c r="X78" i="27"/>
  <c r="Z78" i="27" s="1"/>
  <c r="V78" i="27"/>
  <c r="L78" i="27"/>
  <c r="N78" i="27" s="1"/>
  <c r="B78" i="27"/>
  <c r="T77" i="27"/>
  <c r="P77" i="27"/>
  <c r="X77" i="27" s="1"/>
  <c r="J77" i="27"/>
  <c r="H77" i="27"/>
  <c r="N77" i="27" s="1"/>
  <c r="D77" i="27"/>
  <c r="L77" i="27" s="1"/>
  <c r="B77" i="27"/>
  <c r="X76" i="27"/>
  <c r="Z76" i="27" s="1"/>
  <c r="N76" i="27"/>
  <c r="L76" i="27"/>
  <c r="B76" i="27"/>
  <c r="X75" i="27"/>
  <c r="T75" i="27"/>
  <c r="P75" i="27"/>
  <c r="N75" i="27"/>
  <c r="L75" i="27"/>
  <c r="H75" i="27"/>
  <c r="D75" i="27"/>
  <c r="B75" i="27"/>
  <c r="Z74" i="27"/>
  <c r="X74" i="27"/>
  <c r="N74" i="27"/>
  <c r="L74" i="27"/>
  <c r="J74" i="27"/>
  <c r="B74" i="27"/>
  <c r="Z73" i="27"/>
  <c r="X73" i="27"/>
  <c r="N73" i="27"/>
  <c r="L73" i="27"/>
  <c r="B73" i="27"/>
  <c r="Z72" i="27"/>
  <c r="X72" i="27"/>
  <c r="N72" i="27"/>
  <c r="L72" i="27"/>
  <c r="J72" i="27"/>
  <c r="B72" i="27"/>
  <c r="X71" i="27"/>
  <c r="Z71" i="27" s="1"/>
  <c r="V71" i="27"/>
  <c r="N71" i="27"/>
  <c r="L71" i="27"/>
  <c r="J71" i="27"/>
  <c r="B71" i="27"/>
  <c r="Z70" i="27"/>
  <c r="X70" i="27"/>
  <c r="N70" i="27"/>
  <c r="L70" i="27"/>
  <c r="J70" i="27"/>
  <c r="B70" i="27"/>
  <c r="Z69" i="27"/>
  <c r="X69" i="27"/>
  <c r="N69" i="27"/>
  <c r="L69" i="27"/>
  <c r="J69" i="27"/>
  <c r="B69" i="27"/>
  <c r="Z68" i="27"/>
  <c r="X68" i="27"/>
  <c r="N68" i="27"/>
  <c r="L68" i="27"/>
  <c r="J68" i="27"/>
  <c r="B68" i="27"/>
  <c r="Z67" i="27"/>
  <c r="X67" i="27"/>
  <c r="V67" i="27"/>
  <c r="N67" i="27"/>
  <c r="L67" i="27"/>
  <c r="J67" i="27"/>
  <c r="B67" i="27"/>
  <c r="Z66" i="27"/>
  <c r="X66" i="27"/>
  <c r="L66" i="27"/>
  <c r="N66" i="27" s="1"/>
  <c r="J66" i="27"/>
  <c r="B66" i="27"/>
  <c r="Z65" i="27"/>
  <c r="X65" i="27"/>
  <c r="N65" i="27"/>
  <c r="L65" i="27"/>
  <c r="J65" i="27"/>
  <c r="B65" i="27"/>
  <c r="Z64" i="27"/>
  <c r="T64" i="27"/>
  <c r="X64" i="27" s="1"/>
  <c r="P64" i="27"/>
  <c r="N64" i="27"/>
  <c r="H64" i="27"/>
  <c r="D64" i="27"/>
  <c r="L64" i="27" s="1"/>
  <c r="B64" i="27"/>
  <c r="Z63" i="27"/>
  <c r="X63" i="27"/>
  <c r="L63" i="27"/>
  <c r="N63" i="27" s="1"/>
  <c r="B63" i="27"/>
  <c r="X62" i="27"/>
  <c r="Z62" i="27" s="1"/>
  <c r="V62" i="27"/>
  <c r="L62" i="27"/>
  <c r="N62" i="27" s="1"/>
  <c r="J62" i="27"/>
  <c r="B62" i="27"/>
  <c r="X61" i="27"/>
  <c r="Z61" i="27" s="1"/>
  <c r="L61" i="27"/>
  <c r="N61" i="27" s="1"/>
  <c r="B61" i="27"/>
  <c r="Z60" i="27"/>
  <c r="X60" i="27"/>
  <c r="V60" i="27"/>
  <c r="N60" i="27"/>
  <c r="L60" i="27"/>
  <c r="J60" i="27"/>
  <c r="B60" i="27"/>
  <c r="Z59" i="27"/>
  <c r="X59" i="27"/>
  <c r="N59" i="27"/>
  <c r="L59" i="27"/>
  <c r="B59" i="27"/>
  <c r="X58" i="27"/>
  <c r="Z58" i="27" s="1"/>
  <c r="V58" i="27"/>
  <c r="L58" i="27"/>
  <c r="N58" i="27" s="1"/>
  <c r="J58" i="27"/>
  <c r="B58" i="27"/>
  <c r="X57" i="27"/>
  <c r="Z57" i="27" s="1"/>
  <c r="N57" i="27"/>
  <c r="L57" i="27"/>
  <c r="B57" i="27"/>
  <c r="Z56" i="27"/>
  <c r="X56" i="27"/>
  <c r="V56" i="27"/>
  <c r="L56" i="27"/>
  <c r="N56" i="27" s="1"/>
  <c r="J56" i="27"/>
  <c r="B56" i="27"/>
  <c r="Z55" i="27"/>
  <c r="X55" i="27"/>
  <c r="L55" i="27"/>
  <c r="N55" i="27" s="1"/>
  <c r="B55" i="27"/>
  <c r="X54" i="27"/>
  <c r="Z54" i="27" s="1"/>
  <c r="V54" i="27"/>
  <c r="L54" i="27"/>
  <c r="N54" i="27" s="1"/>
  <c r="J54" i="27"/>
  <c r="B54" i="27"/>
  <c r="T53" i="27"/>
  <c r="P53" i="27"/>
  <c r="X53" i="27" s="1"/>
  <c r="J53" i="27"/>
  <c r="H53" i="27"/>
  <c r="N53" i="27" s="1"/>
  <c r="D53" i="27"/>
  <c r="L53" i="27" s="1"/>
  <c r="B53" i="27"/>
  <c r="T52" i="27"/>
  <c r="P52" i="27"/>
  <c r="H52" i="27"/>
  <c r="D52" i="27"/>
  <c r="T50" i="27"/>
  <c r="Z48" i="27"/>
  <c r="X48" i="27"/>
  <c r="N48" i="27"/>
  <c r="L48" i="27"/>
  <c r="B48" i="27"/>
  <c r="Z47" i="27"/>
  <c r="X47" i="27"/>
  <c r="N47" i="27"/>
  <c r="L47" i="27"/>
  <c r="J47" i="27"/>
  <c r="B47" i="27"/>
  <c r="Z46" i="27"/>
  <c r="X46" i="27"/>
  <c r="N46" i="27"/>
  <c r="L46" i="27"/>
  <c r="B46" i="27"/>
  <c r="Z45" i="27"/>
  <c r="X45" i="27"/>
  <c r="N45" i="27"/>
  <c r="L45" i="27"/>
  <c r="J45" i="27"/>
  <c r="B45" i="27"/>
  <c r="Z44" i="27"/>
  <c r="X44" i="27"/>
  <c r="N44" i="27"/>
  <c r="L44" i="27"/>
  <c r="B44" i="27"/>
  <c r="Z43" i="27"/>
  <c r="X43" i="27"/>
  <c r="N43" i="27"/>
  <c r="L43" i="27"/>
  <c r="J43" i="27"/>
  <c r="B43" i="27"/>
  <c r="Z42" i="27"/>
  <c r="X42" i="27"/>
  <c r="N42" i="27"/>
  <c r="L42" i="27"/>
  <c r="B42" i="27"/>
  <c r="Z41" i="27"/>
  <c r="X41" i="27"/>
  <c r="N41" i="27"/>
  <c r="L41" i="27"/>
  <c r="J41" i="27"/>
  <c r="B41" i="27"/>
  <c r="Z40" i="27"/>
  <c r="X40" i="27"/>
  <c r="N40" i="27"/>
  <c r="L40" i="27"/>
  <c r="B40" i="27"/>
  <c r="Z39" i="27"/>
  <c r="X39" i="27"/>
  <c r="N39" i="27"/>
  <c r="L39" i="27"/>
  <c r="J39" i="27"/>
  <c r="B39" i="27"/>
  <c r="Z38" i="27"/>
  <c r="X38" i="27"/>
  <c r="N38" i="27"/>
  <c r="L38" i="27"/>
  <c r="J38" i="27"/>
  <c r="B38" i="27"/>
  <c r="Z37" i="27"/>
  <c r="X37" i="27"/>
  <c r="N37" i="27"/>
  <c r="L37" i="27"/>
  <c r="J37" i="27"/>
  <c r="B37" i="27"/>
  <c r="X36" i="27"/>
  <c r="Z36" i="27" s="1"/>
  <c r="N36" i="27"/>
  <c r="L36" i="27"/>
  <c r="B36" i="27"/>
  <c r="X35" i="27"/>
  <c r="Z35" i="27" s="1"/>
  <c r="T35" i="27"/>
  <c r="P35" i="27"/>
  <c r="L35" i="27"/>
  <c r="N35" i="27" s="1"/>
  <c r="J35" i="27"/>
  <c r="H35" i="27"/>
  <c r="D35" i="27"/>
  <c r="Z33" i="27"/>
  <c r="X33" i="27"/>
  <c r="P33" i="27"/>
  <c r="N33" i="27"/>
  <c r="D33" i="27"/>
  <c r="L33" i="27" s="1"/>
  <c r="B33" i="27"/>
  <c r="Z32" i="27"/>
  <c r="X32" i="27"/>
  <c r="P32" i="27"/>
  <c r="N32" i="27"/>
  <c r="L32" i="27"/>
  <c r="D32" i="27"/>
  <c r="B32" i="27"/>
  <c r="Z31" i="27"/>
  <c r="P31" i="27"/>
  <c r="X31" i="27" s="1"/>
  <c r="N31" i="27"/>
  <c r="D31" i="27"/>
  <c r="L31" i="27" s="1"/>
  <c r="B31" i="27"/>
  <c r="Z30" i="27"/>
  <c r="X30" i="27"/>
  <c r="P30" i="27"/>
  <c r="N30" i="27"/>
  <c r="L30" i="27"/>
  <c r="D30" i="27"/>
  <c r="B30" i="27"/>
  <c r="Z29" i="27"/>
  <c r="P29" i="27"/>
  <c r="X29" i="27" s="1"/>
  <c r="N29" i="27"/>
  <c r="L29" i="27"/>
  <c r="D29" i="27"/>
  <c r="B29" i="27"/>
  <c r="Z28" i="27"/>
  <c r="P28" i="27"/>
  <c r="X28" i="27" s="1"/>
  <c r="N28" i="27"/>
  <c r="D28" i="27"/>
  <c r="L28" i="27" s="1"/>
  <c r="B28" i="27"/>
  <c r="Z27" i="27"/>
  <c r="X27" i="27"/>
  <c r="P27" i="27"/>
  <c r="N27" i="27"/>
  <c r="L27" i="27"/>
  <c r="D27" i="27"/>
  <c r="B27" i="27"/>
  <c r="Z26" i="27"/>
  <c r="X26" i="27"/>
  <c r="P26" i="27"/>
  <c r="N26" i="27"/>
  <c r="D26" i="27"/>
  <c r="L26" i="27" s="1"/>
  <c r="B26" i="27"/>
  <c r="Z25" i="27"/>
  <c r="P25" i="27"/>
  <c r="X25" i="27" s="1"/>
  <c r="N25" i="27"/>
  <c r="D25" i="27"/>
  <c r="L25" i="27" s="1"/>
  <c r="B25" i="27"/>
  <c r="Z24" i="27"/>
  <c r="P24" i="27"/>
  <c r="X24" i="27" s="1"/>
  <c r="N24" i="27"/>
  <c r="L24" i="27"/>
  <c r="D24" i="27"/>
  <c r="B24" i="27"/>
  <c r="Z23" i="27"/>
  <c r="X23" i="27"/>
  <c r="P23" i="27"/>
  <c r="N23" i="27"/>
  <c r="L23" i="27"/>
  <c r="D23" i="27"/>
  <c r="B23" i="27"/>
  <c r="Z22" i="27"/>
  <c r="X22" i="27"/>
  <c r="P22" i="27"/>
  <c r="N22" i="27"/>
  <c r="D22" i="27"/>
  <c r="L22" i="27" s="1"/>
  <c r="B22" i="27"/>
  <c r="Z21" i="27"/>
  <c r="X21" i="27"/>
  <c r="P21" i="27"/>
  <c r="N21" i="27"/>
  <c r="D21" i="27"/>
  <c r="L21" i="27" s="1"/>
  <c r="B21" i="27"/>
  <c r="Z20" i="27"/>
  <c r="X20" i="27"/>
  <c r="P20" i="27"/>
  <c r="N20" i="27"/>
  <c r="L20" i="27"/>
  <c r="D20" i="27"/>
  <c r="B20" i="27"/>
  <c r="Z19" i="27"/>
  <c r="P19" i="27"/>
  <c r="X19" i="27" s="1"/>
  <c r="N19" i="27"/>
  <c r="L19" i="27"/>
  <c r="D19" i="27"/>
  <c r="B19" i="27"/>
  <c r="Z18" i="27"/>
  <c r="X18" i="27"/>
  <c r="P18" i="27"/>
  <c r="N18" i="27"/>
  <c r="L18" i="27"/>
  <c r="D18" i="27"/>
  <c r="B18" i="27"/>
  <c r="Z17" i="27"/>
  <c r="P17" i="27"/>
  <c r="X17" i="27" s="1"/>
  <c r="N17" i="27"/>
  <c r="L17" i="27"/>
  <c r="D17" i="27"/>
  <c r="B17" i="27"/>
  <c r="Z16" i="27"/>
  <c r="P16" i="27"/>
  <c r="X16" i="27" s="1"/>
  <c r="N16" i="27"/>
  <c r="D16" i="27"/>
  <c r="L16" i="27" s="1"/>
  <c r="B16" i="27"/>
  <c r="Z15" i="27"/>
  <c r="X15" i="27"/>
  <c r="P15" i="27"/>
  <c r="N15" i="27"/>
  <c r="L15" i="27"/>
  <c r="D15" i="27"/>
  <c r="B15" i="27"/>
  <c r="Z14" i="27"/>
  <c r="X14" i="27"/>
  <c r="P14" i="27"/>
  <c r="N14" i="27"/>
  <c r="D14" i="27"/>
  <c r="L14" i="27" s="1"/>
  <c r="B14" i="27"/>
  <c r="P13" i="27"/>
  <c r="X13" i="27" s="1"/>
  <c r="Z13" i="27" s="1"/>
  <c r="D13" i="27"/>
  <c r="B13" i="27"/>
  <c r="T12" i="27"/>
  <c r="V107" i="27" s="1"/>
  <c r="H12" i="27"/>
  <c r="D4" i="27"/>
  <c r="Z94" i="24"/>
  <c r="X94" i="24"/>
  <c r="N94" i="24"/>
  <c r="L94" i="24"/>
  <c r="T90" i="24"/>
  <c r="P90" i="24"/>
  <c r="H90" i="24"/>
  <c r="D90" i="24"/>
  <c r="X88" i="24"/>
  <c r="Z88" i="24" s="1"/>
  <c r="N88" i="24"/>
  <c r="L88" i="24"/>
  <c r="B88" i="24"/>
  <c r="Z87" i="24"/>
  <c r="T87" i="24"/>
  <c r="X87" i="24" s="1"/>
  <c r="P87" i="24"/>
  <c r="N87" i="24"/>
  <c r="H87" i="24"/>
  <c r="D87" i="24"/>
  <c r="L87" i="24" s="1"/>
  <c r="B87" i="24"/>
  <c r="Z86" i="24"/>
  <c r="X86" i="24"/>
  <c r="N86" i="24"/>
  <c r="L86" i="24"/>
  <c r="B86" i="24"/>
  <c r="X85" i="24"/>
  <c r="Z85" i="24" s="1"/>
  <c r="V85" i="24"/>
  <c r="L85" i="24"/>
  <c r="N85" i="24" s="1"/>
  <c r="B85" i="24"/>
  <c r="T84" i="24"/>
  <c r="P84" i="24"/>
  <c r="X84" i="24" s="1"/>
  <c r="H84" i="24"/>
  <c r="D84" i="24"/>
  <c r="L84" i="24" s="1"/>
  <c r="B84" i="24"/>
  <c r="X83" i="24"/>
  <c r="Z83" i="24" s="1"/>
  <c r="N83" i="24"/>
  <c r="L83" i="24"/>
  <c r="B83" i="24"/>
  <c r="X82" i="24"/>
  <c r="Z82" i="24" s="1"/>
  <c r="L82" i="24"/>
  <c r="N82" i="24" s="1"/>
  <c r="J82" i="24"/>
  <c r="B82" i="24"/>
  <c r="Z81" i="24"/>
  <c r="X81" i="24"/>
  <c r="N81" i="24"/>
  <c r="L81" i="24"/>
  <c r="B81" i="24"/>
  <c r="X80" i="24"/>
  <c r="Z80" i="24" s="1"/>
  <c r="L80" i="24"/>
  <c r="N80" i="24" s="1"/>
  <c r="B80" i="24"/>
  <c r="T79" i="24"/>
  <c r="P79" i="24"/>
  <c r="L79" i="24"/>
  <c r="H79" i="24"/>
  <c r="N79" i="24" s="1"/>
  <c r="D79" i="24"/>
  <c r="B79" i="24"/>
  <c r="X78" i="24"/>
  <c r="Z78" i="24" s="1"/>
  <c r="V78" i="24"/>
  <c r="N78" i="24"/>
  <c r="L78" i="24"/>
  <c r="B78" i="24"/>
  <c r="Z77" i="24"/>
  <c r="X77" i="24"/>
  <c r="N77" i="24"/>
  <c r="L77" i="24"/>
  <c r="J77" i="24"/>
  <c r="B77" i="24"/>
  <c r="T76" i="24"/>
  <c r="P76" i="24"/>
  <c r="H76" i="24"/>
  <c r="D76" i="24"/>
  <c r="B76" i="24"/>
  <c r="Z75" i="24"/>
  <c r="X75" i="24"/>
  <c r="V75" i="24"/>
  <c r="L75" i="24"/>
  <c r="N75" i="24" s="1"/>
  <c r="B75" i="24"/>
  <c r="Z74" i="24"/>
  <c r="X74" i="24"/>
  <c r="N74" i="24"/>
  <c r="L74" i="24"/>
  <c r="B74" i="24"/>
  <c r="X73" i="24"/>
  <c r="Z73" i="24" s="1"/>
  <c r="V73" i="24"/>
  <c r="T73" i="24"/>
  <c r="P73" i="24"/>
  <c r="J73" i="24"/>
  <c r="H73" i="24"/>
  <c r="D73" i="24"/>
  <c r="L73" i="24" s="1"/>
  <c r="N73" i="24" s="1"/>
  <c r="B73" i="24"/>
  <c r="Z72" i="24"/>
  <c r="X72" i="24"/>
  <c r="N72" i="24"/>
  <c r="L72" i="24"/>
  <c r="B72" i="24"/>
  <c r="T71" i="24"/>
  <c r="P71" i="24"/>
  <c r="L71" i="24"/>
  <c r="H71" i="24"/>
  <c r="N71" i="24" s="1"/>
  <c r="D71" i="24"/>
  <c r="B71" i="24"/>
  <c r="X70" i="24"/>
  <c r="Z70" i="24" s="1"/>
  <c r="V70" i="24"/>
  <c r="N70" i="24"/>
  <c r="L70" i="24"/>
  <c r="B70" i="24"/>
  <c r="Z69" i="24"/>
  <c r="T69" i="24"/>
  <c r="P69" i="24"/>
  <c r="X69" i="24" s="1"/>
  <c r="N69" i="24"/>
  <c r="H69" i="24"/>
  <c r="L69" i="24" s="1"/>
  <c r="D69" i="24"/>
  <c r="B69" i="24"/>
  <c r="Z68" i="24"/>
  <c r="X68" i="24"/>
  <c r="L68" i="24"/>
  <c r="N68" i="24" s="1"/>
  <c r="B68" i="24"/>
  <c r="V67" i="24"/>
  <c r="T67" i="24"/>
  <c r="P67" i="24"/>
  <c r="X67" i="24" s="1"/>
  <c r="Z67" i="24" s="1"/>
  <c r="L67" i="24"/>
  <c r="N67" i="24" s="1"/>
  <c r="J67" i="24"/>
  <c r="H67" i="24"/>
  <c r="D67" i="24"/>
  <c r="B67" i="24"/>
  <c r="Z66" i="24"/>
  <c r="X66" i="24"/>
  <c r="N66" i="24"/>
  <c r="L66" i="24"/>
  <c r="J66" i="24"/>
  <c r="B66" i="24"/>
  <c r="X65" i="24"/>
  <c r="Z65" i="24" s="1"/>
  <c r="N65" i="24"/>
  <c r="L65" i="24"/>
  <c r="B65" i="24"/>
  <c r="Z64" i="24"/>
  <c r="X64" i="24"/>
  <c r="T64" i="24"/>
  <c r="P64" i="24"/>
  <c r="L64" i="24"/>
  <c r="H64" i="24"/>
  <c r="N64" i="24" s="1"/>
  <c r="D64" i="24"/>
  <c r="B64" i="24"/>
  <c r="Z63" i="24"/>
  <c r="X63" i="24"/>
  <c r="N63" i="24"/>
  <c r="L63" i="24"/>
  <c r="J63" i="24"/>
  <c r="B63" i="24"/>
  <c r="T62" i="24"/>
  <c r="P62" i="24"/>
  <c r="H62" i="24"/>
  <c r="D62" i="24"/>
  <c r="B62" i="24"/>
  <c r="Z61" i="24"/>
  <c r="X61" i="24"/>
  <c r="V61" i="24"/>
  <c r="N61" i="24"/>
  <c r="L61" i="24"/>
  <c r="B61" i="24"/>
  <c r="T60" i="24"/>
  <c r="Z60" i="24" s="1"/>
  <c r="P60" i="24"/>
  <c r="X60" i="24" s="1"/>
  <c r="H60" i="24"/>
  <c r="N60" i="24" s="1"/>
  <c r="D60" i="24"/>
  <c r="L60" i="24" s="1"/>
  <c r="B60" i="24"/>
  <c r="X59" i="24"/>
  <c r="Z59" i="24" s="1"/>
  <c r="N59" i="24"/>
  <c r="L59" i="24"/>
  <c r="B59" i="24"/>
  <c r="X58" i="24"/>
  <c r="T58" i="24"/>
  <c r="Z58" i="24" s="1"/>
  <c r="P58" i="24"/>
  <c r="L58" i="24"/>
  <c r="N58" i="24" s="1"/>
  <c r="H58" i="24"/>
  <c r="D58" i="24"/>
  <c r="B58" i="24"/>
  <c r="Z57" i="24"/>
  <c r="X57" i="24"/>
  <c r="N57" i="24"/>
  <c r="L57" i="24"/>
  <c r="J57" i="24"/>
  <c r="B57" i="24"/>
  <c r="Z56" i="24"/>
  <c r="X56" i="24"/>
  <c r="N56" i="24"/>
  <c r="L56" i="24"/>
  <c r="B56" i="24"/>
  <c r="Z55" i="24"/>
  <c r="X55" i="24"/>
  <c r="N55" i="24"/>
  <c r="L55" i="24"/>
  <c r="J55" i="24"/>
  <c r="B55" i="24"/>
  <c r="Z54" i="24"/>
  <c r="X54" i="24"/>
  <c r="V54" i="24"/>
  <c r="N54" i="24"/>
  <c r="L54" i="24"/>
  <c r="B54" i="24"/>
  <c r="Z53" i="24"/>
  <c r="X53" i="24"/>
  <c r="N53" i="24"/>
  <c r="L53" i="24"/>
  <c r="J53" i="24"/>
  <c r="B53" i="24"/>
  <c r="Z52" i="24"/>
  <c r="X52" i="24"/>
  <c r="N52" i="24"/>
  <c r="L52" i="24"/>
  <c r="B52" i="24"/>
  <c r="Z51" i="24"/>
  <c r="X51" i="24"/>
  <c r="N51" i="24"/>
  <c r="L51" i="24"/>
  <c r="J51" i="24"/>
  <c r="B51" i="24"/>
  <c r="Z50" i="24"/>
  <c r="X50" i="24"/>
  <c r="V50" i="24"/>
  <c r="N50" i="24"/>
  <c r="L50" i="24"/>
  <c r="B50" i="24"/>
  <c r="Z49" i="24"/>
  <c r="X49" i="24"/>
  <c r="N49" i="24"/>
  <c r="L49" i="24"/>
  <c r="J49" i="24"/>
  <c r="B49" i="24"/>
  <c r="X48" i="24"/>
  <c r="Z48" i="24" s="1"/>
  <c r="N48" i="24"/>
  <c r="L48" i="24"/>
  <c r="B48" i="24"/>
  <c r="T47" i="24"/>
  <c r="P47" i="24"/>
  <c r="X47" i="24" s="1"/>
  <c r="Z47" i="24" s="1"/>
  <c r="H47" i="24"/>
  <c r="D47" i="24"/>
  <c r="L47" i="24" s="1"/>
  <c r="N47" i="24" s="1"/>
  <c r="B47" i="24"/>
  <c r="X46" i="24"/>
  <c r="Z46" i="24" s="1"/>
  <c r="V46" i="24"/>
  <c r="L46" i="24"/>
  <c r="N46" i="24" s="1"/>
  <c r="B46" i="24"/>
  <c r="X45" i="24"/>
  <c r="Z45" i="24" s="1"/>
  <c r="V45" i="24"/>
  <c r="L45" i="24"/>
  <c r="N45" i="24" s="1"/>
  <c r="J45" i="24"/>
  <c r="B45" i="24"/>
  <c r="Z44" i="24"/>
  <c r="X44" i="24"/>
  <c r="N44" i="24"/>
  <c r="L44" i="24"/>
  <c r="B44" i="24"/>
  <c r="Z43" i="24"/>
  <c r="X43" i="24"/>
  <c r="V43" i="24"/>
  <c r="L43" i="24"/>
  <c r="N43" i="24" s="1"/>
  <c r="J43" i="24"/>
  <c r="B43" i="24"/>
  <c r="X42" i="24"/>
  <c r="Z42" i="24" s="1"/>
  <c r="V42" i="24"/>
  <c r="L42" i="24"/>
  <c r="N42" i="24" s="1"/>
  <c r="B42" i="24"/>
  <c r="X41" i="24"/>
  <c r="Z41" i="24" s="1"/>
  <c r="V41" i="24"/>
  <c r="L41" i="24"/>
  <c r="N41" i="24" s="1"/>
  <c r="J41" i="24"/>
  <c r="B41" i="24"/>
  <c r="Z40" i="24"/>
  <c r="X40" i="24"/>
  <c r="L40" i="24"/>
  <c r="N40" i="24" s="1"/>
  <c r="B40" i="24"/>
  <c r="Z39" i="24"/>
  <c r="X39" i="24"/>
  <c r="V39" i="24"/>
  <c r="L39" i="24"/>
  <c r="N39" i="24" s="1"/>
  <c r="J39" i="24"/>
  <c r="B39" i="24"/>
  <c r="V38" i="24"/>
  <c r="T38" i="24"/>
  <c r="P38" i="24"/>
  <c r="X38" i="24" s="1"/>
  <c r="H38" i="24"/>
  <c r="N38" i="24" s="1"/>
  <c r="D38" i="24"/>
  <c r="L38" i="24" s="1"/>
  <c r="B38" i="24"/>
  <c r="V37" i="24"/>
  <c r="T37" i="24"/>
  <c r="P37" i="24"/>
  <c r="X37" i="24" s="1"/>
  <c r="H37" i="24"/>
  <c r="D37" i="24"/>
  <c r="Z33" i="24"/>
  <c r="X33" i="24"/>
  <c r="V33" i="24"/>
  <c r="N33" i="24"/>
  <c r="L33" i="24"/>
  <c r="B33" i="24"/>
  <c r="Z32" i="24"/>
  <c r="X32" i="24"/>
  <c r="N32" i="24"/>
  <c r="L32" i="24"/>
  <c r="J32" i="24"/>
  <c r="B32" i="24"/>
  <c r="Z31" i="24"/>
  <c r="X31" i="24"/>
  <c r="V31" i="24"/>
  <c r="N31" i="24"/>
  <c r="L31" i="24"/>
  <c r="B31" i="24"/>
  <c r="Z30" i="24"/>
  <c r="X30" i="24"/>
  <c r="N30" i="24"/>
  <c r="L30" i="24"/>
  <c r="J30" i="24"/>
  <c r="B30" i="24"/>
  <c r="Z29" i="24"/>
  <c r="X29" i="24"/>
  <c r="V29" i="24"/>
  <c r="N29" i="24"/>
  <c r="L29" i="24"/>
  <c r="B29" i="24"/>
  <c r="Z28" i="24"/>
  <c r="X28" i="24"/>
  <c r="N28" i="24"/>
  <c r="L28" i="24"/>
  <c r="J28" i="24"/>
  <c r="B28" i="24"/>
  <c r="Z27" i="24"/>
  <c r="X27" i="24"/>
  <c r="V27" i="24"/>
  <c r="N27" i="24"/>
  <c r="L27" i="24"/>
  <c r="B27" i="24"/>
  <c r="Z26" i="24"/>
  <c r="X26" i="24"/>
  <c r="L26" i="24"/>
  <c r="N26" i="24" s="1"/>
  <c r="J26" i="24"/>
  <c r="B26" i="24"/>
  <c r="X25" i="24"/>
  <c r="T25" i="24"/>
  <c r="P25" i="24"/>
  <c r="H25" i="24"/>
  <c r="D25" i="24"/>
  <c r="L25" i="24" s="1"/>
  <c r="Z23" i="24"/>
  <c r="X23" i="24"/>
  <c r="P23" i="24"/>
  <c r="N23" i="24"/>
  <c r="L23" i="24"/>
  <c r="D23" i="24"/>
  <c r="B23" i="24"/>
  <c r="Z22" i="24"/>
  <c r="P22" i="24"/>
  <c r="X22" i="24" s="1"/>
  <c r="N22" i="24"/>
  <c r="L22" i="24"/>
  <c r="D22" i="24"/>
  <c r="B22" i="24"/>
  <c r="Z21" i="24"/>
  <c r="X21" i="24"/>
  <c r="P21" i="24"/>
  <c r="N21" i="24"/>
  <c r="D21" i="24"/>
  <c r="L21" i="24" s="1"/>
  <c r="B21" i="24"/>
  <c r="X20" i="24"/>
  <c r="Z20" i="24" s="1"/>
  <c r="P20" i="24"/>
  <c r="L20" i="24"/>
  <c r="N20" i="24" s="1"/>
  <c r="D20" i="24"/>
  <c r="B20" i="24"/>
  <c r="Z19" i="24"/>
  <c r="X19" i="24"/>
  <c r="P19" i="24"/>
  <c r="N19" i="24"/>
  <c r="D19" i="24"/>
  <c r="L19" i="24" s="1"/>
  <c r="B19" i="24"/>
  <c r="Z18" i="24"/>
  <c r="P18" i="24"/>
  <c r="X18" i="24" s="1"/>
  <c r="N18" i="24"/>
  <c r="L18" i="24"/>
  <c r="D18" i="24"/>
  <c r="B18" i="24"/>
  <c r="Z17" i="24"/>
  <c r="P17" i="24"/>
  <c r="X17" i="24" s="1"/>
  <c r="N17" i="24"/>
  <c r="L17" i="24"/>
  <c r="D17" i="24"/>
  <c r="B17" i="24"/>
  <c r="Z16" i="24"/>
  <c r="P16" i="24"/>
  <c r="X16" i="24" s="1"/>
  <c r="N16" i="24"/>
  <c r="L16" i="24"/>
  <c r="D16" i="24"/>
  <c r="B16" i="24"/>
  <c r="Z15" i="24"/>
  <c r="X15" i="24"/>
  <c r="P15" i="24"/>
  <c r="N15" i="24"/>
  <c r="D15" i="24"/>
  <c r="L15" i="24" s="1"/>
  <c r="B15" i="24"/>
  <c r="Z14" i="24"/>
  <c r="X14" i="24"/>
  <c r="P14" i="24"/>
  <c r="N14" i="24"/>
  <c r="D14" i="24"/>
  <c r="L14" i="24" s="1"/>
  <c r="B14" i="24"/>
  <c r="Z13" i="24"/>
  <c r="X13" i="24"/>
  <c r="P13" i="24"/>
  <c r="N13" i="24"/>
  <c r="D13" i="24"/>
  <c r="B13" i="24"/>
  <c r="T12" i="24"/>
  <c r="V80" i="24" s="1"/>
  <c r="H12" i="24"/>
  <c r="J94" i="24" s="1"/>
  <c r="D4" i="24"/>
  <c r="Z106" i="21"/>
  <c r="X106" i="21"/>
  <c r="N106" i="21"/>
  <c r="L106" i="21"/>
  <c r="T102" i="21"/>
  <c r="Z102" i="21" s="1"/>
  <c r="P102" i="21"/>
  <c r="X102" i="21" s="1"/>
  <c r="H102" i="21"/>
  <c r="N102" i="21" s="1"/>
  <c r="D102" i="21"/>
  <c r="L102" i="21" s="1"/>
  <c r="Z100" i="21"/>
  <c r="X100" i="21"/>
  <c r="N100" i="21"/>
  <c r="L100" i="21"/>
  <c r="B100" i="21"/>
  <c r="X99" i="21"/>
  <c r="Z99" i="21" s="1"/>
  <c r="T99" i="21"/>
  <c r="P99" i="21"/>
  <c r="L99" i="21"/>
  <c r="N99" i="21" s="1"/>
  <c r="H99" i="21"/>
  <c r="D99" i="21"/>
  <c r="B99" i="21"/>
  <c r="Z98" i="21"/>
  <c r="X98" i="21"/>
  <c r="N98" i="21"/>
  <c r="L98" i="21"/>
  <c r="B98" i="21"/>
  <c r="T97" i="21"/>
  <c r="P97" i="21"/>
  <c r="L97" i="21"/>
  <c r="H97" i="21"/>
  <c r="N97" i="21" s="1"/>
  <c r="D97" i="21"/>
  <c r="B97" i="21"/>
  <c r="Z96" i="21"/>
  <c r="X96" i="21"/>
  <c r="N96" i="21"/>
  <c r="L96" i="21"/>
  <c r="B96" i="21"/>
  <c r="T95" i="21"/>
  <c r="P95" i="21"/>
  <c r="X95" i="21" s="1"/>
  <c r="H95" i="21"/>
  <c r="N95" i="21" s="1"/>
  <c r="D95" i="21"/>
  <c r="L95" i="21" s="1"/>
  <c r="B95" i="21"/>
  <c r="X94" i="21"/>
  <c r="Z94" i="21" s="1"/>
  <c r="N94" i="21"/>
  <c r="L94" i="21"/>
  <c r="B94" i="21"/>
  <c r="X93" i="21"/>
  <c r="Z93" i="21" s="1"/>
  <c r="L93" i="21"/>
  <c r="N93" i="21" s="1"/>
  <c r="B93" i="21"/>
  <c r="T92" i="21"/>
  <c r="P92" i="21"/>
  <c r="X92" i="21" s="1"/>
  <c r="H92" i="21"/>
  <c r="D92" i="21"/>
  <c r="L92" i="21" s="1"/>
  <c r="B92" i="21"/>
  <c r="X91" i="21"/>
  <c r="Z91" i="21" s="1"/>
  <c r="N91" i="21"/>
  <c r="L91" i="21"/>
  <c r="B91" i="21"/>
  <c r="Z90" i="21"/>
  <c r="X90" i="21"/>
  <c r="N90" i="21"/>
  <c r="L90" i="21"/>
  <c r="B90" i="21"/>
  <c r="X89" i="21"/>
  <c r="Z89" i="21" s="1"/>
  <c r="N89" i="21"/>
  <c r="L89" i="21"/>
  <c r="B89" i="21"/>
  <c r="Z88" i="21"/>
  <c r="X88" i="21"/>
  <c r="N88" i="21"/>
  <c r="L88" i="21"/>
  <c r="B88" i="21"/>
  <c r="X87" i="21"/>
  <c r="Z87" i="21" s="1"/>
  <c r="N87" i="21"/>
  <c r="L87" i="21"/>
  <c r="B87" i="21"/>
  <c r="Z86" i="21"/>
  <c r="X86" i="21"/>
  <c r="N86" i="21"/>
  <c r="L86" i="21"/>
  <c r="B86" i="21"/>
  <c r="Z85" i="21"/>
  <c r="X85" i="21"/>
  <c r="N85" i="21"/>
  <c r="L85" i="21"/>
  <c r="B85" i="21"/>
  <c r="T84" i="21"/>
  <c r="P84" i="21"/>
  <c r="X84" i="21" s="1"/>
  <c r="Z84" i="21" s="1"/>
  <c r="N84" i="21"/>
  <c r="L84" i="21"/>
  <c r="H84" i="21"/>
  <c r="D84" i="21"/>
  <c r="B84" i="21"/>
  <c r="Z83" i="21"/>
  <c r="X83" i="21"/>
  <c r="L83" i="21"/>
  <c r="N83" i="21" s="1"/>
  <c r="B83" i="21"/>
  <c r="T82" i="21"/>
  <c r="P82" i="21"/>
  <c r="X82" i="21" s="1"/>
  <c r="Z82" i="21" s="1"/>
  <c r="H82" i="21"/>
  <c r="D82" i="21"/>
  <c r="B82" i="21"/>
  <c r="X81" i="21"/>
  <c r="Z81" i="21" s="1"/>
  <c r="L81" i="21"/>
  <c r="N81" i="21" s="1"/>
  <c r="B81" i="21"/>
  <c r="X80" i="21"/>
  <c r="Z80" i="21" s="1"/>
  <c r="N80" i="21"/>
  <c r="L80" i="21"/>
  <c r="B80" i="21"/>
  <c r="X79" i="21"/>
  <c r="Z79" i="21" s="1"/>
  <c r="L79" i="21"/>
  <c r="N79" i="21" s="1"/>
  <c r="B79" i="21"/>
  <c r="X78" i="21"/>
  <c r="Z78" i="21" s="1"/>
  <c r="N78" i="21"/>
  <c r="L78" i="21"/>
  <c r="B78" i="21"/>
  <c r="X77" i="21"/>
  <c r="Z77" i="21" s="1"/>
  <c r="T77" i="21"/>
  <c r="P77" i="21"/>
  <c r="H77" i="21"/>
  <c r="D77" i="21"/>
  <c r="L77" i="21" s="1"/>
  <c r="N77" i="21" s="1"/>
  <c r="B77" i="21"/>
  <c r="Z76" i="21"/>
  <c r="X76" i="21"/>
  <c r="N76" i="21"/>
  <c r="L76" i="21"/>
  <c r="B76" i="21"/>
  <c r="Z75" i="21"/>
  <c r="X75" i="21"/>
  <c r="N75" i="21"/>
  <c r="L75" i="21"/>
  <c r="B75" i="21"/>
  <c r="Z74" i="21"/>
  <c r="X74" i="21"/>
  <c r="T74" i="21"/>
  <c r="P74" i="21"/>
  <c r="H74" i="21"/>
  <c r="D74" i="21"/>
  <c r="L74" i="21" s="1"/>
  <c r="N74" i="21" s="1"/>
  <c r="B74" i="21"/>
  <c r="Z73" i="21"/>
  <c r="X73" i="21"/>
  <c r="L73" i="21"/>
  <c r="N73" i="21" s="1"/>
  <c r="B73" i="21"/>
  <c r="Z72" i="21"/>
  <c r="X72" i="21"/>
  <c r="N72" i="21"/>
  <c r="L72" i="21"/>
  <c r="B72" i="21"/>
  <c r="Z71" i="21"/>
  <c r="X71" i="21"/>
  <c r="N71" i="21"/>
  <c r="L71" i="21"/>
  <c r="B71" i="21"/>
  <c r="Z70" i="21"/>
  <c r="X70" i="21"/>
  <c r="N70" i="21"/>
  <c r="L70" i="21"/>
  <c r="B70" i="21"/>
  <c r="T69" i="21"/>
  <c r="Z69" i="21" s="1"/>
  <c r="P69" i="21"/>
  <c r="X69" i="21" s="1"/>
  <c r="H69" i="21"/>
  <c r="N69" i="21" s="1"/>
  <c r="D69" i="21"/>
  <c r="L69" i="21" s="1"/>
  <c r="B69" i="21"/>
  <c r="Z68" i="21"/>
  <c r="X68" i="21"/>
  <c r="N68" i="21"/>
  <c r="L68" i="21"/>
  <c r="B68" i="21"/>
  <c r="Z67" i="21"/>
  <c r="X67" i="21"/>
  <c r="T67" i="21"/>
  <c r="P67" i="21"/>
  <c r="N67" i="21"/>
  <c r="L67" i="21"/>
  <c r="H67" i="21"/>
  <c r="D67" i="21"/>
  <c r="B67" i="21"/>
  <c r="Z66" i="21"/>
  <c r="X66" i="21"/>
  <c r="N66" i="21"/>
  <c r="L66" i="21"/>
  <c r="B66" i="21"/>
  <c r="T65" i="21"/>
  <c r="P65" i="21"/>
  <c r="L65" i="21"/>
  <c r="H65" i="21"/>
  <c r="N65" i="21" s="1"/>
  <c r="D65" i="21"/>
  <c r="B65" i="21"/>
  <c r="Z64" i="21"/>
  <c r="X64" i="21"/>
  <c r="L64" i="21"/>
  <c r="N64" i="21" s="1"/>
  <c r="B64" i="21"/>
  <c r="T63" i="21"/>
  <c r="Z63" i="21" s="1"/>
  <c r="P63" i="21"/>
  <c r="X63" i="21" s="1"/>
  <c r="H63" i="21"/>
  <c r="N63" i="21" s="1"/>
  <c r="D63" i="21"/>
  <c r="L63" i="21" s="1"/>
  <c r="B63" i="21"/>
  <c r="X62" i="21"/>
  <c r="Z62" i="21" s="1"/>
  <c r="N62" i="21"/>
  <c r="L62" i="21"/>
  <c r="B62" i="21"/>
  <c r="X61" i="21"/>
  <c r="Z61" i="21" s="1"/>
  <c r="T61" i="21"/>
  <c r="P61" i="21"/>
  <c r="N61" i="21"/>
  <c r="L61" i="21"/>
  <c r="H61" i="21"/>
  <c r="D61" i="21"/>
  <c r="B61" i="21"/>
  <c r="Z60" i="21"/>
  <c r="X60" i="21"/>
  <c r="N60" i="21"/>
  <c r="L60" i="21"/>
  <c r="B60" i="21"/>
  <c r="X59" i="21"/>
  <c r="T59" i="21"/>
  <c r="Z59" i="21" s="1"/>
  <c r="P59" i="21"/>
  <c r="H59" i="21"/>
  <c r="N59" i="21" s="1"/>
  <c r="D59" i="21"/>
  <c r="B59" i="21"/>
  <c r="Z58" i="21"/>
  <c r="X58" i="21"/>
  <c r="L58" i="21"/>
  <c r="N58" i="21" s="1"/>
  <c r="B58" i="21"/>
  <c r="T57" i="21"/>
  <c r="Z57" i="21" s="1"/>
  <c r="P57" i="21"/>
  <c r="X57" i="21" s="1"/>
  <c r="H57" i="21"/>
  <c r="N57" i="21" s="1"/>
  <c r="D57" i="21"/>
  <c r="L57" i="21" s="1"/>
  <c r="B57" i="21"/>
  <c r="X56" i="21"/>
  <c r="Z56" i="21" s="1"/>
  <c r="N56" i="21"/>
  <c r="L56" i="21"/>
  <c r="B56" i="21"/>
  <c r="Z55" i="21"/>
  <c r="X55" i="21"/>
  <c r="N55" i="21"/>
  <c r="L55" i="21"/>
  <c r="B55" i="21"/>
  <c r="T54" i="21"/>
  <c r="Z54" i="21" s="1"/>
  <c r="P54" i="21"/>
  <c r="X54" i="21" s="1"/>
  <c r="H54" i="21"/>
  <c r="N54" i="21" s="1"/>
  <c r="D54" i="21"/>
  <c r="L54" i="21" s="1"/>
  <c r="B54" i="21"/>
  <c r="X53" i="21"/>
  <c r="Z53" i="21" s="1"/>
  <c r="N53" i="21"/>
  <c r="L53" i="21"/>
  <c r="B53" i="21"/>
  <c r="Z52" i="21"/>
  <c r="X52" i="21"/>
  <c r="T52" i="21"/>
  <c r="P52" i="21"/>
  <c r="N52" i="21"/>
  <c r="L52" i="21"/>
  <c r="H52" i="21"/>
  <c r="D52" i="21"/>
  <c r="B52" i="21"/>
  <c r="Z51" i="21"/>
  <c r="X51" i="21"/>
  <c r="L51" i="21"/>
  <c r="N51" i="21" s="1"/>
  <c r="B51" i="21"/>
  <c r="T50" i="21"/>
  <c r="P50" i="21"/>
  <c r="X50" i="21" s="1"/>
  <c r="Z50" i="21" s="1"/>
  <c r="H50" i="21"/>
  <c r="N50" i="21" s="1"/>
  <c r="D50" i="21"/>
  <c r="L50" i="21" s="1"/>
  <c r="B50" i="21"/>
  <c r="X49" i="21"/>
  <c r="Z49" i="21" s="1"/>
  <c r="L49" i="21"/>
  <c r="N49" i="21" s="1"/>
  <c r="B49" i="21"/>
  <c r="T48" i="21"/>
  <c r="Z48" i="21" s="1"/>
  <c r="P48" i="21"/>
  <c r="X48" i="21" s="1"/>
  <c r="H48" i="21"/>
  <c r="D48" i="21"/>
  <c r="L48" i="21" s="1"/>
  <c r="B48" i="21"/>
  <c r="Z47" i="21"/>
  <c r="X47" i="21"/>
  <c r="N47" i="21"/>
  <c r="L47" i="21"/>
  <c r="B47" i="21"/>
  <c r="Z46" i="21"/>
  <c r="X46" i="21"/>
  <c r="N46" i="21"/>
  <c r="L46" i="21"/>
  <c r="B46" i="21"/>
  <c r="X45" i="21"/>
  <c r="Z45" i="21" s="1"/>
  <c r="N45" i="21"/>
  <c r="L45" i="21"/>
  <c r="B45" i="21"/>
  <c r="Z44" i="21"/>
  <c r="X44" i="21"/>
  <c r="N44" i="21"/>
  <c r="L44" i="21"/>
  <c r="B44" i="21"/>
  <c r="Z43" i="21"/>
  <c r="X43" i="21"/>
  <c r="N43" i="21"/>
  <c r="L43" i="21"/>
  <c r="B43" i="21"/>
  <c r="Z42" i="21"/>
  <c r="X42" i="21"/>
  <c r="N42" i="21"/>
  <c r="L42" i="21"/>
  <c r="B42" i="21"/>
  <c r="X41" i="21"/>
  <c r="Z41" i="21" s="1"/>
  <c r="N41" i="21"/>
  <c r="L41" i="21"/>
  <c r="B41" i="21"/>
  <c r="Z40" i="21"/>
  <c r="X40" i="21"/>
  <c r="N40" i="21"/>
  <c r="L40" i="21"/>
  <c r="B40" i="21"/>
  <c r="X39" i="21"/>
  <c r="Z39" i="21" s="1"/>
  <c r="N39" i="21"/>
  <c r="L39" i="21"/>
  <c r="B39" i="21"/>
  <c r="Z38" i="21"/>
  <c r="X38" i="21"/>
  <c r="N38" i="21"/>
  <c r="L38" i="21"/>
  <c r="B38" i="21"/>
  <c r="T37" i="21"/>
  <c r="P37" i="21"/>
  <c r="L37" i="21"/>
  <c r="H37" i="21"/>
  <c r="N37" i="21" s="1"/>
  <c r="D37" i="21"/>
  <c r="B37" i="21"/>
  <c r="Z36" i="21"/>
  <c r="X36" i="21"/>
  <c r="N36" i="21"/>
  <c r="L36" i="21"/>
  <c r="B36" i="21"/>
  <c r="Z35" i="21"/>
  <c r="X35" i="21"/>
  <c r="L35" i="21"/>
  <c r="N35" i="21" s="1"/>
  <c r="B35" i="21"/>
  <c r="Z34" i="21"/>
  <c r="X34" i="21"/>
  <c r="L34" i="21"/>
  <c r="N34" i="21" s="1"/>
  <c r="B34" i="21"/>
  <c r="Z33" i="21"/>
  <c r="X33" i="21"/>
  <c r="N33" i="21"/>
  <c r="L33" i="21"/>
  <c r="B33" i="21"/>
  <c r="Z32" i="21"/>
  <c r="X32" i="21"/>
  <c r="N32" i="21"/>
  <c r="L32" i="21"/>
  <c r="B32" i="21"/>
  <c r="Z31" i="21"/>
  <c r="X31" i="21"/>
  <c r="L31" i="21"/>
  <c r="N31" i="21" s="1"/>
  <c r="B31" i="21"/>
  <c r="Z30" i="21"/>
  <c r="X30" i="21"/>
  <c r="L30" i="21"/>
  <c r="N30" i="21" s="1"/>
  <c r="B30" i="21"/>
  <c r="Z29" i="21"/>
  <c r="X29" i="21"/>
  <c r="L29" i="21"/>
  <c r="N29" i="21" s="1"/>
  <c r="B29" i="21"/>
  <c r="Z28" i="21"/>
  <c r="X28" i="21"/>
  <c r="N28" i="21"/>
  <c r="L28" i="21"/>
  <c r="B28" i="21"/>
  <c r="T27" i="21"/>
  <c r="P27" i="21"/>
  <c r="X27" i="21" s="1"/>
  <c r="H27" i="21"/>
  <c r="N27" i="21" s="1"/>
  <c r="D27" i="21"/>
  <c r="L27" i="21" s="1"/>
  <c r="B27" i="21"/>
  <c r="T26" i="21"/>
  <c r="P26" i="21"/>
  <c r="X26" i="21" s="1"/>
  <c r="H26" i="21"/>
  <c r="D26" i="21"/>
  <c r="Z22" i="21"/>
  <c r="X22" i="21"/>
  <c r="N22" i="21"/>
  <c r="L22" i="21"/>
  <c r="B22" i="21"/>
  <c r="Z21" i="21"/>
  <c r="X21" i="21"/>
  <c r="N21" i="21"/>
  <c r="L21" i="21"/>
  <c r="B21" i="21"/>
  <c r="Z20" i="21"/>
  <c r="X20" i="21"/>
  <c r="N20" i="21"/>
  <c r="L20" i="21"/>
  <c r="B20" i="21"/>
  <c r="X19" i="21"/>
  <c r="Z19" i="21" s="1"/>
  <c r="T19" i="21"/>
  <c r="P19" i="21"/>
  <c r="L19" i="21"/>
  <c r="N19" i="21" s="1"/>
  <c r="H19" i="21"/>
  <c r="D19" i="21"/>
  <c r="Z17" i="21"/>
  <c r="X17" i="21"/>
  <c r="P17" i="21"/>
  <c r="N17" i="21"/>
  <c r="D17" i="21"/>
  <c r="L17" i="21" s="1"/>
  <c r="B17" i="21"/>
  <c r="Z16" i="21"/>
  <c r="X16" i="21"/>
  <c r="P16" i="21"/>
  <c r="N16" i="21"/>
  <c r="L16" i="21"/>
  <c r="D16" i="21"/>
  <c r="B16" i="21"/>
  <c r="Z15" i="21"/>
  <c r="X15" i="21"/>
  <c r="P15" i="21"/>
  <c r="D15" i="21"/>
  <c r="L15" i="21" s="1"/>
  <c r="N15" i="21" s="1"/>
  <c r="B15" i="21"/>
  <c r="Z14" i="21"/>
  <c r="P14" i="21"/>
  <c r="X14" i="21" s="1"/>
  <c r="N14" i="21"/>
  <c r="L14" i="21"/>
  <c r="D14" i="21"/>
  <c r="D12" i="21" s="1"/>
  <c r="B14" i="21"/>
  <c r="X13" i="21"/>
  <c r="Z13" i="21" s="1"/>
  <c r="P13" i="21"/>
  <c r="N13" i="21"/>
  <c r="L13" i="21"/>
  <c r="D13" i="21"/>
  <c r="B13" i="21"/>
  <c r="T12" i="21"/>
  <c r="V98" i="21" s="1"/>
  <c r="P12" i="21"/>
  <c r="R79" i="21" s="1"/>
  <c r="H12" i="21"/>
  <c r="D4" i="21"/>
  <c r="X239" i="18"/>
  <c r="Z239" i="18" s="1"/>
  <c r="N239" i="18"/>
  <c r="L239" i="18"/>
  <c r="Z235" i="18"/>
  <c r="X235" i="18"/>
  <c r="P235" i="18"/>
  <c r="N235" i="18"/>
  <c r="L235" i="18"/>
  <c r="D235" i="18"/>
  <c r="B235" i="18"/>
  <c r="Z234" i="18"/>
  <c r="X234" i="18"/>
  <c r="P234" i="18"/>
  <c r="N234" i="18"/>
  <c r="D234" i="18"/>
  <c r="L234" i="18" s="1"/>
  <c r="B234" i="18"/>
  <c r="X233" i="18"/>
  <c r="Z233" i="18" s="1"/>
  <c r="P233" i="18"/>
  <c r="D233" i="18"/>
  <c r="L233" i="18" s="1"/>
  <c r="N233" i="18" s="1"/>
  <c r="B233" i="18"/>
  <c r="P232" i="18"/>
  <c r="X232" i="18" s="1"/>
  <c r="Z232" i="18" s="1"/>
  <c r="D232" i="18"/>
  <c r="L232" i="18" s="1"/>
  <c r="N232" i="18" s="1"/>
  <c r="B232" i="18"/>
  <c r="Z231" i="18"/>
  <c r="P231" i="18"/>
  <c r="X231" i="18" s="1"/>
  <c r="N231" i="18"/>
  <c r="L231" i="18"/>
  <c r="D231" i="18"/>
  <c r="B231" i="18"/>
  <c r="T230" i="18"/>
  <c r="H230" i="18"/>
  <c r="X228" i="18"/>
  <c r="Z228" i="18" s="1"/>
  <c r="N228" i="18"/>
  <c r="L228" i="18"/>
  <c r="B228" i="18"/>
  <c r="T227" i="18"/>
  <c r="P227" i="18"/>
  <c r="L227" i="18"/>
  <c r="H227" i="18"/>
  <c r="D227" i="18"/>
  <c r="B227" i="18"/>
  <c r="Z226" i="18"/>
  <c r="X226" i="18"/>
  <c r="N226" i="18"/>
  <c r="L226" i="18"/>
  <c r="B226" i="18"/>
  <c r="Z225" i="18"/>
  <c r="X225" i="18"/>
  <c r="L225" i="18"/>
  <c r="N225" i="18" s="1"/>
  <c r="B225" i="18"/>
  <c r="Z224" i="18"/>
  <c r="X224" i="18"/>
  <c r="N224" i="18"/>
  <c r="L224" i="18"/>
  <c r="B224" i="18"/>
  <c r="T223" i="18"/>
  <c r="P223" i="18"/>
  <c r="X223" i="18" s="1"/>
  <c r="Z223" i="18" s="1"/>
  <c r="H223" i="18"/>
  <c r="D223" i="18"/>
  <c r="L223" i="18" s="1"/>
  <c r="N223" i="18" s="1"/>
  <c r="B223" i="18"/>
  <c r="Z222" i="18"/>
  <c r="X222" i="18"/>
  <c r="N222" i="18"/>
  <c r="L222" i="18"/>
  <c r="B222" i="18"/>
  <c r="X221" i="18"/>
  <c r="Z221" i="18" s="1"/>
  <c r="T221" i="18"/>
  <c r="P221" i="18"/>
  <c r="L221" i="18"/>
  <c r="N221" i="18" s="1"/>
  <c r="H221" i="18"/>
  <c r="D221" i="18"/>
  <c r="B221" i="18"/>
  <c r="Z220" i="18"/>
  <c r="X220" i="18"/>
  <c r="N220" i="18"/>
  <c r="L220" i="18"/>
  <c r="B220" i="18"/>
  <c r="Z219" i="18"/>
  <c r="X219" i="18"/>
  <c r="N219" i="18"/>
  <c r="L219" i="18"/>
  <c r="B219" i="18"/>
  <c r="T218" i="18"/>
  <c r="X218" i="18" s="1"/>
  <c r="Z218" i="18" s="1"/>
  <c r="P218" i="18"/>
  <c r="L218" i="18"/>
  <c r="N218" i="18" s="1"/>
  <c r="H218" i="18"/>
  <c r="D218" i="18"/>
  <c r="B218" i="18"/>
  <c r="Z217" i="18"/>
  <c r="X217" i="18"/>
  <c r="L217" i="18"/>
  <c r="N217" i="18" s="1"/>
  <c r="B217" i="18"/>
  <c r="Z216" i="18"/>
  <c r="X216" i="18"/>
  <c r="L216" i="18"/>
  <c r="N216" i="18" s="1"/>
  <c r="B216" i="18"/>
  <c r="Z215" i="18"/>
  <c r="X215" i="18"/>
  <c r="L215" i="18"/>
  <c r="N215" i="18" s="1"/>
  <c r="B215" i="18"/>
  <c r="Z214" i="18"/>
  <c r="X214" i="18"/>
  <c r="L214" i="18"/>
  <c r="N214" i="18" s="1"/>
  <c r="B214" i="18"/>
  <c r="Z213" i="18"/>
  <c r="X213" i="18"/>
  <c r="L213" i="18"/>
  <c r="N213" i="18" s="1"/>
  <c r="B213" i="18"/>
  <c r="Z212" i="18"/>
  <c r="X212" i="18"/>
  <c r="L212" i="18"/>
  <c r="N212" i="18" s="1"/>
  <c r="B212" i="18"/>
  <c r="Z211" i="18"/>
  <c r="X211" i="18"/>
  <c r="L211" i="18"/>
  <c r="N211" i="18" s="1"/>
  <c r="B211" i="18"/>
  <c r="Z210" i="18"/>
  <c r="X210" i="18"/>
  <c r="L210" i="18"/>
  <c r="N210" i="18" s="1"/>
  <c r="B210" i="18"/>
  <c r="Z209" i="18"/>
  <c r="X209" i="18"/>
  <c r="L209" i="18"/>
  <c r="N209" i="18" s="1"/>
  <c r="B209" i="18"/>
  <c r="Z208" i="18"/>
  <c r="T208" i="18"/>
  <c r="P208" i="18"/>
  <c r="X208" i="18" s="1"/>
  <c r="H208" i="18"/>
  <c r="D208" i="18"/>
  <c r="L208" i="18" s="1"/>
  <c r="B208" i="18"/>
  <c r="Z207" i="18"/>
  <c r="X207" i="18"/>
  <c r="N207" i="18"/>
  <c r="L207" i="18"/>
  <c r="B207" i="18"/>
  <c r="X206" i="18"/>
  <c r="Z206" i="18" s="1"/>
  <c r="N206" i="18"/>
  <c r="L206" i="18"/>
  <c r="B206" i="18"/>
  <c r="X205" i="18"/>
  <c r="Z205" i="18" s="1"/>
  <c r="T205" i="18"/>
  <c r="P205" i="18"/>
  <c r="L205" i="18"/>
  <c r="N205" i="18" s="1"/>
  <c r="H205" i="18"/>
  <c r="D205" i="18"/>
  <c r="B205" i="18"/>
  <c r="X204" i="18"/>
  <c r="Z204" i="18" s="1"/>
  <c r="N204" i="18"/>
  <c r="L204" i="18"/>
  <c r="B204" i="18"/>
  <c r="Z203" i="18"/>
  <c r="X203" i="18"/>
  <c r="N203" i="18"/>
  <c r="L203" i="18"/>
  <c r="B203" i="18"/>
  <c r="Z202" i="18"/>
  <c r="X202" i="18"/>
  <c r="N202" i="18"/>
  <c r="L202" i="18"/>
  <c r="B202" i="18"/>
  <c r="X201" i="18"/>
  <c r="Z201" i="18" s="1"/>
  <c r="N201" i="18"/>
  <c r="L201" i="18"/>
  <c r="B201" i="18"/>
  <c r="Z200" i="18"/>
  <c r="X200" i="18"/>
  <c r="T200" i="18"/>
  <c r="P200" i="18"/>
  <c r="N200" i="18"/>
  <c r="H200" i="18"/>
  <c r="L200" i="18" s="1"/>
  <c r="D200" i="18"/>
  <c r="B200" i="18"/>
  <c r="Z199" i="18"/>
  <c r="X199" i="18"/>
  <c r="L199" i="18"/>
  <c r="N199" i="18" s="1"/>
  <c r="B199" i="18"/>
  <c r="Z198" i="18"/>
  <c r="X198" i="18"/>
  <c r="L198" i="18"/>
  <c r="N198" i="18" s="1"/>
  <c r="B198" i="18"/>
  <c r="Z197" i="18"/>
  <c r="X197" i="18"/>
  <c r="L197" i="18"/>
  <c r="N197" i="18" s="1"/>
  <c r="B197" i="18"/>
  <c r="Z196" i="18"/>
  <c r="X196" i="18"/>
  <c r="L196" i="18"/>
  <c r="N196" i="18" s="1"/>
  <c r="B196" i="18"/>
  <c r="T195" i="18"/>
  <c r="P195" i="18"/>
  <c r="H195" i="18"/>
  <c r="D195" i="18"/>
  <c r="L195" i="18" s="1"/>
  <c r="N195" i="18" s="1"/>
  <c r="B195" i="18"/>
  <c r="X194" i="18"/>
  <c r="Z194" i="18" s="1"/>
  <c r="N194" i="18"/>
  <c r="L194" i="18"/>
  <c r="B194" i="18"/>
  <c r="X193" i="18"/>
  <c r="Z193" i="18" s="1"/>
  <c r="L193" i="18"/>
  <c r="N193" i="18" s="1"/>
  <c r="B193" i="18"/>
  <c r="Z192" i="18"/>
  <c r="X192" i="18"/>
  <c r="N192" i="18"/>
  <c r="L192" i="18"/>
  <c r="B192" i="18"/>
  <c r="X191" i="18"/>
  <c r="Z191" i="18" s="1"/>
  <c r="N191" i="18"/>
  <c r="L191" i="18"/>
  <c r="B191" i="18"/>
  <c r="T190" i="18"/>
  <c r="P190" i="18"/>
  <c r="X190" i="18" s="1"/>
  <c r="L190" i="18"/>
  <c r="H190" i="18"/>
  <c r="D190" i="18"/>
  <c r="B190" i="18"/>
  <c r="X189" i="18"/>
  <c r="Z189" i="18" s="1"/>
  <c r="N189" i="18"/>
  <c r="L189" i="18"/>
  <c r="B189" i="18"/>
  <c r="Z188" i="18"/>
  <c r="X188" i="18"/>
  <c r="T188" i="18"/>
  <c r="P188" i="18"/>
  <c r="N188" i="18"/>
  <c r="H188" i="18"/>
  <c r="L188" i="18" s="1"/>
  <c r="D188" i="18"/>
  <c r="B188" i="18"/>
  <c r="Z187" i="18"/>
  <c r="X187" i="18"/>
  <c r="L187" i="18"/>
  <c r="N187" i="18" s="1"/>
  <c r="B187" i="18"/>
  <c r="T186" i="18"/>
  <c r="P186" i="18"/>
  <c r="X186" i="18" s="1"/>
  <c r="H186" i="18"/>
  <c r="D186" i="18"/>
  <c r="L186" i="18" s="1"/>
  <c r="N186" i="18" s="1"/>
  <c r="B186" i="18"/>
  <c r="X185" i="18"/>
  <c r="Z185" i="18" s="1"/>
  <c r="L185" i="18"/>
  <c r="N185" i="18" s="1"/>
  <c r="B185" i="18"/>
  <c r="X184" i="18"/>
  <c r="T184" i="18"/>
  <c r="Z184" i="18" s="1"/>
  <c r="P184" i="18"/>
  <c r="H184" i="18"/>
  <c r="N184" i="18" s="1"/>
  <c r="D184" i="18"/>
  <c r="L184" i="18" s="1"/>
  <c r="B184" i="18"/>
  <c r="Z183" i="18"/>
  <c r="X183" i="18"/>
  <c r="N183" i="18"/>
  <c r="L183" i="18"/>
  <c r="B183" i="18"/>
  <c r="Z182" i="18"/>
  <c r="X182" i="18"/>
  <c r="T182" i="18"/>
  <c r="P182" i="18"/>
  <c r="L182" i="18"/>
  <c r="N182" i="18" s="1"/>
  <c r="H182" i="18"/>
  <c r="D182" i="18"/>
  <c r="B182" i="18"/>
  <c r="Z181" i="18"/>
  <c r="X181" i="18"/>
  <c r="L181" i="18"/>
  <c r="N181" i="18" s="1"/>
  <c r="B181" i="18"/>
  <c r="Z180" i="18"/>
  <c r="X180" i="18"/>
  <c r="N180" i="18"/>
  <c r="L180" i="18"/>
  <c r="B180" i="18"/>
  <c r="Z179" i="18"/>
  <c r="X179" i="18"/>
  <c r="N179" i="18"/>
  <c r="L179" i="18"/>
  <c r="B179" i="18"/>
  <c r="T178" i="18"/>
  <c r="P178" i="18"/>
  <c r="H178" i="18"/>
  <c r="D178" i="18"/>
  <c r="L178" i="18" s="1"/>
  <c r="N178" i="18" s="1"/>
  <c r="B178" i="18"/>
  <c r="X177" i="18"/>
  <c r="Z177" i="18" s="1"/>
  <c r="L177" i="18"/>
  <c r="N177" i="18" s="1"/>
  <c r="B177" i="18"/>
  <c r="X176" i="18"/>
  <c r="Z176" i="18" s="1"/>
  <c r="L176" i="18"/>
  <c r="N176" i="18" s="1"/>
  <c r="B176" i="18"/>
  <c r="X175" i="18"/>
  <c r="Z175" i="18" s="1"/>
  <c r="T175" i="18"/>
  <c r="P175" i="18"/>
  <c r="H175" i="18"/>
  <c r="D175" i="18"/>
  <c r="L175" i="18" s="1"/>
  <c r="N175" i="18" s="1"/>
  <c r="B175" i="18"/>
  <c r="X174" i="18"/>
  <c r="Z174" i="18" s="1"/>
  <c r="N174" i="18"/>
  <c r="L174" i="18"/>
  <c r="B174" i="18"/>
  <c r="X173" i="18"/>
  <c r="T173" i="18"/>
  <c r="P173" i="18"/>
  <c r="H173" i="18"/>
  <c r="L173" i="18" s="1"/>
  <c r="D173" i="18"/>
  <c r="B173" i="18"/>
  <c r="Z172" i="18"/>
  <c r="X172" i="18"/>
  <c r="L172" i="18"/>
  <c r="N172" i="18" s="1"/>
  <c r="B172" i="18"/>
  <c r="T171" i="18"/>
  <c r="Z171" i="18" s="1"/>
  <c r="P171" i="18"/>
  <c r="X171" i="18" s="1"/>
  <c r="H171" i="18"/>
  <c r="D171" i="18"/>
  <c r="L171" i="18" s="1"/>
  <c r="N171" i="18" s="1"/>
  <c r="B171" i="18"/>
  <c r="X170" i="18"/>
  <c r="Z170" i="18" s="1"/>
  <c r="N170" i="18"/>
  <c r="L170" i="18"/>
  <c r="B170" i="18"/>
  <c r="Z169" i="18"/>
  <c r="X169" i="18"/>
  <c r="N169" i="18"/>
  <c r="L169" i="18"/>
  <c r="B169" i="18"/>
  <c r="X168" i="18"/>
  <c r="T168" i="18"/>
  <c r="P168" i="18"/>
  <c r="H168" i="18"/>
  <c r="D168" i="18"/>
  <c r="L168" i="18" s="1"/>
  <c r="B168" i="18"/>
  <c r="Z167" i="18"/>
  <c r="X167" i="18"/>
  <c r="N167" i="18"/>
  <c r="L167" i="18"/>
  <c r="B167" i="18"/>
  <c r="Z166" i="18"/>
  <c r="X166" i="18"/>
  <c r="N166" i="18"/>
  <c r="L166" i="18"/>
  <c r="B166" i="18"/>
  <c r="T165" i="18"/>
  <c r="P165" i="18"/>
  <c r="H165" i="18"/>
  <c r="L165" i="18" s="1"/>
  <c r="D165" i="18"/>
  <c r="B165" i="18"/>
  <c r="Z164" i="18"/>
  <c r="X164" i="18"/>
  <c r="L164" i="18"/>
  <c r="N164" i="18" s="1"/>
  <c r="B164" i="18"/>
  <c r="Z163" i="18"/>
  <c r="X163" i="18"/>
  <c r="N163" i="18"/>
  <c r="L163" i="18"/>
  <c r="B163" i="18"/>
  <c r="Z162" i="18"/>
  <c r="T162" i="18"/>
  <c r="P162" i="18"/>
  <c r="X162" i="18" s="1"/>
  <c r="H162" i="18"/>
  <c r="D162" i="18"/>
  <c r="B162" i="18"/>
  <c r="X161" i="18"/>
  <c r="Z161" i="18" s="1"/>
  <c r="L161" i="18"/>
  <c r="N161" i="18" s="1"/>
  <c r="B161" i="18"/>
  <c r="T160" i="18"/>
  <c r="P160" i="18"/>
  <c r="X160" i="18" s="1"/>
  <c r="H160" i="18"/>
  <c r="D160" i="18"/>
  <c r="L160" i="18" s="1"/>
  <c r="N160" i="18" s="1"/>
  <c r="B160" i="18"/>
  <c r="X159" i="18"/>
  <c r="Z159" i="18" s="1"/>
  <c r="N159" i="18"/>
  <c r="L159" i="18"/>
  <c r="B159" i="18"/>
  <c r="Z158" i="18"/>
  <c r="X158" i="18"/>
  <c r="N158" i="18"/>
  <c r="L158" i="18"/>
  <c r="B158" i="18"/>
  <c r="T157" i="18"/>
  <c r="P157" i="18"/>
  <c r="H157" i="18"/>
  <c r="L157" i="18" s="1"/>
  <c r="N157" i="18" s="1"/>
  <c r="D157" i="18"/>
  <c r="B157" i="18"/>
  <c r="Z156" i="18"/>
  <c r="X156" i="18"/>
  <c r="L156" i="18"/>
  <c r="N156" i="18" s="1"/>
  <c r="B156" i="18"/>
  <c r="T155" i="18"/>
  <c r="P155" i="18"/>
  <c r="H155" i="18"/>
  <c r="D155" i="18"/>
  <c r="B155" i="18"/>
  <c r="Z154" i="18"/>
  <c r="X154" i="18"/>
  <c r="N154" i="18"/>
  <c r="L154" i="18"/>
  <c r="B154" i="18"/>
  <c r="Z153" i="18"/>
  <c r="X153" i="18"/>
  <c r="N153" i="18"/>
  <c r="L153" i="18"/>
  <c r="B153" i="18"/>
  <c r="X152" i="18"/>
  <c r="Z152" i="18" s="1"/>
  <c r="L152" i="18"/>
  <c r="N152" i="18" s="1"/>
  <c r="B152" i="18"/>
  <c r="X151" i="18"/>
  <c r="Z151" i="18" s="1"/>
  <c r="N151" i="18"/>
  <c r="L151" i="18"/>
  <c r="B151" i="18"/>
  <c r="Z150" i="18"/>
  <c r="X150" i="18"/>
  <c r="N150" i="18"/>
  <c r="L150" i="18"/>
  <c r="B150" i="18"/>
  <c r="X149" i="18"/>
  <c r="Z149" i="18" s="1"/>
  <c r="L149" i="18"/>
  <c r="N149" i="18" s="1"/>
  <c r="B149" i="18"/>
  <c r="X148" i="18"/>
  <c r="Z148" i="18" s="1"/>
  <c r="N148" i="18"/>
  <c r="L148" i="18"/>
  <c r="B148" i="18"/>
  <c r="Z147" i="18"/>
  <c r="X147" i="18"/>
  <c r="N147" i="18"/>
  <c r="L147" i="18"/>
  <c r="B147" i="18"/>
  <c r="X146" i="18"/>
  <c r="Z146" i="18" s="1"/>
  <c r="N146" i="18"/>
  <c r="L146" i="18"/>
  <c r="B146" i="18"/>
  <c r="X145" i="18"/>
  <c r="Z145" i="18" s="1"/>
  <c r="N145" i="18"/>
  <c r="L145" i="18"/>
  <c r="B145" i="18"/>
  <c r="T144" i="18"/>
  <c r="P144" i="18"/>
  <c r="X144" i="18" s="1"/>
  <c r="H144" i="18"/>
  <c r="D144" i="18"/>
  <c r="L144" i="18" s="1"/>
  <c r="N144" i="18" s="1"/>
  <c r="B144" i="18"/>
  <c r="Z143" i="18"/>
  <c r="X143" i="18"/>
  <c r="N143" i="18"/>
  <c r="L143" i="18"/>
  <c r="B143" i="18"/>
  <c r="X142" i="18"/>
  <c r="Z142" i="18" s="1"/>
  <c r="N142" i="18"/>
  <c r="L142" i="18"/>
  <c r="B142" i="18"/>
  <c r="X141" i="18"/>
  <c r="Z141" i="18" s="1"/>
  <c r="N141" i="18"/>
  <c r="L141" i="18"/>
  <c r="B141" i="18"/>
  <c r="Z140" i="18"/>
  <c r="X140" i="18"/>
  <c r="N140" i="18"/>
  <c r="L140" i="18"/>
  <c r="B140" i="18"/>
  <c r="Z139" i="18"/>
  <c r="X139" i="18"/>
  <c r="N139" i="18"/>
  <c r="L139" i="18"/>
  <c r="B139" i="18"/>
  <c r="X138" i="18"/>
  <c r="Z138" i="18" s="1"/>
  <c r="N138" i="18"/>
  <c r="L138" i="18"/>
  <c r="B138" i="18"/>
  <c r="Z137" i="18"/>
  <c r="X137" i="18"/>
  <c r="L137" i="18"/>
  <c r="N137" i="18" s="1"/>
  <c r="B137" i="18"/>
  <c r="X136" i="18"/>
  <c r="Z136" i="18" s="1"/>
  <c r="N136" i="18"/>
  <c r="L136" i="18"/>
  <c r="B136" i="18"/>
  <c r="X135" i="18"/>
  <c r="Z135" i="18" s="1"/>
  <c r="N135" i="18"/>
  <c r="L135" i="18"/>
  <c r="B135" i="18"/>
  <c r="Z134" i="18"/>
  <c r="X134" i="18"/>
  <c r="N134" i="18"/>
  <c r="L134" i="18"/>
  <c r="B134" i="18"/>
  <c r="T133" i="18"/>
  <c r="P133" i="18"/>
  <c r="X133" i="18" s="1"/>
  <c r="Z133" i="18" s="1"/>
  <c r="L133" i="18"/>
  <c r="N133" i="18" s="1"/>
  <c r="H133" i="18"/>
  <c r="D133" i="18"/>
  <c r="B133" i="18"/>
  <c r="T132" i="18"/>
  <c r="P132" i="18"/>
  <c r="X132" i="18" s="1"/>
  <c r="Z132" i="18" s="1"/>
  <c r="H132" i="18"/>
  <c r="D132" i="18"/>
  <c r="Z128" i="18"/>
  <c r="X128" i="18"/>
  <c r="N128" i="18"/>
  <c r="L128" i="18"/>
  <c r="B128" i="18"/>
  <c r="Z127" i="18"/>
  <c r="X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B125" i="18"/>
  <c r="Z124" i="18"/>
  <c r="X124" i="18"/>
  <c r="N124" i="18"/>
  <c r="L124" i="18"/>
  <c r="B124" i="18"/>
  <c r="Z123" i="18"/>
  <c r="X123" i="18"/>
  <c r="N123" i="18"/>
  <c r="L123" i="18"/>
  <c r="B123" i="18"/>
  <c r="Z122" i="18"/>
  <c r="X122" i="18"/>
  <c r="N122" i="18"/>
  <c r="L122" i="18"/>
  <c r="B122" i="18"/>
  <c r="Z121" i="18"/>
  <c r="X121" i="18"/>
  <c r="N121" i="18"/>
  <c r="L121" i="18"/>
  <c r="B121" i="18"/>
  <c r="Z120" i="18"/>
  <c r="X120" i="18"/>
  <c r="N120" i="18"/>
  <c r="L120" i="18"/>
  <c r="B120" i="18"/>
  <c r="Z119" i="18"/>
  <c r="X119" i="18"/>
  <c r="N119" i="18"/>
  <c r="L119" i="18"/>
  <c r="B119" i="18"/>
  <c r="Z118" i="18"/>
  <c r="X118" i="18"/>
  <c r="N118" i="18"/>
  <c r="L118" i="18"/>
  <c r="B118" i="18"/>
  <c r="Z117" i="18"/>
  <c r="X117" i="18"/>
  <c r="N117" i="18"/>
  <c r="L117" i="18"/>
  <c r="B117" i="18"/>
  <c r="Z116" i="18"/>
  <c r="X116" i="18"/>
  <c r="N116" i="18"/>
  <c r="L116" i="18"/>
  <c r="B116" i="18"/>
  <c r="Z115" i="18"/>
  <c r="X115" i="18"/>
  <c r="N115" i="18"/>
  <c r="L115" i="18"/>
  <c r="B115" i="18"/>
  <c r="Z114" i="18"/>
  <c r="X114" i="18"/>
  <c r="N114" i="18"/>
  <c r="L114" i="18"/>
  <c r="B114" i="18"/>
  <c r="Z113" i="18"/>
  <c r="X113" i="18"/>
  <c r="N113" i="18"/>
  <c r="L113" i="18"/>
  <c r="B113" i="18"/>
  <c r="Z112" i="18"/>
  <c r="X112" i="18"/>
  <c r="N112" i="18"/>
  <c r="L112" i="18"/>
  <c r="B112" i="18"/>
  <c r="Z111" i="18"/>
  <c r="X111" i="18"/>
  <c r="N111" i="18"/>
  <c r="L111" i="18"/>
  <c r="B111" i="18"/>
  <c r="Z110" i="18"/>
  <c r="X110" i="18"/>
  <c r="N110" i="18"/>
  <c r="L110" i="18"/>
  <c r="B110" i="18"/>
  <c r="Z109" i="18"/>
  <c r="X109" i="18"/>
  <c r="N109" i="18"/>
  <c r="L109" i="18"/>
  <c r="B109" i="18"/>
  <c r="Z108" i="18"/>
  <c r="X108" i="18"/>
  <c r="N108" i="18"/>
  <c r="L108" i="18"/>
  <c r="B108" i="18"/>
  <c r="Z107" i="18"/>
  <c r="X107" i="18"/>
  <c r="N107" i="18"/>
  <c r="L107" i="18"/>
  <c r="B107" i="18"/>
  <c r="Z106" i="18"/>
  <c r="X106" i="18"/>
  <c r="N106" i="18"/>
  <c r="L106" i="18"/>
  <c r="B106" i="18"/>
  <c r="Z105" i="18"/>
  <c r="X105" i="18"/>
  <c r="N105" i="18"/>
  <c r="L105" i="18"/>
  <c r="B105" i="18"/>
  <c r="Z104" i="18"/>
  <c r="X104" i="18"/>
  <c r="N104" i="18"/>
  <c r="L104" i="18"/>
  <c r="B104" i="18"/>
  <c r="Z103" i="18"/>
  <c r="X103" i="18"/>
  <c r="V103" i="18"/>
  <c r="N103" i="18"/>
  <c r="L103" i="18"/>
  <c r="B103" i="18"/>
  <c r="Z102" i="18"/>
  <c r="X102" i="18"/>
  <c r="N102" i="18"/>
  <c r="L102" i="18"/>
  <c r="B102" i="18"/>
  <c r="Z101" i="18"/>
  <c r="X101" i="18"/>
  <c r="N101" i="18"/>
  <c r="L101" i="18"/>
  <c r="B101" i="18"/>
  <c r="Z100" i="18"/>
  <c r="X100" i="18"/>
  <c r="N100" i="18"/>
  <c r="L100" i="18"/>
  <c r="B100" i="18"/>
  <c r="Z99" i="18"/>
  <c r="X99" i="18"/>
  <c r="V99" i="18"/>
  <c r="N99" i="18"/>
  <c r="L99" i="18"/>
  <c r="B99" i="18"/>
  <c r="Z98" i="18"/>
  <c r="X98" i="18"/>
  <c r="N98" i="18"/>
  <c r="L98" i="18"/>
  <c r="B98" i="18"/>
  <c r="Z97" i="18"/>
  <c r="X97" i="18"/>
  <c r="N97" i="18"/>
  <c r="L97" i="18"/>
  <c r="B97" i="18"/>
  <c r="Z96" i="18"/>
  <c r="X96" i="18"/>
  <c r="N96" i="18"/>
  <c r="L96" i="18"/>
  <c r="B96" i="18"/>
  <c r="Z95" i="18"/>
  <c r="X95" i="18"/>
  <c r="V95" i="18"/>
  <c r="N95" i="18"/>
  <c r="L95" i="18"/>
  <c r="B95" i="18"/>
  <c r="Z94" i="18"/>
  <c r="X94" i="18"/>
  <c r="N94" i="18"/>
  <c r="L94" i="18"/>
  <c r="B94" i="18"/>
  <c r="Z93" i="18"/>
  <c r="X93" i="18"/>
  <c r="N93" i="18"/>
  <c r="L93" i="18"/>
  <c r="B93" i="18"/>
  <c r="Z92" i="18"/>
  <c r="X92" i="18"/>
  <c r="N92" i="18"/>
  <c r="L92" i="18"/>
  <c r="B92" i="18"/>
  <c r="Z91" i="18"/>
  <c r="X91" i="18"/>
  <c r="V91" i="18"/>
  <c r="N91" i="18"/>
  <c r="L91" i="18"/>
  <c r="B91" i="18"/>
  <c r="Z90" i="18"/>
  <c r="X90" i="18"/>
  <c r="L90" i="18"/>
  <c r="N90" i="18" s="1"/>
  <c r="B90" i="18"/>
  <c r="X89" i="18"/>
  <c r="T89" i="18"/>
  <c r="Z89" i="18" s="1"/>
  <c r="P89" i="18"/>
  <c r="H89" i="18"/>
  <c r="D89" i="18"/>
  <c r="L89" i="18" s="1"/>
  <c r="N89" i="18" s="1"/>
  <c r="Z87" i="18"/>
  <c r="P87" i="18"/>
  <c r="X87" i="18" s="1"/>
  <c r="N87" i="18"/>
  <c r="D87" i="18"/>
  <c r="L87" i="18" s="1"/>
  <c r="B87" i="18"/>
  <c r="Z86" i="18"/>
  <c r="X86" i="18"/>
  <c r="P86" i="18"/>
  <c r="N86" i="18"/>
  <c r="L86" i="18"/>
  <c r="D86" i="18"/>
  <c r="B86" i="18"/>
  <c r="Z85" i="18"/>
  <c r="X85" i="18"/>
  <c r="P85" i="18"/>
  <c r="N85" i="18"/>
  <c r="L85" i="18"/>
  <c r="D85" i="18"/>
  <c r="B85" i="18"/>
  <c r="Z84" i="18"/>
  <c r="P84" i="18"/>
  <c r="X84" i="18" s="1"/>
  <c r="N84" i="18"/>
  <c r="D84" i="18"/>
  <c r="L84" i="18" s="1"/>
  <c r="B84" i="18"/>
  <c r="Z83" i="18"/>
  <c r="P83" i="18"/>
  <c r="X83" i="18" s="1"/>
  <c r="N83" i="18"/>
  <c r="L83" i="18"/>
  <c r="D83" i="18"/>
  <c r="B83" i="18"/>
  <c r="Z82" i="18"/>
  <c r="P82" i="18"/>
  <c r="X82" i="18" s="1"/>
  <c r="N82" i="18"/>
  <c r="L82" i="18"/>
  <c r="D82" i="18"/>
  <c r="B82" i="18"/>
  <c r="Z81" i="18"/>
  <c r="P81" i="18"/>
  <c r="X81" i="18" s="1"/>
  <c r="N81" i="18"/>
  <c r="D81" i="18"/>
  <c r="L81" i="18" s="1"/>
  <c r="B81" i="18"/>
  <c r="Z80" i="18"/>
  <c r="X80" i="18"/>
  <c r="P80" i="18"/>
  <c r="N80" i="18"/>
  <c r="D80" i="18"/>
  <c r="L80" i="18" s="1"/>
  <c r="B80" i="18"/>
  <c r="Z79" i="18"/>
  <c r="X79" i="18"/>
  <c r="P79" i="18"/>
  <c r="N79" i="18"/>
  <c r="D79" i="18"/>
  <c r="L79" i="18" s="1"/>
  <c r="B79" i="18"/>
  <c r="Z78" i="18"/>
  <c r="P78" i="18"/>
  <c r="X78" i="18" s="1"/>
  <c r="N78" i="18"/>
  <c r="D78" i="18"/>
  <c r="L78" i="18" s="1"/>
  <c r="B78" i="18"/>
  <c r="Z77" i="18"/>
  <c r="X77" i="18"/>
  <c r="P77" i="18"/>
  <c r="N77" i="18"/>
  <c r="L77" i="18"/>
  <c r="D77" i="18"/>
  <c r="B77" i="18"/>
  <c r="Z76" i="18"/>
  <c r="X76" i="18"/>
  <c r="P76" i="18"/>
  <c r="N76" i="18"/>
  <c r="L76" i="18"/>
  <c r="D76" i="18"/>
  <c r="B76" i="18"/>
  <c r="Z75" i="18"/>
  <c r="P75" i="18"/>
  <c r="X75" i="18" s="1"/>
  <c r="N75" i="18"/>
  <c r="D75" i="18"/>
  <c r="L75" i="18" s="1"/>
  <c r="B75" i="18"/>
  <c r="Z74" i="18"/>
  <c r="X74" i="18"/>
  <c r="P74" i="18"/>
  <c r="N74" i="18"/>
  <c r="L74" i="18"/>
  <c r="D74" i="18"/>
  <c r="B74" i="18"/>
  <c r="Z73" i="18"/>
  <c r="X73" i="18"/>
  <c r="P73" i="18"/>
  <c r="N73" i="18"/>
  <c r="L73" i="18"/>
  <c r="D73" i="18"/>
  <c r="B73" i="18"/>
  <c r="Z72" i="18"/>
  <c r="P72" i="18"/>
  <c r="X72" i="18" s="1"/>
  <c r="N72" i="18"/>
  <c r="D72" i="18"/>
  <c r="L72" i="18" s="1"/>
  <c r="B72" i="18"/>
  <c r="Z71" i="18"/>
  <c r="P71" i="18"/>
  <c r="X71" i="18" s="1"/>
  <c r="N71" i="18"/>
  <c r="L71" i="18"/>
  <c r="D71" i="18"/>
  <c r="B71" i="18"/>
  <c r="Z70" i="18"/>
  <c r="P70" i="18"/>
  <c r="X70" i="18" s="1"/>
  <c r="N70" i="18"/>
  <c r="L70" i="18"/>
  <c r="D70" i="18"/>
  <c r="B70" i="18"/>
  <c r="Z69" i="18"/>
  <c r="P69" i="18"/>
  <c r="X69" i="18" s="1"/>
  <c r="N69" i="18"/>
  <c r="D69" i="18"/>
  <c r="L69" i="18" s="1"/>
  <c r="B69" i="18"/>
  <c r="Z68" i="18"/>
  <c r="X68" i="18"/>
  <c r="P68" i="18"/>
  <c r="N68" i="18"/>
  <c r="D68" i="18"/>
  <c r="L68" i="18" s="1"/>
  <c r="B68" i="18"/>
  <c r="Z67" i="18"/>
  <c r="X67" i="18"/>
  <c r="P67" i="18"/>
  <c r="N67" i="18"/>
  <c r="D67" i="18"/>
  <c r="L67" i="18" s="1"/>
  <c r="B67" i="18"/>
  <c r="Z66" i="18"/>
  <c r="P66" i="18"/>
  <c r="X66" i="18" s="1"/>
  <c r="N66" i="18"/>
  <c r="D66" i="18"/>
  <c r="L66" i="18" s="1"/>
  <c r="B66" i="18"/>
  <c r="Z65" i="18"/>
  <c r="X65" i="18"/>
  <c r="P65" i="18"/>
  <c r="N65" i="18"/>
  <c r="L65" i="18"/>
  <c r="D65" i="18"/>
  <c r="B65" i="18"/>
  <c r="Z64" i="18"/>
  <c r="X64" i="18"/>
  <c r="P64" i="18"/>
  <c r="N64" i="18"/>
  <c r="L64" i="18"/>
  <c r="D64" i="18"/>
  <c r="B64" i="18"/>
  <c r="Z63" i="18"/>
  <c r="P63" i="18"/>
  <c r="X63" i="18" s="1"/>
  <c r="N63" i="18"/>
  <c r="D63" i="18"/>
  <c r="L63" i="18" s="1"/>
  <c r="B63" i="18"/>
  <c r="Z62" i="18"/>
  <c r="X62" i="18"/>
  <c r="P62" i="18"/>
  <c r="N62" i="18"/>
  <c r="L62" i="18"/>
  <c r="D62" i="18"/>
  <c r="B62" i="18"/>
  <c r="Z61" i="18"/>
  <c r="X61" i="18"/>
  <c r="P61" i="18"/>
  <c r="N61" i="18"/>
  <c r="L61" i="18"/>
  <c r="D61" i="18"/>
  <c r="B61" i="18"/>
  <c r="Z60" i="18"/>
  <c r="P60" i="18"/>
  <c r="X60" i="18" s="1"/>
  <c r="N60" i="18"/>
  <c r="D60" i="18"/>
  <c r="L60" i="18" s="1"/>
  <c r="B60" i="18"/>
  <c r="Z59" i="18"/>
  <c r="P59" i="18"/>
  <c r="X59" i="18" s="1"/>
  <c r="N59" i="18"/>
  <c r="L59" i="18"/>
  <c r="D59" i="18"/>
  <c r="B59" i="18"/>
  <c r="Z58" i="18"/>
  <c r="P58" i="18"/>
  <c r="X58" i="18" s="1"/>
  <c r="N58" i="18"/>
  <c r="L58" i="18"/>
  <c r="D58" i="18"/>
  <c r="B58" i="18"/>
  <c r="Z57" i="18"/>
  <c r="P57" i="18"/>
  <c r="X57" i="18" s="1"/>
  <c r="N57" i="18"/>
  <c r="D57" i="18"/>
  <c r="L57" i="18" s="1"/>
  <c r="B57" i="18"/>
  <c r="Z56" i="18"/>
  <c r="X56" i="18"/>
  <c r="P56" i="18"/>
  <c r="N56" i="18"/>
  <c r="D56" i="18"/>
  <c r="L56" i="18" s="1"/>
  <c r="B56" i="18"/>
  <c r="Z55" i="18"/>
  <c r="X55" i="18"/>
  <c r="P55" i="18"/>
  <c r="N55" i="18"/>
  <c r="D55" i="18"/>
  <c r="L55" i="18" s="1"/>
  <c r="B55" i="18"/>
  <c r="Z54" i="18"/>
  <c r="P54" i="18"/>
  <c r="X54" i="18" s="1"/>
  <c r="N54" i="18"/>
  <c r="D54" i="18"/>
  <c r="L54" i="18" s="1"/>
  <c r="B54" i="18"/>
  <c r="Z53" i="18"/>
  <c r="X53" i="18"/>
  <c r="P53" i="18"/>
  <c r="N53" i="18"/>
  <c r="L53" i="18"/>
  <c r="D53" i="18"/>
  <c r="B53" i="18"/>
  <c r="Z52" i="18"/>
  <c r="X52" i="18"/>
  <c r="P52" i="18"/>
  <c r="N52" i="18"/>
  <c r="L52" i="18"/>
  <c r="D52" i="18"/>
  <c r="B52" i="18"/>
  <c r="Z51" i="18"/>
  <c r="P51" i="18"/>
  <c r="X51" i="18" s="1"/>
  <c r="N51" i="18"/>
  <c r="D51" i="18"/>
  <c r="L51" i="18" s="1"/>
  <c r="B51" i="18"/>
  <c r="Z50" i="18"/>
  <c r="X50" i="18"/>
  <c r="P50" i="18"/>
  <c r="N50" i="18"/>
  <c r="L50" i="18"/>
  <c r="D50" i="18"/>
  <c r="B50" i="18"/>
  <c r="Z49" i="18"/>
  <c r="X49" i="18"/>
  <c r="P49" i="18"/>
  <c r="N49" i="18"/>
  <c r="L49" i="18"/>
  <c r="D49" i="18"/>
  <c r="B49" i="18"/>
  <c r="Z48" i="18"/>
  <c r="P48" i="18"/>
  <c r="X48" i="18" s="1"/>
  <c r="N48" i="18"/>
  <c r="D48" i="18"/>
  <c r="L48" i="18" s="1"/>
  <c r="B48" i="18"/>
  <c r="Z47" i="18"/>
  <c r="P47" i="18"/>
  <c r="X47" i="18" s="1"/>
  <c r="N47" i="18"/>
  <c r="L47" i="18"/>
  <c r="D47" i="18"/>
  <c r="B47" i="18"/>
  <c r="Z46" i="18"/>
  <c r="P46" i="18"/>
  <c r="X46" i="18" s="1"/>
  <c r="N46" i="18"/>
  <c r="L46" i="18"/>
  <c r="D46" i="18"/>
  <c r="B46" i="18"/>
  <c r="Z45" i="18"/>
  <c r="P45" i="18"/>
  <c r="X45" i="18" s="1"/>
  <c r="N45" i="18"/>
  <c r="D45" i="18"/>
  <c r="L45" i="18" s="1"/>
  <c r="B45" i="18"/>
  <c r="Z44" i="18"/>
  <c r="X44" i="18"/>
  <c r="P44" i="18"/>
  <c r="N44" i="18"/>
  <c r="D44" i="18"/>
  <c r="L44" i="18" s="1"/>
  <c r="B44" i="18"/>
  <c r="Z43" i="18"/>
  <c r="X43" i="18"/>
  <c r="P43" i="18"/>
  <c r="N43" i="18"/>
  <c r="D43" i="18"/>
  <c r="L43" i="18" s="1"/>
  <c r="B43" i="18"/>
  <c r="Z42" i="18"/>
  <c r="P42" i="18"/>
  <c r="X42" i="18" s="1"/>
  <c r="N42" i="18"/>
  <c r="D42" i="18"/>
  <c r="L42" i="18" s="1"/>
  <c r="B42" i="18"/>
  <c r="Z41" i="18"/>
  <c r="X41" i="18"/>
  <c r="P41" i="18"/>
  <c r="N41" i="18"/>
  <c r="L41" i="18"/>
  <c r="D41" i="18"/>
  <c r="B41" i="18"/>
  <c r="Z40" i="18"/>
  <c r="X40" i="18"/>
  <c r="P40" i="18"/>
  <c r="N40" i="18"/>
  <c r="L40" i="18"/>
  <c r="D40" i="18"/>
  <c r="B40" i="18"/>
  <c r="Z39" i="18"/>
  <c r="P39" i="18"/>
  <c r="X39" i="18" s="1"/>
  <c r="N39" i="18"/>
  <c r="D39" i="18"/>
  <c r="L39" i="18" s="1"/>
  <c r="B39" i="18"/>
  <c r="Z38" i="18"/>
  <c r="X38" i="18"/>
  <c r="P38" i="18"/>
  <c r="N38" i="18"/>
  <c r="L38" i="18"/>
  <c r="D38" i="18"/>
  <c r="B38" i="18"/>
  <c r="Z37" i="18"/>
  <c r="X37" i="18"/>
  <c r="P37" i="18"/>
  <c r="L37" i="18"/>
  <c r="N37" i="18" s="1"/>
  <c r="D37" i="18"/>
  <c r="B37" i="18"/>
  <c r="Z36" i="18"/>
  <c r="P36" i="18"/>
  <c r="X36" i="18" s="1"/>
  <c r="N36" i="18"/>
  <c r="L36" i="18"/>
  <c r="D36" i="18"/>
  <c r="B36" i="18"/>
  <c r="Z35" i="18"/>
  <c r="P35" i="18"/>
  <c r="X35" i="18" s="1"/>
  <c r="N35" i="18"/>
  <c r="L35" i="18"/>
  <c r="D35" i="18"/>
  <c r="B35" i="18"/>
  <c r="Z34" i="18"/>
  <c r="P34" i="18"/>
  <c r="X34" i="18" s="1"/>
  <c r="N34" i="18"/>
  <c r="L34" i="18"/>
  <c r="D34" i="18"/>
  <c r="B34" i="18"/>
  <c r="Z33" i="18"/>
  <c r="P33" i="18"/>
  <c r="X33" i="18" s="1"/>
  <c r="N33" i="18"/>
  <c r="D33" i="18"/>
  <c r="L33" i="18" s="1"/>
  <c r="B33" i="18"/>
  <c r="Z32" i="18"/>
  <c r="X32" i="18"/>
  <c r="P32" i="18"/>
  <c r="N32" i="18"/>
  <c r="D32" i="18"/>
  <c r="L32" i="18" s="1"/>
  <c r="B32" i="18"/>
  <c r="Z31" i="18"/>
  <c r="X31" i="18"/>
  <c r="P31" i="18"/>
  <c r="N31" i="18"/>
  <c r="D31" i="18"/>
  <c r="L31" i="18" s="1"/>
  <c r="B31" i="18"/>
  <c r="Z30" i="18"/>
  <c r="P30" i="18"/>
  <c r="X30" i="18" s="1"/>
  <c r="N30" i="18"/>
  <c r="D30" i="18"/>
  <c r="L30" i="18" s="1"/>
  <c r="B30" i="18"/>
  <c r="Z29" i="18"/>
  <c r="X29" i="18"/>
  <c r="P29" i="18"/>
  <c r="N29" i="18"/>
  <c r="L29" i="18"/>
  <c r="D29" i="18"/>
  <c r="B29" i="18"/>
  <c r="Z28" i="18"/>
  <c r="X28" i="18"/>
  <c r="P28" i="18"/>
  <c r="N28" i="18"/>
  <c r="L28" i="18"/>
  <c r="D28" i="18"/>
  <c r="B28" i="18"/>
  <c r="Z27" i="18"/>
  <c r="P27" i="18"/>
  <c r="X27" i="18" s="1"/>
  <c r="N27" i="18"/>
  <c r="D27" i="18"/>
  <c r="L27" i="18" s="1"/>
  <c r="B27" i="18"/>
  <c r="Z26" i="18"/>
  <c r="X26" i="18"/>
  <c r="P26" i="18"/>
  <c r="N26" i="18"/>
  <c r="L26" i="18"/>
  <c r="D26" i="18"/>
  <c r="B26" i="18"/>
  <c r="Z25" i="18"/>
  <c r="X25" i="18"/>
  <c r="P25" i="18"/>
  <c r="N25" i="18"/>
  <c r="L25" i="18"/>
  <c r="D25" i="18"/>
  <c r="B25" i="18"/>
  <c r="Z24" i="18"/>
  <c r="P24" i="18"/>
  <c r="X24" i="18" s="1"/>
  <c r="N24" i="18"/>
  <c r="L24" i="18"/>
  <c r="D24" i="18"/>
  <c r="B24" i="18"/>
  <c r="Z23" i="18"/>
  <c r="P23" i="18"/>
  <c r="X23" i="18" s="1"/>
  <c r="N23" i="18"/>
  <c r="L23" i="18"/>
  <c r="D23" i="18"/>
  <c r="B23" i="18"/>
  <c r="Z22" i="18"/>
  <c r="P22" i="18"/>
  <c r="X22" i="18" s="1"/>
  <c r="N22" i="18"/>
  <c r="L22" i="18"/>
  <c r="D22" i="18"/>
  <c r="B22" i="18"/>
  <c r="Z21" i="18"/>
  <c r="P21" i="18"/>
  <c r="X21" i="18" s="1"/>
  <c r="N21" i="18"/>
  <c r="D21" i="18"/>
  <c r="L21" i="18" s="1"/>
  <c r="B21" i="18"/>
  <c r="Z20" i="18"/>
  <c r="X20" i="18"/>
  <c r="P20" i="18"/>
  <c r="N20" i="18"/>
  <c r="D20" i="18"/>
  <c r="L20" i="18" s="1"/>
  <c r="B20" i="18"/>
  <c r="Z19" i="18"/>
  <c r="X19" i="18"/>
  <c r="P19" i="18"/>
  <c r="N19" i="18"/>
  <c r="D19" i="18"/>
  <c r="L19" i="18" s="1"/>
  <c r="B19" i="18"/>
  <c r="Z18" i="18"/>
  <c r="P18" i="18"/>
  <c r="X18" i="18" s="1"/>
  <c r="N18" i="18"/>
  <c r="D18" i="18"/>
  <c r="L18" i="18" s="1"/>
  <c r="B18" i="18"/>
  <c r="Z17" i="18"/>
  <c r="X17" i="18"/>
  <c r="P17" i="18"/>
  <c r="N17" i="18"/>
  <c r="L17" i="18"/>
  <c r="D17" i="18"/>
  <c r="B17" i="18"/>
  <c r="Z16" i="18"/>
  <c r="X16" i="18"/>
  <c r="P16" i="18"/>
  <c r="N16" i="18"/>
  <c r="L16" i="18"/>
  <c r="D16" i="18"/>
  <c r="B16" i="18"/>
  <c r="Z15" i="18"/>
  <c r="P15" i="18"/>
  <c r="X15" i="18" s="1"/>
  <c r="N15" i="18"/>
  <c r="D15" i="18"/>
  <c r="L15" i="18" s="1"/>
  <c r="B15" i="18"/>
  <c r="Z14" i="18"/>
  <c r="X14" i="18"/>
  <c r="P14" i="18"/>
  <c r="P12" i="18" s="1"/>
  <c r="N14" i="18"/>
  <c r="L14" i="18"/>
  <c r="D14" i="18"/>
  <c r="B14" i="18"/>
  <c r="Z13" i="18"/>
  <c r="X13" i="18"/>
  <c r="P13" i="18"/>
  <c r="L13" i="18"/>
  <c r="N13" i="18" s="1"/>
  <c r="D13" i="18"/>
  <c r="D12" i="18" s="1"/>
  <c r="B13" i="18"/>
  <c r="T12" i="18"/>
  <c r="V206" i="18" s="1"/>
  <c r="H12" i="18"/>
  <c r="J204" i="18" s="1"/>
  <c r="D4" i="18"/>
  <c r="Z216" i="15"/>
  <c r="X216" i="15"/>
  <c r="L216" i="15"/>
  <c r="N216" i="15" s="1"/>
  <c r="Z212" i="15"/>
  <c r="P212" i="15"/>
  <c r="X212" i="15" s="1"/>
  <c r="N212" i="15"/>
  <c r="D212" i="15"/>
  <c r="L212" i="15" s="1"/>
  <c r="B212" i="15"/>
  <c r="Z211" i="15"/>
  <c r="P211" i="15"/>
  <c r="X211" i="15" s="1"/>
  <c r="N211" i="15"/>
  <c r="L211" i="15"/>
  <c r="D211" i="15"/>
  <c r="B211" i="15"/>
  <c r="Z210" i="15"/>
  <c r="X210" i="15"/>
  <c r="P210" i="15"/>
  <c r="L210" i="15"/>
  <c r="N210" i="15" s="1"/>
  <c r="D210" i="15"/>
  <c r="B210" i="15"/>
  <c r="Z209" i="15"/>
  <c r="X209" i="15"/>
  <c r="P209" i="15"/>
  <c r="N209" i="15"/>
  <c r="L209" i="15"/>
  <c r="D209" i="15"/>
  <c r="B209" i="15"/>
  <c r="T208" i="15"/>
  <c r="H208" i="15"/>
  <c r="X206" i="15"/>
  <c r="Z206" i="15" s="1"/>
  <c r="L206" i="15"/>
  <c r="N206" i="15" s="1"/>
  <c r="B206" i="15"/>
  <c r="T205" i="15"/>
  <c r="P205" i="15"/>
  <c r="X205" i="15" s="1"/>
  <c r="Z205" i="15" s="1"/>
  <c r="H205" i="15"/>
  <c r="D205" i="15"/>
  <c r="L205" i="15" s="1"/>
  <c r="N205" i="15" s="1"/>
  <c r="B205" i="15"/>
  <c r="X204" i="15"/>
  <c r="Z204" i="15" s="1"/>
  <c r="N204" i="15"/>
  <c r="L204" i="15"/>
  <c r="B204" i="15"/>
  <c r="X203" i="15"/>
  <c r="Z203" i="15" s="1"/>
  <c r="N203" i="15"/>
  <c r="L203" i="15"/>
  <c r="B203" i="15"/>
  <c r="Z202" i="15"/>
  <c r="X202" i="15"/>
  <c r="N202" i="15"/>
  <c r="L202" i="15"/>
  <c r="B202" i="15"/>
  <c r="Z201" i="15"/>
  <c r="X201" i="15"/>
  <c r="T201" i="15"/>
  <c r="P201" i="15"/>
  <c r="L201" i="15"/>
  <c r="N201" i="15" s="1"/>
  <c r="H201" i="15"/>
  <c r="D201" i="15"/>
  <c r="B201" i="15"/>
  <c r="Z200" i="15"/>
  <c r="X200" i="15"/>
  <c r="N200" i="15"/>
  <c r="L200" i="15"/>
  <c r="B200" i="15"/>
  <c r="T199" i="15"/>
  <c r="P199" i="15"/>
  <c r="H199" i="15"/>
  <c r="D199" i="15"/>
  <c r="B199" i="15"/>
  <c r="X198" i="15"/>
  <c r="Z198" i="15" s="1"/>
  <c r="L198" i="15"/>
  <c r="N198" i="15" s="1"/>
  <c r="B198" i="15"/>
  <c r="Z197" i="15"/>
  <c r="X197" i="15"/>
  <c r="N197" i="15"/>
  <c r="L197" i="15"/>
  <c r="B197" i="15"/>
  <c r="T196" i="15"/>
  <c r="P196" i="15"/>
  <c r="X196" i="15" s="1"/>
  <c r="Z196" i="15" s="1"/>
  <c r="L196" i="15"/>
  <c r="N196" i="15" s="1"/>
  <c r="H196" i="15"/>
  <c r="D196" i="15"/>
  <c r="B196" i="15"/>
  <c r="X195" i="15"/>
  <c r="Z195" i="15" s="1"/>
  <c r="L195" i="15"/>
  <c r="N195" i="15" s="1"/>
  <c r="B195" i="15"/>
  <c r="X194" i="15"/>
  <c r="Z194" i="15" s="1"/>
  <c r="N194" i="15"/>
  <c r="L194" i="15"/>
  <c r="B194" i="15"/>
  <c r="Z193" i="15"/>
  <c r="X193" i="15"/>
  <c r="L193" i="15"/>
  <c r="N193" i="15" s="1"/>
  <c r="B193" i="15"/>
  <c r="X192" i="15"/>
  <c r="Z192" i="15" s="1"/>
  <c r="N192" i="15"/>
  <c r="L192" i="15"/>
  <c r="B192" i="15"/>
  <c r="X191" i="15"/>
  <c r="Z191" i="15" s="1"/>
  <c r="L191" i="15"/>
  <c r="N191" i="15" s="1"/>
  <c r="B191" i="15"/>
  <c r="X190" i="15"/>
  <c r="Z190" i="15" s="1"/>
  <c r="N190" i="15"/>
  <c r="L190" i="15"/>
  <c r="B190" i="15"/>
  <c r="Z189" i="15"/>
  <c r="X189" i="15"/>
  <c r="L189" i="15"/>
  <c r="N189" i="15" s="1"/>
  <c r="B189" i="15"/>
  <c r="X188" i="15"/>
  <c r="Z188" i="15" s="1"/>
  <c r="N188" i="15"/>
  <c r="L188" i="15"/>
  <c r="B188" i="15"/>
  <c r="X187" i="15"/>
  <c r="Z187" i="15" s="1"/>
  <c r="L187" i="15"/>
  <c r="N187" i="15" s="1"/>
  <c r="B187" i="15"/>
  <c r="X186" i="15"/>
  <c r="T186" i="15"/>
  <c r="Z186" i="15" s="1"/>
  <c r="P186" i="15"/>
  <c r="H186" i="15"/>
  <c r="D186" i="15"/>
  <c r="L186" i="15" s="1"/>
  <c r="B186" i="15"/>
  <c r="Z185" i="15"/>
  <c r="X185" i="15"/>
  <c r="N185" i="15"/>
  <c r="L185" i="15"/>
  <c r="B185" i="15"/>
  <c r="Z184" i="15"/>
  <c r="X184" i="15"/>
  <c r="N184" i="15"/>
  <c r="L184" i="15"/>
  <c r="B184" i="15"/>
  <c r="T183" i="15"/>
  <c r="P183" i="15"/>
  <c r="H183" i="15"/>
  <c r="D183" i="15"/>
  <c r="B183" i="15"/>
  <c r="X182" i="15"/>
  <c r="Z182" i="15" s="1"/>
  <c r="L182" i="15"/>
  <c r="N182" i="15" s="1"/>
  <c r="B182" i="15"/>
  <c r="Z181" i="15"/>
  <c r="X181" i="15"/>
  <c r="N181" i="15"/>
  <c r="L181" i="15"/>
  <c r="B181" i="15"/>
  <c r="Z180" i="15"/>
  <c r="X180" i="15"/>
  <c r="N180" i="15"/>
  <c r="L180" i="15"/>
  <c r="B180" i="15"/>
  <c r="Z179" i="15"/>
  <c r="X179" i="15"/>
  <c r="L179" i="15"/>
  <c r="N179" i="15" s="1"/>
  <c r="B179" i="15"/>
  <c r="X178" i="15"/>
  <c r="Z178" i="15" s="1"/>
  <c r="T178" i="15"/>
  <c r="P178" i="15"/>
  <c r="H178" i="15"/>
  <c r="D178" i="15"/>
  <c r="L178" i="15" s="1"/>
  <c r="N178" i="15" s="1"/>
  <c r="B178" i="15"/>
  <c r="Z177" i="15"/>
  <c r="X177" i="15"/>
  <c r="L177" i="15"/>
  <c r="N177" i="15" s="1"/>
  <c r="B177" i="15"/>
  <c r="X176" i="15"/>
  <c r="Z176" i="15" s="1"/>
  <c r="N176" i="15"/>
  <c r="L176" i="15"/>
  <c r="B176" i="15"/>
  <c r="X175" i="15"/>
  <c r="Z175" i="15" s="1"/>
  <c r="L175" i="15"/>
  <c r="N175" i="15" s="1"/>
  <c r="B175" i="15"/>
  <c r="X174" i="15"/>
  <c r="Z174" i="15" s="1"/>
  <c r="N174" i="15"/>
  <c r="L174" i="15"/>
  <c r="B174" i="15"/>
  <c r="Z173" i="15"/>
  <c r="X173" i="15"/>
  <c r="T173" i="15"/>
  <c r="P173" i="15"/>
  <c r="L173" i="15"/>
  <c r="N173" i="15" s="1"/>
  <c r="H173" i="15"/>
  <c r="D173" i="15"/>
  <c r="B173" i="15"/>
  <c r="Z172" i="15"/>
  <c r="X172" i="15"/>
  <c r="N172" i="15"/>
  <c r="L172" i="15"/>
  <c r="B172" i="15"/>
  <c r="X171" i="15"/>
  <c r="Z171" i="15" s="1"/>
  <c r="N171" i="15"/>
  <c r="L171" i="15"/>
  <c r="B171" i="15"/>
  <c r="Z170" i="15"/>
  <c r="X170" i="15"/>
  <c r="N170" i="15"/>
  <c r="L170" i="15"/>
  <c r="B170" i="15"/>
  <c r="X169" i="15"/>
  <c r="Z169" i="15" s="1"/>
  <c r="N169" i="15"/>
  <c r="L169" i="15"/>
  <c r="B169" i="15"/>
  <c r="Z168" i="15"/>
  <c r="X168" i="15"/>
  <c r="T168" i="15"/>
  <c r="P168" i="15"/>
  <c r="H168" i="15"/>
  <c r="D168" i="15"/>
  <c r="L168" i="15" s="1"/>
  <c r="N168" i="15" s="1"/>
  <c r="B168" i="15"/>
  <c r="Z167" i="15"/>
  <c r="X167" i="15"/>
  <c r="L167" i="15"/>
  <c r="N167" i="15" s="1"/>
  <c r="B167" i="15"/>
  <c r="X166" i="15"/>
  <c r="Z166" i="15" s="1"/>
  <c r="T166" i="15"/>
  <c r="P166" i="15"/>
  <c r="H166" i="15"/>
  <c r="D166" i="15"/>
  <c r="L166" i="15" s="1"/>
  <c r="N166" i="15" s="1"/>
  <c r="B166" i="15"/>
  <c r="Z165" i="15"/>
  <c r="X165" i="15"/>
  <c r="L165" i="15"/>
  <c r="N165" i="15" s="1"/>
  <c r="B165" i="15"/>
  <c r="T164" i="15"/>
  <c r="Z164" i="15" s="1"/>
  <c r="P164" i="15"/>
  <c r="X164" i="15" s="1"/>
  <c r="L164" i="15"/>
  <c r="H164" i="15"/>
  <c r="N164" i="15" s="1"/>
  <c r="D164" i="15"/>
  <c r="B164" i="15"/>
  <c r="X163" i="15"/>
  <c r="Z163" i="15" s="1"/>
  <c r="N163" i="15"/>
  <c r="L163" i="15"/>
  <c r="B163" i="15"/>
  <c r="T162" i="15"/>
  <c r="P162" i="15"/>
  <c r="X162" i="15" s="1"/>
  <c r="Z162" i="15" s="1"/>
  <c r="N162" i="15"/>
  <c r="L162" i="15"/>
  <c r="H162" i="15"/>
  <c r="D162" i="15"/>
  <c r="B162" i="15"/>
  <c r="Z161" i="15"/>
  <c r="X161" i="15"/>
  <c r="N161" i="15"/>
  <c r="L161" i="15"/>
  <c r="B161" i="15"/>
  <c r="V160" i="15"/>
  <c r="T160" i="15"/>
  <c r="P160" i="15"/>
  <c r="X160" i="15" s="1"/>
  <c r="Z160" i="15" s="1"/>
  <c r="L160" i="15"/>
  <c r="N160" i="15" s="1"/>
  <c r="H160" i="15"/>
  <c r="D160" i="15"/>
  <c r="B160" i="15"/>
  <c r="X159" i="15"/>
  <c r="Z159" i="15" s="1"/>
  <c r="L159" i="15"/>
  <c r="N159" i="15" s="1"/>
  <c r="B159" i="15"/>
  <c r="X158" i="15"/>
  <c r="Z158" i="15" s="1"/>
  <c r="N158" i="15"/>
  <c r="L158" i="15"/>
  <c r="B158" i="15"/>
  <c r="Z157" i="15"/>
  <c r="X157" i="15"/>
  <c r="N157" i="15"/>
  <c r="L157" i="15"/>
  <c r="B157" i="15"/>
  <c r="T156" i="15"/>
  <c r="P156" i="15"/>
  <c r="X156" i="15" s="1"/>
  <c r="L156" i="15"/>
  <c r="H156" i="15"/>
  <c r="N156" i="15" s="1"/>
  <c r="D156" i="15"/>
  <c r="B156" i="15"/>
  <c r="X155" i="15"/>
  <c r="Z155" i="15" s="1"/>
  <c r="V155" i="15"/>
  <c r="N155" i="15"/>
  <c r="L155" i="15"/>
  <c r="B155" i="15"/>
  <c r="Z154" i="15"/>
  <c r="X154" i="15"/>
  <c r="L154" i="15"/>
  <c r="N154" i="15" s="1"/>
  <c r="B154" i="15"/>
  <c r="T153" i="15"/>
  <c r="P153" i="15"/>
  <c r="L153" i="15"/>
  <c r="H153" i="15"/>
  <c r="N153" i="15" s="1"/>
  <c r="D153" i="15"/>
  <c r="B153" i="15"/>
  <c r="Z152" i="15"/>
  <c r="X152" i="15"/>
  <c r="V152" i="15"/>
  <c r="L152" i="15"/>
  <c r="N152" i="15" s="1"/>
  <c r="B152" i="15"/>
  <c r="V151" i="15"/>
  <c r="T151" i="15"/>
  <c r="P151" i="15"/>
  <c r="X151" i="15" s="1"/>
  <c r="Z151" i="15" s="1"/>
  <c r="H151" i="15"/>
  <c r="N151" i="15" s="1"/>
  <c r="D151" i="15"/>
  <c r="L151" i="15" s="1"/>
  <c r="B151" i="15"/>
  <c r="X150" i="15"/>
  <c r="Z150" i="15" s="1"/>
  <c r="N150" i="15"/>
  <c r="L150" i="15"/>
  <c r="B150" i="15"/>
  <c r="Z149" i="15"/>
  <c r="X149" i="15"/>
  <c r="T149" i="15"/>
  <c r="P149" i="15"/>
  <c r="L149" i="15"/>
  <c r="N149" i="15" s="1"/>
  <c r="H149" i="15"/>
  <c r="D149" i="15"/>
  <c r="B149" i="15"/>
  <c r="Z148" i="15"/>
  <c r="X148" i="15"/>
  <c r="N148" i="15"/>
  <c r="L148" i="15"/>
  <c r="B148" i="15"/>
  <c r="Z147" i="15"/>
  <c r="X147" i="15"/>
  <c r="V147" i="15"/>
  <c r="N147" i="15"/>
  <c r="L147" i="15"/>
  <c r="B147" i="15"/>
  <c r="T146" i="15"/>
  <c r="P146" i="15"/>
  <c r="X146" i="15" s="1"/>
  <c r="Z146" i="15" s="1"/>
  <c r="H146" i="15"/>
  <c r="D146" i="15"/>
  <c r="B146" i="15"/>
  <c r="Z145" i="15"/>
  <c r="X145" i="15"/>
  <c r="N145" i="15"/>
  <c r="L145" i="15"/>
  <c r="B145" i="15"/>
  <c r="Z144" i="15"/>
  <c r="X144" i="15"/>
  <c r="V144" i="15"/>
  <c r="L144" i="15"/>
  <c r="N144" i="15" s="1"/>
  <c r="B144" i="15"/>
  <c r="V143" i="15"/>
  <c r="T143" i="15"/>
  <c r="P143" i="15"/>
  <c r="X143" i="15" s="1"/>
  <c r="Z143" i="15" s="1"/>
  <c r="H143" i="15"/>
  <c r="D143" i="15"/>
  <c r="L143" i="15" s="1"/>
  <c r="B143" i="15"/>
  <c r="X142" i="15"/>
  <c r="Z142" i="15" s="1"/>
  <c r="N142" i="15"/>
  <c r="L142" i="15"/>
  <c r="B142" i="15"/>
  <c r="Z141" i="15"/>
  <c r="X141" i="15"/>
  <c r="N141" i="15"/>
  <c r="L141" i="15"/>
  <c r="B141" i="15"/>
  <c r="T140" i="15"/>
  <c r="P140" i="15"/>
  <c r="X140" i="15" s="1"/>
  <c r="L140" i="15"/>
  <c r="H140" i="15"/>
  <c r="N140" i="15" s="1"/>
  <c r="D140" i="15"/>
  <c r="B140" i="15"/>
  <c r="X139" i="15"/>
  <c r="Z139" i="15" s="1"/>
  <c r="V139" i="15"/>
  <c r="N139" i="15"/>
  <c r="L139" i="15"/>
  <c r="B139" i="15"/>
  <c r="T138" i="15"/>
  <c r="P138" i="15"/>
  <c r="X138" i="15" s="1"/>
  <c r="Z138" i="15" s="1"/>
  <c r="H138" i="15"/>
  <c r="D138" i="15"/>
  <c r="B138" i="15"/>
  <c r="Z137" i="15"/>
  <c r="X137" i="15"/>
  <c r="N137" i="15"/>
  <c r="L137" i="15"/>
  <c r="B137" i="15"/>
  <c r="Z136" i="15"/>
  <c r="X136" i="15"/>
  <c r="V136" i="15"/>
  <c r="L136" i="15"/>
  <c r="N136" i="15" s="1"/>
  <c r="B136" i="15"/>
  <c r="V135" i="15"/>
  <c r="T135" i="15"/>
  <c r="P135" i="15"/>
  <c r="X135" i="15" s="1"/>
  <c r="Z135" i="15" s="1"/>
  <c r="H135" i="15"/>
  <c r="D135" i="15"/>
  <c r="L135" i="15" s="1"/>
  <c r="B135" i="15"/>
  <c r="X134" i="15"/>
  <c r="Z134" i="15" s="1"/>
  <c r="N134" i="15"/>
  <c r="L134" i="15"/>
  <c r="B134" i="15"/>
  <c r="Z133" i="15"/>
  <c r="X133" i="15"/>
  <c r="T133" i="15"/>
  <c r="P133" i="15"/>
  <c r="L133" i="15"/>
  <c r="N133" i="15" s="1"/>
  <c r="H133" i="15"/>
  <c r="D133" i="15"/>
  <c r="B133" i="15"/>
  <c r="Z132" i="15"/>
  <c r="X132" i="15"/>
  <c r="N132" i="15"/>
  <c r="L132" i="15"/>
  <c r="B132" i="15"/>
  <c r="Z131" i="15"/>
  <c r="X131" i="15"/>
  <c r="V131" i="15"/>
  <c r="N131" i="15"/>
  <c r="L131" i="15"/>
  <c r="B131" i="15"/>
  <c r="Z130" i="15"/>
  <c r="X130" i="15"/>
  <c r="L130" i="15"/>
  <c r="N130" i="15" s="1"/>
  <c r="B130" i="15"/>
  <c r="Z129" i="15"/>
  <c r="X129" i="15"/>
  <c r="N129" i="15"/>
  <c r="L129" i="15"/>
  <c r="B129" i="15"/>
  <c r="Z128" i="15"/>
  <c r="X128" i="15"/>
  <c r="N128" i="15"/>
  <c r="L128" i="15"/>
  <c r="B128" i="15"/>
  <c r="X127" i="15"/>
  <c r="Z127" i="15" s="1"/>
  <c r="V127" i="15"/>
  <c r="N127" i="15"/>
  <c r="L127" i="15"/>
  <c r="B127" i="15"/>
  <c r="Z126" i="15"/>
  <c r="X126" i="15"/>
  <c r="L126" i="15"/>
  <c r="N126" i="15" s="1"/>
  <c r="B126" i="15"/>
  <c r="Z125" i="15"/>
  <c r="X125" i="15"/>
  <c r="N125" i="15"/>
  <c r="L125" i="15"/>
  <c r="B125" i="15"/>
  <c r="Z124" i="15"/>
  <c r="X124" i="15"/>
  <c r="N124" i="15"/>
  <c r="L124" i="15"/>
  <c r="B124" i="15"/>
  <c r="X123" i="15"/>
  <c r="Z123" i="15" s="1"/>
  <c r="V123" i="15"/>
  <c r="N123" i="15"/>
  <c r="L123" i="15"/>
  <c r="B123" i="15"/>
  <c r="T122" i="15"/>
  <c r="P122" i="15"/>
  <c r="X122" i="15" s="1"/>
  <c r="Z122" i="15" s="1"/>
  <c r="H122" i="15"/>
  <c r="D122" i="15"/>
  <c r="B122" i="15"/>
  <c r="Z121" i="15"/>
  <c r="X121" i="15"/>
  <c r="N121" i="15"/>
  <c r="L121" i="15"/>
  <c r="B121" i="15"/>
  <c r="Z120" i="15"/>
  <c r="X120" i="15"/>
  <c r="V120" i="15"/>
  <c r="L120" i="15"/>
  <c r="N120" i="15" s="1"/>
  <c r="B120" i="15"/>
  <c r="Z119" i="15"/>
  <c r="X119" i="15"/>
  <c r="V119" i="15"/>
  <c r="L119" i="15"/>
  <c r="N119" i="15" s="1"/>
  <c r="B119" i="15"/>
  <c r="Z118" i="15"/>
  <c r="X118" i="15"/>
  <c r="V118" i="15"/>
  <c r="N118" i="15"/>
  <c r="L118" i="15"/>
  <c r="B118" i="15"/>
  <c r="Z117" i="15"/>
  <c r="X117" i="15"/>
  <c r="N117" i="15"/>
  <c r="L117" i="15"/>
  <c r="B117" i="15"/>
  <c r="Z116" i="15"/>
  <c r="X116" i="15"/>
  <c r="V116" i="15"/>
  <c r="L116" i="15"/>
  <c r="N116" i="15" s="1"/>
  <c r="B116" i="15"/>
  <c r="Z115" i="15"/>
  <c r="X115" i="15"/>
  <c r="V115" i="15"/>
  <c r="L115" i="15"/>
  <c r="N115" i="15" s="1"/>
  <c r="B115" i="15"/>
  <c r="X114" i="15"/>
  <c r="Z114" i="15" s="1"/>
  <c r="V114" i="15"/>
  <c r="L114" i="15"/>
  <c r="N114" i="15" s="1"/>
  <c r="B114" i="15"/>
  <c r="Z113" i="15"/>
  <c r="X113" i="15"/>
  <c r="N113" i="15"/>
  <c r="L113" i="15"/>
  <c r="B113" i="15"/>
  <c r="Z112" i="15"/>
  <c r="X112" i="15"/>
  <c r="V112" i="15"/>
  <c r="L112" i="15"/>
  <c r="N112" i="15" s="1"/>
  <c r="B112" i="15"/>
  <c r="V111" i="15"/>
  <c r="T111" i="15"/>
  <c r="P111" i="15"/>
  <c r="X111" i="15" s="1"/>
  <c r="Z111" i="15" s="1"/>
  <c r="H111" i="15"/>
  <c r="D111" i="15"/>
  <c r="L111" i="15" s="1"/>
  <c r="B111" i="15"/>
  <c r="T110" i="15"/>
  <c r="X110" i="15" s="1"/>
  <c r="P110" i="15"/>
  <c r="H110" i="15"/>
  <c r="D110" i="15"/>
  <c r="Z106" i="15"/>
  <c r="X106" i="15"/>
  <c r="V106" i="15"/>
  <c r="N106" i="15"/>
  <c r="L106" i="15"/>
  <c r="B106" i="15"/>
  <c r="Z105" i="15"/>
  <c r="X105" i="15"/>
  <c r="V105" i="15"/>
  <c r="N105" i="15"/>
  <c r="L105" i="15"/>
  <c r="B105" i="15"/>
  <c r="Z104" i="15"/>
  <c r="X104" i="15"/>
  <c r="V104" i="15"/>
  <c r="N104" i="15"/>
  <c r="L104" i="15"/>
  <c r="B104" i="15"/>
  <c r="Z103" i="15"/>
  <c r="X103" i="15"/>
  <c r="V103" i="15"/>
  <c r="N103" i="15"/>
  <c r="L103" i="15"/>
  <c r="B103" i="15"/>
  <c r="Z102" i="15"/>
  <c r="X102" i="15"/>
  <c r="V102" i="15"/>
  <c r="N102" i="15"/>
  <c r="L102" i="15"/>
  <c r="B102" i="15"/>
  <c r="Z101" i="15"/>
  <c r="X101" i="15"/>
  <c r="V101" i="15"/>
  <c r="N101" i="15"/>
  <c r="L101" i="15"/>
  <c r="B101" i="15"/>
  <c r="Z100" i="15"/>
  <c r="X100" i="15"/>
  <c r="V100" i="15"/>
  <c r="N100" i="15"/>
  <c r="L100" i="15"/>
  <c r="B100" i="15"/>
  <c r="Z99" i="15"/>
  <c r="X99" i="15"/>
  <c r="V99" i="15"/>
  <c r="N99" i="15"/>
  <c r="L99" i="15"/>
  <c r="B99" i="15"/>
  <c r="Z98" i="15"/>
  <c r="X98" i="15"/>
  <c r="V98" i="15"/>
  <c r="N98" i="15"/>
  <c r="L98" i="15"/>
  <c r="B98" i="15"/>
  <c r="Z97" i="15"/>
  <c r="X97" i="15"/>
  <c r="V97" i="15"/>
  <c r="N97" i="15"/>
  <c r="L97" i="15"/>
  <c r="B97" i="15"/>
  <c r="Z96" i="15"/>
  <c r="X96" i="15"/>
  <c r="V96" i="15"/>
  <c r="N96" i="15"/>
  <c r="L96" i="15"/>
  <c r="B96" i="15"/>
  <c r="Z95" i="15"/>
  <c r="X95" i="15"/>
  <c r="V95" i="15"/>
  <c r="N95" i="15"/>
  <c r="L95" i="15"/>
  <c r="B95" i="15"/>
  <c r="Z94" i="15"/>
  <c r="X94" i="15"/>
  <c r="V94" i="15"/>
  <c r="N94" i="15"/>
  <c r="L94" i="15"/>
  <c r="B94" i="15"/>
  <c r="Z93" i="15"/>
  <c r="X93" i="15"/>
  <c r="V93" i="15"/>
  <c r="N93" i="15"/>
  <c r="L93" i="15"/>
  <c r="B93" i="15"/>
  <c r="Z92" i="15"/>
  <c r="X92" i="15"/>
  <c r="V92" i="15"/>
  <c r="N92" i="15"/>
  <c r="L92" i="15"/>
  <c r="B92" i="15"/>
  <c r="Z91" i="15"/>
  <c r="X91" i="15"/>
  <c r="V91" i="15"/>
  <c r="N91" i="15"/>
  <c r="L91" i="15"/>
  <c r="B91" i="15"/>
  <c r="Z90" i="15"/>
  <c r="X90" i="15"/>
  <c r="V90" i="15"/>
  <c r="N90" i="15"/>
  <c r="L90" i="15"/>
  <c r="B90" i="15"/>
  <c r="Z89" i="15"/>
  <c r="X89" i="15"/>
  <c r="V89" i="15"/>
  <c r="N89" i="15"/>
  <c r="L89" i="15"/>
  <c r="B89" i="15"/>
  <c r="Z88" i="15"/>
  <c r="X88" i="15"/>
  <c r="V88" i="15"/>
  <c r="N88" i="15"/>
  <c r="L88" i="15"/>
  <c r="B88" i="15"/>
  <c r="Z87" i="15"/>
  <c r="X87" i="15"/>
  <c r="V87" i="15"/>
  <c r="N87" i="15"/>
  <c r="L87" i="15"/>
  <c r="B87" i="15"/>
  <c r="Z86" i="15"/>
  <c r="X86" i="15"/>
  <c r="V86" i="15"/>
  <c r="N86" i="15"/>
  <c r="L86" i="15"/>
  <c r="B86" i="15"/>
  <c r="Z85" i="15"/>
  <c r="X85" i="15"/>
  <c r="V85" i="15"/>
  <c r="N85" i="15"/>
  <c r="L85" i="15"/>
  <c r="B85" i="15"/>
  <c r="Z84" i="15"/>
  <c r="X84" i="15"/>
  <c r="V84" i="15"/>
  <c r="N84" i="15"/>
  <c r="L84" i="15"/>
  <c r="B84" i="15"/>
  <c r="Z83" i="15"/>
  <c r="X83" i="15"/>
  <c r="V83" i="15"/>
  <c r="N83" i="15"/>
  <c r="L83" i="15"/>
  <c r="B83" i="15"/>
  <c r="Z82" i="15"/>
  <c r="X82" i="15"/>
  <c r="V82" i="15"/>
  <c r="N82" i="15"/>
  <c r="L82" i="15"/>
  <c r="B82" i="15"/>
  <c r="Z81" i="15"/>
  <c r="X81" i="15"/>
  <c r="V81" i="15"/>
  <c r="N81" i="15"/>
  <c r="L81" i="15"/>
  <c r="B81" i="15"/>
  <c r="Z80" i="15"/>
  <c r="X80" i="15"/>
  <c r="V80" i="15"/>
  <c r="N80" i="15"/>
  <c r="L80" i="15"/>
  <c r="B80" i="15"/>
  <c r="Z79" i="15"/>
  <c r="X79" i="15"/>
  <c r="V79" i="15"/>
  <c r="N79" i="15"/>
  <c r="L79" i="15"/>
  <c r="B79" i="15"/>
  <c r="Z78" i="15"/>
  <c r="X78" i="15"/>
  <c r="V78" i="15"/>
  <c r="N78" i="15"/>
  <c r="L78" i="15"/>
  <c r="B78" i="15"/>
  <c r="Z77" i="15"/>
  <c r="X77" i="15"/>
  <c r="V77" i="15"/>
  <c r="N77" i="15"/>
  <c r="L77" i="15"/>
  <c r="B77" i="15"/>
  <c r="X76" i="15"/>
  <c r="Z76" i="15" s="1"/>
  <c r="V76" i="15"/>
  <c r="L76" i="15"/>
  <c r="N76" i="15" s="1"/>
  <c r="B76" i="15"/>
  <c r="X75" i="15"/>
  <c r="Z75" i="15" s="1"/>
  <c r="V75" i="15"/>
  <c r="T75" i="15"/>
  <c r="P75" i="15"/>
  <c r="N75" i="15"/>
  <c r="L75" i="15"/>
  <c r="H75" i="15"/>
  <c r="D75" i="15"/>
  <c r="Z73" i="15"/>
  <c r="X73" i="15"/>
  <c r="P73" i="15"/>
  <c r="N73" i="15"/>
  <c r="D73" i="15"/>
  <c r="L73" i="15" s="1"/>
  <c r="B73" i="15"/>
  <c r="Z72" i="15"/>
  <c r="X72" i="15"/>
  <c r="P72" i="15"/>
  <c r="N72" i="15"/>
  <c r="L72" i="15"/>
  <c r="D72" i="15"/>
  <c r="B72" i="15"/>
  <c r="Z71" i="15"/>
  <c r="P71" i="15"/>
  <c r="X71" i="15" s="1"/>
  <c r="N71" i="15"/>
  <c r="L71" i="15"/>
  <c r="D71" i="15"/>
  <c r="B71" i="15"/>
  <c r="Z70" i="15"/>
  <c r="X70" i="15"/>
  <c r="P70" i="15"/>
  <c r="N70" i="15"/>
  <c r="L70" i="15"/>
  <c r="D70" i="15"/>
  <c r="B70" i="15"/>
  <c r="Z69" i="15"/>
  <c r="X69" i="15"/>
  <c r="P69" i="15"/>
  <c r="N69" i="15"/>
  <c r="L69" i="15"/>
  <c r="D69" i="15"/>
  <c r="B69" i="15"/>
  <c r="Z68" i="15"/>
  <c r="P68" i="15"/>
  <c r="X68" i="15" s="1"/>
  <c r="N68" i="15"/>
  <c r="D68" i="15"/>
  <c r="L68" i="15" s="1"/>
  <c r="B68" i="15"/>
  <c r="Z67" i="15"/>
  <c r="P67" i="15"/>
  <c r="X67" i="15" s="1"/>
  <c r="N67" i="15"/>
  <c r="L67" i="15"/>
  <c r="D67" i="15"/>
  <c r="B67" i="15"/>
  <c r="Z66" i="15"/>
  <c r="X66" i="15"/>
  <c r="P66" i="15"/>
  <c r="N66" i="15"/>
  <c r="L66" i="15"/>
  <c r="D66" i="15"/>
  <c r="B66" i="15"/>
  <c r="Z65" i="15"/>
  <c r="P65" i="15"/>
  <c r="X65" i="15" s="1"/>
  <c r="N65" i="15"/>
  <c r="D65" i="15"/>
  <c r="L65" i="15" s="1"/>
  <c r="B65" i="15"/>
  <c r="Z64" i="15"/>
  <c r="P64" i="15"/>
  <c r="X64" i="15" s="1"/>
  <c r="N64" i="15"/>
  <c r="D64" i="15"/>
  <c r="L64" i="15" s="1"/>
  <c r="B64" i="15"/>
  <c r="Z63" i="15"/>
  <c r="X63" i="15"/>
  <c r="P63" i="15"/>
  <c r="N63" i="15"/>
  <c r="L63" i="15"/>
  <c r="D63" i="15"/>
  <c r="B63" i="15"/>
  <c r="Z62" i="15"/>
  <c r="X62" i="15"/>
  <c r="P62" i="15"/>
  <c r="N62" i="15"/>
  <c r="D62" i="15"/>
  <c r="L62" i="15" s="1"/>
  <c r="B62" i="15"/>
  <c r="Z61" i="15"/>
  <c r="X61" i="15"/>
  <c r="P61" i="15"/>
  <c r="N61" i="15"/>
  <c r="D61" i="15"/>
  <c r="L61" i="15" s="1"/>
  <c r="B61" i="15"/>
  <c r="Z60" i="15"/>
  <c r="X60" i="15"/>
  <c r="P60" i="15"/>
  <c r="N60" i="15"/>
  <c r="L60" i="15"/>
  <c r="D60" i="15"/>
  <c r="B60" i="15"/>
  <c r="Z59" i="15"/>
  <c r="P59" i="15"/>
  <c r="X59" i="15" s="1"/>
  <c r="N59" i="15"/>
  <c r="L59" i="15"/>
  <c r="D59" i="15"/>
  <c r="B59" i="15"/>
  <c r="Z58" i="15"/>
  <c r="X58" i="15"/>
  <c r="P58" i="15"/>
  <c r="N58" i="15"/>
  <c r="L58" i="15"/>
  <c r="D58" i="15"/>
  <c r="B58" i="15"/>
  <c r="Z57" i="15"/>
  <c r="X57" i="15"/>
  <c r="P57" i="15"/>
  <c r="N57" i="15"/>
  <c r="L57" i="15"/>
  <c r="D57" i="15"/>
  <c r="B57" i="15"/>
  <c r="Z56" i="15"/>
  <c r="P56" i="15"/>
  <c r="X56" i="15" s="1"/>
  <c r="N56" i="15"/>
  <c r="D56" i="15"/>
  <c r="L56" i="15" s="1"/>
  <c r="B56" i="15"/>
  <c r="Z55" i="15"/>
  <c r="P55" i="15"/>
  <c r="X55" i="15" s="1"/>
  <c r="N55" i="15"/>
  <c r="L55" i="15"/>
  <c r="D55" i="15"/>
  <c r="B55" i="15"/>
  <c r="Z54" i="15"/>
  <c r="X54" i="15"/>
  <c r="P54" i="15"/>
  <c r="N54" i="15"/>
  <c r="L54" i="15"/>
  <c r="D54" i="15"/>
  <c r="B54" i="15"/>
  <c r="Z53" i="15"/>
  <c r="P53" i="15"/>
  <c r="X53" i="15" s="1"/>
  <c r="N53" i="15"/>
  <c r="D53" i="15"/>
  <c r="L53" i="15" s="1"/>
  <c r="B53" i="15"/>
  <c r="Z52" i="15"/>
  <c r="P52" i="15"/>
  <c r="X52" i="15" s="1"/>
  <c r="N52" i="15"/>
  <c r="D52" i="15"/>
  <c r="L52" i="15" s="1"/>
  <c r="B52" i="15"/>
  <c r="Z51" i="15"/>
  <c r="X51" i="15"/>
  <c r="P51" i="15"/>
  <c r="N51" i="15"/>
  <c r="L51" i="15"/>
  <c r="D51" i="15"/>
  <c r="B51" i="15"/>
  <c r="Z50" i="15"/>
  <c r="X50" i="15"/>
  <c r="P50" i="15"/>
  <c r="N50" i="15"/>
  <c r="D50" i="15"/>
  <c r="L50" i="15" s="1"/>
  <c r="B50" i="15"/>
  <c r="Z49" i="15"/>
  <c r="X49" i="15"/>
  <c r="P49" i="15"/>
  <c r="N49" i="15"/>
  <c r="D49" i="15"/>
  <c r="L49" i="15" s="1"/>
  <c r="B49" i="15"/>
  <c r="Z48" i="15"/>
  <c r="X48" i="15"/>
  <c r="P48" i="15"/>
  <c r="N48" i="15"/>
  <c r="L48" i="15"/>
  <c r="D48" i="15"/>
  <c r="B48" i="15"/>
  <c r="Z47" i="15"/>
  <c r="P47" i="15"/>
  <c r="X47" i="15" s="1"/>
  <c r="N47" i="15"/>
  <c r="L47" i="15"/>
  <c r="D47" i="15"/>
  <c r="B47" i="15"/>
  <c r="Z46" i="15"/>
  <c r="X46" i="15"/>
  <c r="P46" i="15"/>
  <c r="N46" i="15"/>
  <c r="L46" i="15"/>
  <c r="D46" i="15"/>
  <c r="B46" i="15"/>
  <c r="Z45" i="15"/>
  <c r="P45" i="15"/>
  <c r="X45" i="15" s="1"/>
  <c r="N45" i="15"/>
  <c r="L45" i="15"/>
  <c r="D45" i="15"/>
  <c r="B45" i="15"/>
  <c r="Z44" i="15"/>
  <c r="P44" i="15"/>
  <c r="X44" i="15" s="1"/>
  <c r="N44" i="15"/>
  <c r="D44" i="15"/>
  <c r="L44" i="15" s="1"/>
  <c r="B44" i="15"/>
  <c r="Z43" i="15"/>
  <c r="P43" i="15"/>
  <c r="X43" i="15" s="1"/>
  <c r="N43" i="15"/>
  <c r="L43" i="15"/>
  <c r="D43" i="15"/>
  <c r="B43" i="15"/>
  <c r="Z42" i="15"/>
  <c r="X42" i="15"/>
  <c r="P42" i="15"/>
  <c r="N42" i="15"/>
  <c r="D42" i="15"/>
  <c r="L42" i="15" s="1"/>
  <c r="B42" i="15"/>
  <c r="Z41" i="15"/>
  <c r="P41" i="15"/>
  <c r="X41" i="15" s="1"/>
  <c r="N41" i="15"/>
  <c r="D41" i="15"/>
  <c r="L41" i="15" s="1"/>
  <c r="B41" i="15"/>
  <c r="Z40" i="15"/>
  <c r="P40" i="15"/>
  <c r="X40" i="15" s="1"/>
  <c r="N40" i="15"/>
  <c r="D40" i="15"/>
  <c r="L40" i="15" s="1"/>
  <c r="B40" i="15"/>
  <c r="Z39" i="15"/>
  <c r="X39" i="15"/>
  <c r="P39" i="15"/>
  <c r="N39" i="15"/>
  <c r="L39" i="15"/>
  <c r="D39" i="15"/>
  <c r="B39" i="15"/>
  <c r="Z38" i="15"/>
  <c r="X38" i="15"/>
  <c r="P38" i="15"/>
  <c r="N38" i="15"/>
  <c r="D38" i="15"/>
  <c r="L38" i="15" s="1"/>
  <c r="B38" i="15"/>
  <c r="Z37" i="15"/>
  <c r="P37" i="15"/>
  <c r="X37" i="15" s="1"/>
  <c r="N37" i="15"/>
  <c r="D37" i="15"/>
  <c r="L37" i="15" s="1"/>
  <c r="B37" i="15"/>
  <c r="Z36" i="15"/>
  <c r="X36" i="15"/>
  <c r="P36" i="15"/>
  <c r="N36" i="15"/>
  <c r="L36" i="15"/>
  <c r="D36" i="15"/>
  <c r="B36" i="15"/>
  <c r="Z35" i="15"/>
  <c r="P35" i="15"/>
  <c r="X35" i="15" s="1"/>
  <c r="N35" i="15"/>
  <c r="L35" i="15"/>
  <c r="D35" i="15"/>
  <c r="B35" i="15"/>
  <c r="P34" i="15"/>
  <c r="X34" i="15" s="1"/>
  <c r="Z34" i="15" s="1"/>
  <c r="L34" i="15"/>
  <c r="N34" i="15" s="1"/>
  <c r="D34" i="15"/>
  <c r="B34" i="15"/>
  <c r="Z33" i="15"/>
  <c r="P33" i="15"/>
  <c r="X33" i="15" s="1"/>
  <c r="N33" i="15"/>
  <c r="L33" i="15"/>
  <c r="D33" i="15"/>
  <c r="B33" i="15"/>
  <c r="Z32" i="15"/>
  <c r="P32" i="15"/>
  <c r="X32" i="15" s="1"/>
  <c r="N32" i="15"/>
  <c r="D32" i="15"/>
  <c r="L32" i="15" s="1"/>
  <c r="B32" i="15"/>
  <c r="Z31" i="15"/>
  <c r="P31" i="15"/>
  <c r="X31" i="15" s="1"/>
  <c r="N31" i="15"/>
  <c r="D31" i="15"/>
  <c r="L31" i="15" s="1"/>
  <c r="B31" i="15"/>
  <c r="Z30" i="15"/>
  <c r="X30" i="15"/>
  <c r="P30" i="15"/>
  <c r="N30" i="15"/>
  <c r="L30" i="15"/>
  <c r="D30" i="15"/>
  <c r="B30" i="15"/>
  <c r="Z29" i="15"/>
  <c r="P29" i="15"/>
  <c r="X29" i="15" s="1"/>
  <c r="N29" i="15"/>
  <c r="D29" i="15"/>
  <c r="L29" i="15" s="1"/>
  <c r="B29" i="15"/>
  <c r="Z28" i="15"/>
  <c r="P28" i="15"/>
  <c r="X28" i="15" s="1"/>
  <c r="N28" i="15"/>
  <c r="D28" i="15"/>
  <c r="L28" i="15" s="1"/>
  <c r="B28" i="15"/>
  <c r="Z27" i="15"/>
  <c r="X27" i="15"/>
  <c r="P27" i="15"/>
  <c r="N27" i="15"/>
  <c r="L27" i="15"/>
  <c r="D27" i="15"/>
  <c r="B27" i="15"/>
  <c r="Z26" i="15"/>
  <c r="X26" i="15"/>
  <c r="P26" i="15"/>
  <c r="N26" i="15"/>
  <c r="D26" i="15"/>
  <c r="L26" i="15" s="1"/>
  <c r="B26" i="15"/>
  <c r="Z25" i="15"/>
  <c r="X25" i="15"/>
  <c r="P25" i="15"/>
  <c r="N25" i="15"/>
  <c r="D25" i="15"/>
  <c r="L25" i="15" s="1"/>
  <c r="B25" i="15"/>
  <c r="Z24" i="15"/>
  <c r="X24" i="15"/>
  <c r="P24" i="15"/>
  <c r="N24" i="15"/>
  <c r="L24" i="15"/>
  <c r="D24" i="15"/>
  <c r="B24" i="15"/>
  <c r="Z23" i="15"/>
  <c r="P23" i="15"/>
  <c r="X23" i="15" s="1"/>
  <c r="N23" i="15"/>
  <c r="L23" i="15"/>
  <c r="D23" i="15"/>
  <c r="B23" i="15"/>
  <c r="Z22" i="15"/>
  <c r="P22" i="15"/>
  <c r="X22" i="15" s="1"/>
  <c r="N22" i="15"/>
  <c r="D22" i="15"/>
  <c r="L22" i="15" s="1"/>
  <c r="B22" i="15"/>
  <c r="Z21" i="15"/>
  <c r="P21" i="15"/>
  <c r="X21" i="15" s="1"/>
  <c r="N21" i="15"/>
  <c r="L21" i="15"/>
  <c r="D21" i="15"/>
  <c r="B21" i="15"/>
  <c r="Z20" i="15"/>
  <c r="P20" i="15"/>
  <c r="X20" i="15" s="1"/>
  <c r="N20" i="15"/>
  <c r="D20" i="15"/>
  <c r="L20" i="15" s="1"/>
  <c r="B20" i="15"/>
  <c r="Z19" i="15"/>
  <c r="P19" i="15"/>
  <c r="X19" i="15" s="1"/>
  <c r="N19" i="15"/>
  <c r="L19" i="15"/>
  <c r="D19" i="15"/>
  <c r="B19" i="15"/>
  <c r="Z18" i="15"/>
  <c r="X18" i="15"/>
  <c r="P18" i="15"/>
  <c r="N18" i="15"/>
  <c r="L18" i="15"/>
  <c r="D18" i="15"/>
  <c r="B18" i="15"/>
  <c r="Z17" i="15"/>
  <c r="P17" i="15"/>
  <c r="X17" i="15" s="1"/>
  <c r="N17" i="15"/>
  <c r="D17" i="15"/>
  <c r="L17" i="15" s="1"/>
  <c r="B17" i="15"/>
  <c r="Z16" i="15"/>
  <c r="P16" i="15"/>
  <c r="X16" i="15" s="1"/>
  <c r="N16" i="15"/>
  <c r="L16" i="15"/>
  <c r="D16" i="15"/>
  <c r="B16" i="15"/>
  <c r="Z15" i="15"/>
  <c r="X15" i="15"/>
  <c r="P15" i="15"/>
  <c r="N15" i="15"/>
  <c r="L15" i="15"/>
  <c r="D15" i="15"/>
  <c r="B15" i="15"/>
  <c r="Z14" i="15"/>
  <c r="P14" i="15"/>
  <c r="X14" i="15" s="1"/>
  <c r="N14" i="15"/>
  <c r="D14" i="15"/>
  <c r="L14" i="15" s="1"/>
  <c r="B14" i="15"/>
  <c r="X13" i="15"/>
  <c r="Z13" i="15" s="1"/>
  <c r="P13" i="15"/>
  <c r="D13" i="15"/>
  <c r="B13" i="15"/>
  <c r="T12" i="15"/>
  <c r="V185" i="15" s="1"/>
  <c r="H12" i="15"/>
  <c r="J91" i="15" s="1"/>
  <c r="D4" i="15"/>
  <c r="Z223" i="12"/>
  <c r="X223" i="12"/>
  <c r="V223" i="12"/>
  <c r="L223" i="12"/>
  <c r="N223" i="12" s="1"/>
  <c r="Z219" i="12"/>
  <c r="P219" i="12"/>
  <c r="X219" i="12" s="1"/>
  <c r="N219" i="12"/>
  <c r="L219" i="12"/>
  <c r="D219" i="12"/>
  <c r="B219" i="12"/>
  <c r="Z218" i="12"/>
  <c r="P218" i="12"/>
  <c r="X218" i="12" s="1"/>
  <c r="N218" i="12"/>
  <c r="L218" i="12"/>
  <c r="D218" i="12"/>
  <c r="B218" i="12"/>
  <c r="X217" i="12"/>
  <c r="Z217" i="12" s="1"/>
  <c r="P217" i="12"/>
  <c r="N217" i="12"/>
  <c r="L217" i="12"/>
  <c r="J217" i="12"/>
  <c r="D217" i="12"/>
  <c r="B217" i="12"/>
  <c r="Z216" i="12"/>
  <c r="X216" i="12"/>
  <c r="P216" i="12"/>
  <c r="L216" i="12"/>
  <c r="N216" i="12" s="1"/>
  <c r="D216" i="12"/>
  <c r="B216" i="12"/>
  <c r="T215" i="12"/>
  <c r="H215" i="12"/>
  <c r="Z213" i="12"/>
  <c r="X213" i="12"/>
  <c r="N213" i="12"/>
  <c r="L213" i="12"/>
  <c r="B213" i="12"/>
  <c r="T212" i="12"/>
  <c r="Z212" i="12" s="1"/>
  <c r="P212" i="12"/>
  <c r="X212" i="12" s="1"/>
  <c r="H212" i="12"/>
  <c r="N212" i="12" s="1"/>
  <c r="D212" i="12"/>
  <c r="L212" i="12" s="1"/>
  <c r="B212" i="12"/>
  <c r="Z211" i="12"/>
  <c r="X211" i="12"/>
  <c r="L211" i="12"/>
  <c r="N211" i="12" s="1"/>
  <c r="B211" i="12"/>
  <c r="Z210" i="12"/>
  <c r="X210" i="12"/>
  <c r="L210" i="12"/>
  <c r="N210" i="12" s="1"/>
  <c r="B210" i="12"/>
  <c r="Z209" i="12"/>
  <c r="X209" i="12"/>
  <c r="N209" i="12"/>
  <c r="L209" i="12"/>
  <c r="B209" i="12"/>
  <c r="T208" i="12"/>
  <c r="P208" i="12"/>
  <c r="X208" i="12" s="1"/>
  <c r="Z208" i="12" s="1"/>
  <c r="H208" i="12"/>
  <c r="L208" i="12" s="1"/>
  <c r="N208" i="12" s="1"/>
  <c r="D208" i="12"/>
  <c r="B208" i="12"/>
  <c r="Z207" i="12"/>
  <c r="X207" i="12"/>
  <c r="L207" i="12"/>
  <c r="N207" i="12" s="1"/>
  <c r="B207" i="12"/>
  <c r="T206" i="12"/>
  <c r="P206" i="12"/>
  <c r="X206" i="12" s="1"/>
  <c r="L206" i="12"/>
  <c r="H206" i="12"/>
  <c r="D206" i="12"/>
  <c r="B206" i="12"/>
  <c r="Z205" i="12"/>
  <c r="X205" i="12"/>
  <c r="N205" i="12"/>
  <c r="L205" i="12"/>
  <c r="B205" i="12"/>
  <c r="Z204" i="12"/>
  <c r="X204" i="12"/>
  <c r="N204" i="12"/>
  <c r="L204" i="12"/>
  <c r="B204" i="12"/>
  <c r="Z203" i="12"/>
  <c r="X203" i="12"/>
  <c r="T203" i="12"/>
  <c r="P203" i="12"/>
  <c r="N203" i="12"/>
  <c r="H203" i="12"/>
  <c r="L203" i="12" s="1"/>
  <c r="D203" i="12"/>
  <c r="B203" i="12"/>
  <c r="Z202" i="12"/>
  <c r="X202" i="12"/>
  <c r="L202" i="12"/>
  <c r="N202" i="12" s="1"/>
  <c r="J202" i="12"/>
  <c r="B202" i="12"/>
  <c r="Z201" i="12"/>
  <c r="X201" i="12"/>
  <c r="N201" i="12"/>
  <c r="L201" i="12"/>
  <c r="B201" i="12"/>
  <c r="X200" i="12"/>
  <c r="Z200" i="12" s="1"/>
  <c r="L200" i="12"/>
  <c r="N200" i="12" s="1"/>
  <c r="B200" i="12"/>
  <c r="Z199" i="12"/>
  <c r="X199" i="12"/>
  <c r="L199" i="12"/>
  <c r="N199" i="12" s="1"/>
  <c r="B199" i="12"/>
  <c r="Z198" i="12"/>
  <c r="X198" i="12"/>
  <c r="L198" i="12"/>
  <c r="N198" i="12" s="1"/>
  <c r="B198" i="12"/>
  <c r="Z197" i="12"/>
  <c r="X197" i="12"/>
  <c r="N197" i="12"/>
  <c r="L197" i="12"/>
  <c r="B197" i="12"/>
  <c r="Z196" i="12"/>
  <c r="X196" i="12"/>
  <c r="L196" i="12"/>
  <c r="N196" i="12" s="1"/>
  <c r="J196" i="12"/>
  <c r="B196" i="12"/>
  <c r="Z195" i="12"/>
  <c r="X195" i="12"/>
  <c r="N195" i="12"/>
  <c r="L195" i="12"/>
  <c r="B195" i="12"/>
  <c r="X194" i="12"/>
  <c r="Z194" i="12" s="1"/>
  <c r="L194" i="12"/>
  <c r="N194" i="12" s="1"/>
  <c r="B194" i="12"/>
  <c r="T193" i="12"/>
  <c r="P193" i="12"/>
  <c r="H193" i="12"/>
  <c r="D193" i="12"/>
  <c r="B193" i="12"/>
  <c r="X192" i="12"/>
  <c r="Z192" i="12" s="1"/>
  <c r="L192" i="12"/>
  <c r="N192" i="12" s="1"/>
  <c r="B192" i="12"/>
  <c r="X191" i="12"/>
  <c r="Z191" i="12" s="1"/>
  <c r="L191" i="12"/>
  <c r="N191" i="12" s="1"/>
  <c r="B191" i="12"/>
  <c r="T190" i="12"/>
  <c r="P190" i="12"/>
  <c r="X190" i="12" s="1"/>
  <c r="H190" i="12"/>
  <c r="D190" i="12"/>
  <c r="L190" i="12" s="1"/>
  <c r="B190" i="12"/>
  <c r="X189" i="12"/>
  <c r="Z189" i="12" s="1"/>
  <c r="N189" i="12"/>
  <c r="L189" i="12"/>
  <c r="B189" i="12"/>
  <c r="X188" i="12"/>
  <c r="Z188" i="12" s="1"/>
  <c r="L188" i="12"/>
  <c r="N188" i="12" s="1"/>
  <c r="B188" i="12"/>
  <c r="X187" i="12"/>
  <c r="Z187" i="12" s="1"/>
  <c r="N187" i="12"/>
  <c r="L187" i="12"/>
  <c r="B187" i="12"/>
  <c r="Z186" i="12"/>
  <c r="X186" i="12"/>
  <c r="N186" i="12"/>
  <c r="L186" i="12"/>
  <c r="B186" i="12"/>
  <c r="Z185" i="12"/>
  <c r="X185" i="12"/>
  <c r="N185" i="12"/>
  <c r="L185" i="12"/>
  <c r="J185" i="12"/>
  <c r="B185" i="12"/>
  <c r="T184" i="12"/>
  <c r="P184" i="12"/>
  <c r="X184" i="12" s="1"/>
  <c r="Z184" i="12" s="1"/>
  <c r="H184" i="12"/>
  <c r="D184" i="12"/>
  <c r="L184" i="12" s="1"/>
  <c r="B184" i="12"/>
  <c r="Z183" i="12"/>
  <c r="X183" i="12"/>
  <c r="N183" i="12"/>
  <c r="L183" i="12"/>
  <c r="B183" i="12"/>
  <c r="Z182" i="12"/>
  <c r="X182" i="12"/>
  <c r="V182" i="12"/>
  <c r="L182" i="12"/>
  <c r="N182" i="12" s="1"/>
  <c r="B182" i="12"/>
  <c r="Z181" i="12"/>
  <c r="X181" i="12"/>
  <c r="N181" i="12"/>
  <c r="L181" i="12"/>
  <c r="J181" i="12"/>
  <c r="B181" i="12"/>
  <c r="X180" i="12"/>
  <c r="Z180" i="12" s="1"/>
  <c r="L180" i="12"/>
  <c r="N180" i="12" s="1"/>
  <c r="B180" i="12"/>
  <c r="T179" i="12"/>
  <c r="P179" i="12"/>
  <c r="N179" i="12"/>
  <c r="H179" i="12"/>
  <c r="D179" i="12"/>
  <c r="L179" i="12" s="1"/>
  <c r="B179" i="12"/>
  <c r="X178" i="12"/>
  <c r="Z178" i="12" s="1"/>
  <c r="N178" i="12"/>
  <c r="L178" i="12"/>
  <c r="B178" i="12"/>
  <c r="Z177" i="12"/>
  <c r="X177" i="12"/>
  <c r="N177" i="12"/>
  <c r="L177" i="12"/>
  <c r="J177" i="12"/>
  <c r="B177" i="12"/>
  <c r="Z176" i="12"/>
  <c r="X176" i="12"/>
  <c r="N176" i="12"/>
  <c r="L176" i="12"/>
  <c r="B176" i="12"/>
  <c r="Z175" i="12"/>
  <c r="X175" i="12"/>
  <c r="N175" i="12"/>
  <c r="L175" i="12"/>
  <c r="B175" i="12"/>
  <c r="T174" i="12"/>
  <c r="P174" i="12"/>
  <c r="H174" i="12"/>
  <c r="N174" i="12" s="1"/>
  <c r="D174" i="12"/>
  <c r="L174" i="12" s="1"/>
  <c r="B174" i="12"/>
  <c r="Z173" i="12"/>
  <c r="X173" i="12"/>
  <c r="V173" i="12"/>
  <c r="L173" i="12"/>
  <c r="N173" i="12" s="1"/>
  <c r="B173" i="12"/>
  <c r="T172" i="12"/>
  <c r="P172" i="12"/>
  <c r="X172" i="12" s="1"/>
  <c r="Z172" i="12" s="1"/>
  <c r="H172" i="12"/>
  <c r="D172" i="12"/>
  <c r="L172" i="12" s="1"/>
  <c r="N172" i="12" s="1"/>
  <c r="B172" i="12"/>
  <c r="X171" i="12"/>
  <c r="Z171" i="12" s="1"/>
  <c r="N171" i="12"/>
  <c r="L171" i="12"/>
  <c r="B171" i="12"/>
  <c r="X170" i="12"/>
  <c r="Z170" i="12" s="1"/>
  <c r="T170" i="12"/>
  <c r="P170" i="12"/>
  <c r="L170" i="12"/>
  <c r="H170" i="12"/>
  <c r="N170" i="12" s="1"/>
  <c r="D170" i="12"/>
  <c r="B170" i="12"/>
  <c r="Z169" i="12"/>
  <c r="X169" i="12"/>
  <c r="N169" i="12"/>
  <c r="L169" i="12"/>
  <c r="J169" i="12"/>
  <c r="B169" i="12"/>
  <c r="T168" i="12"/>
  <c r="P168" i="12"/>
  <c r="X168" i="12" s="1"/>
  <c r="H168" i="12"/>
  <c r="D168" i="12"/>
  <c r="B168" i="12"/>
  <c r="X167" i="12"/>
  <c r="Z167" i="12" s="1"/>
  <c r="L167" i="12"/>
  <c r="N167" i="12" s="1"/>
  <c r="B167" i="12"/>
  <c r="T166" i="12"/>
  <c r="P166" i="12"/>
  <c r="X166" i="12" s="1"/>
  <c r="Z166" i="12" s="1"/>
  <c r="H166" i="12"/>
  <c r="D166" i="12"/>
  <c r="L166" i="12" s="1"/>
  <c r="N166" i="12" s="1"/>
  <c r="B166" i="12"/>
  <c r="X165" i="12"/>
  <c r="Z165" i="12" s="1"/>
  <c r="N165" i="12"/>
  <c r="L165" i="12"/>
  <c r="B165" i="12"/>
  <c r="X164" i="12"/>
  <c r="T164" i="12"/>
  <c r="Z164" i="12" s="1"/>
  <c r="P164" i="12"/>
  <c r="L164" i="12"/>
  <c r="N164" i="12" s="1"/>
  <c r="H164" i="12"/>
  <c r="D164" i="12"/>
  <c r="B164" i="12"/>
  <c r="Z163" i="12"/>
  <c r="X163" i="12"/>
  <c r="L163" i="12"/>
  <c r="N163" i="12" s="1"/>
  <c r="B163" i="12"/>
  <c r="X162" i="12"/>
  <c r="Z162" i="12" s="1"/>
  <c r="N162" i="12"/>
  <c r="L162" i="12"/>
  <c r="B162" i="12"/>
  <c r="Z161" i="12"/>
  <c r="X161" i="12"/>
  <c r="N161" i="12"/>
  <c r="L161" i="12"/>
  <c r="J161" i="12"/>
  <c r="B161" i="12"/>
  <c r="T160" i="12"/>
  <c r="Z160" i="12" s="1"/>
  <c r="P160" i="12"/>
  <c r="X160" i="12" s="1"/>
  <c r="H160" i="12"/>
  <c r="D160" i="12"/>
  <c r="B160" i="12"/>
  <c r="X159" i="12"/>
  <c r="Z159" i="12" s="1"/>
  <c r="L159" i="12"/>
  <c r="N159" i="12" s="1"/>
  <c r="B159" i="12"/>
  <c r="Z158" i="12"/>
  <c r="X158" i="12"/>
  <c r="L158" i="12"/>
  <c r="N158" i="12" s="1"/>
  <c r="B158" i="12"/>
  <c r="V157" i="12"/>
  <c r="T157" i="12"/>
  <c r="P157" i="12"/>
  <c r="X157" i="12" s="1"/>
  <c r="Z157" i="12" s="1"/>
  <c r="H157" i="12"/>
  <c r="D157" i="12"/>
  <c r="B157" i="12"/>
  <c r="X156" i="12"/>
  <c r="Z156" i="12" s="1"/>
  <c r="N156" i="12"/>
  <c r="L156" i="12"/>
  <c r="B156" i="12"/>
  <c r="T155" i="12"/>
  <c r="Z155" i="12" s="1"/>
  <c r="P155" i="12"/>
  <c r="X155" i="12" s="1"/>
  <c r="H155" i="12"/>
  <c r="D155" i="12"/>
  <c r="L155" i="12" s="1"/>
  <c r="B155" i="12"/>
  <c r="X154" i="12"/>
  <c r="Z154" i="12" s="1"/>
  <c r="N154" i="12"/>
  <c r="L154" i="12"/>
  <c r="B154" i="12"/>
  <c r="Z153" i="12"/>
  <c r="X153" i="12"/>
  <c r="T153" i="12"/>
  <c r="P153" i="12"/>
  <c r="H153" i="12"/>
  <c r="D153" i="12"/>
  <c r="L153" i="12" s="1"/>
  <c r="N153" i="12" s="1"/>
  <c r="B153" i="12"/>
  <c r="Z152" i="12"/>
  <c r="X152" i="12"/>
  <c r="L152" i="12"/>
  <c r="N152" i="12" s="1"/>
  <c r="B152" i="12"/>
  <c r="Z151" i="12"/>
  <c r="X151" i="12"/>
  <c r="N151" i="12"/>
  <c r="L151" i="12"/>
  <c r="B151" i="12"/>
  <c r="T150" i="12"/>
  <c r="P150" i="12"/>
  <c r="X150" i="12" s="1"/>
  <c r="Z150" i="12" s="1"/>
  <c r="H150" i="12"/>
  <c r="D150" i="12"/>
  <c r="L150" i="12" s="1"/>
  <c r="N150" i="12" s="1"/>
  <c r="B150" i="12"/>
  <c r="Z149" i="12"/>
  <c r="X149" i="12"/>
  <c r="N149" i="12"/>
  <c r="L149" i="12"/>
  <c r="B149" i="12"/>
  <c r="X148" i="12"/>
  <c r="Z148" i="12" s="1"/>
  <c r="N148" i="12"/>
  <c r="L148" i="12"/>
  <c r="B148" i="12"/>
  <c r="T147" i="12"/>
  <c r="Z147" i="12" s="1"/>
  <c r="P147" i="12"/>
  <c r="X147" i="12" s="1"/>
  <c r="H147" i="12"/>
  <c r="D147" i="12"/>
  <c r="L147" i="12" s="1"/>
  <c r="B147" i="12"/>
  <c r="X146" i="12"/>
  <c r="Z146" i="12" s="1"/>
  <c r="N146" i="12"/>
  <c r="L146" i="12"/>
  <c r="B146" i="12"/>
  <c r="Z145" i="12"/>
  <c r="X145" i="12"/>
  <c r="N145" i="12"/>
  <c r="L145" i="12"/>
  <c r="J145" i="12"/>
  <c r="B145" i="12"/>
  <c r="T144" i="12"/>
  <c r="P144" i="12"/>
  <c r="X144" i="12" s="1"/>
  <c r="H144" i="12"/>
  <c r="D144" i="12"/>
  <c r="B144" i="12"/>
  <c r="X143" i="12"/>
  <c r="Z143" i="12" s="1"/>
  <c r="L143" i="12"/>
  <c r="N143" i="12" s="1"/>
  <c r="B143" i="12"/>
  <c r="T142" i="12"/>
  <c r="P142" i="12"/>
  <c r="X142" i="12" s="1"/>
  <c r="Z142" i="12" s="1"/>
  <c r="H142" i="12"/>
  <c r="D142" i="12"/>
  <c r="L142" i="12" s="1"/>
  <c r="N142" i="12" s="1"/>
  <c r="B142" i="12"/>
  <c r="X141" i="12"/>
  <c r="Z141" i="12" s="1"/>
  <c r="L141" i="12"/>
  <c r="N141" i="12" s="1"/>
  <c r="B141" i="12"/>
  <c r="X140" i="12"/>
  <c r="Z140" i="12" s="1"/>
  <c r="N140" i="12"/>
  <c r="L140" i="12"/>
  <c r="B140" i="12"/>
  <c r="T139" i="12"/>
  <c r="Z139" i="12" s="1"/>
  <c r="P139" i="12"/>
  <c r="X139" i="12" s="1"/>
  <c r="H139" i="12"/>
  <c r="N139" i="12" s="1"/>
  <c r="D139" i="12"/>
  <c r="L139" i="12" s="1"/>
  <c r="B139" i="12"/>
  <c r="X138" i="12"/>
  <c r="Z138" i="12" s="1"/>
  <c r="N138" i="12"/>
  <c r="L138" i="12"/>
  <c r="B138" i="12"/>
  <c r="X137" i="12"/>
  <c r="Z137" i="12" s="1"/>
  <c r="T137" i="12"/>
  <c r="P137" i="12"/>
  <c r="N137" i="12"/>
  <c r="H137" i="12"/>
  <c r="D137" i="12"/>
  <c r="L137" i="12" s="1"/>
  <c r="B137" i="12"/>
  <c r="Z136" i="12"/>
  <c r="X136" i="12"/>
  <c r="N136" i="12"/>
  <c r="L136" i="12"/>
  <c r="B136" i="12"/>
  <c r="Z135" i="12"/>
  <c r="X135" i="12"/>
  <c r="N135" i="12"/>
  <c r="L135" i="12"/>
  <c r="B135" i="12"/>
  <c r="Z134" i="12"/>
  <c r="X134" i="12"/>
  <c r="L134" i="12"/>
  <c r="N134" i="12" s="1"/>
  <c r="J134" i="12"/>
  <c r="B134" i="12"/>
  <c r="Z133" i="12"/>
  <c r="X133" i="12"/>
  <c r="V133" i="12"/>
  <c r="N133" i="12"/>
  <c r="L133" i="12"/>
  <c r="B133" i="12"/>
  <c r="Z132" i="12"/>
  <c r="X132" i="12"/>
  <c r="N132" i="12"/>
  <c r="L132" i="12"/>
  <c r="B132" i="12"/>
  <c r="X131" i="12"/>
  <c r="Z131" i="12" s="1"/>
  <c r="L131" i="12"/>
  <c r="N131" i="12" s="1"/>
  <c r="B131" i="12"/>
  <c r="X130" i="12"/>
  <c r="Z130" i="12" s="1"/>
  <c r="L130" i="12"/>
  <c r="N130" i="12" s="1"/>
  <c r="J130" i="12"/>
  <c r="B130" i="12"/>
  <c r="Z129" i="12"/>
  <c r="X129" i="12"/>
  <c r="V129" i="12"/>
  <c r="N129" i="12"/>
  <c r="L129" i="12"/>
  <c r="B129" i="12"/>
  <c r="Z128" i="12"/>
  <c r="X128" i="12"/>
  <c r="L128" i="12"/>
  <c r="N128" i="12" s="1"/>
  <c r="B128" i="12"/>
  <c r="X127" i="12"/>
  <c r="Z127" i="12" s="1"/>
  <c r="L127" i="12"/>
  <c r="N127" i="12" s="1"/>
  <c r="B127" i="12"/>
  <c r="T126" i="12"/>
  <c r="P126" i="12"/>
  <c r="X126" i="12" s="1"/>
  <c r="Z126" i="12" s="1"/>
  <c r="H126" i="12"/>
  <c r="D126" i="12"/>
  <c r="L126" i="12" s="1"/>
  <c r="N126" i="12" s="1"/>
  <c r="B126" i="12"/>
  <c r="X125" i="12"/>
  <c r="Z125" i="12" s="1"/>
  <c r="L125" i="12"/>
  <c r="N125" i="12" s="1"/>
  <c r="B125" i="12"/>
  <c r="X124" i="12"/>
  <c r="Z124" i="12" s="1"/>
  <c r="N124" i="12"/>
  <c r="L124" i="12"/>
  <c r="B124" i="12"/>
  <c r="X123" i="12"/>
  <c r="Z123" i="12" s="1"/>
  <c r="N123" i="12"/>
  <c r="L123" i="12"/>
  <c r="B123" i="12"/>
  <c r="Z122" i="12"/>
  <c r="X122" i="12"/>
  <c r="N122" i="12"/>
  <c r="L122" i="12"/>
  <c r="B122" i="12"/>
  <c r="Z121" i="12"/>
  <c r="X121" i="12"/>
  <c r="N121" i="12"/>
  <c r="L121" i="12"/>
  <c r="B121" i="12"/>
  <c r="X120" i="12"/>
  <c r="Z120" i="12" s="1"/>
  <c r="N120" i="12"/>
  <c r="L120" i="12"/>
  <c r="B120" i="12"/>
  <c r="X119" i="12"/>
  <c r="Z119" i="12" s="1"/>
  <c r="N119" i="12"/>
  <c r="L119" i="12"/>
  <c r="B119" i="12"/>
  <c r="X118" i="12"/>
  <c r="Z118" i="12" s="1"/>
  <c r="L118" i="12"/>
  <c r="N118" i="12" s="1"/>
  <c r="B118" i="12"/>
  <c r="X117" i="12"/>
  <c r="Z117" i="12" s="1"/>
  <c r="L117" i="12"/>
  <c r="N117" i="12" s="1"/>
  <c r="B117" i="12"/>
  <c r="X116" i="12"/>
  <c r="Z116" i="12" s="1"/>
  <c r="N116" i="12"/>
  <c r="L116" i="12"/>
  <c r="B116" i="12"/>
  <c r="T115" i="12"/>
  <c r="Z115" i="12" s="1"/>
  <c r="P115" i="12"/>
  <c r="X115" i="12" s="1"/>
  <c r="H115" i="12"/>
  <c r="N115" i="12" s="1"/>
  <c r="D115" i="12"/>
  <c r="L115" i="12" s="1"/>
  <c r="B115" i="12"/>
  <c r="T114" i="12"/>
  <c r="P114" i="12"/>
  <c r="H114" i="12"/>
  <c r="D114" i="12"/>
  <c r="L114" i="12" s="1"/>
  <c r="T112" i="12"/>
  <c r="H112" i="12"/>
  <c r="Z110" i="12"/>
  <c r="X110" i="12"/>
  <c r="N110" i="12"/>
  <c r="L110" i="12"/>
  <c r="J110" i="12"/>
  <c r="B110" i="12"/>
  <c r="Z109" i="12"/>
  <c r="X109" i="12"/>
  <c r="N109" i="12"/>
  <c r="L109" i="12"/>
  <c r="J109" i="12"/>
  <c r="B109" i="12"/>
  <c r="Z108" i="12"/>
  <c r="X108" i="12"/>
  <c r="N108" i="12"/>
  <c r="L108" i="12"/>
  <c r="B108" i="12"/>
  <c r="Z107" i="12"/>
  <c r="X107" i="12"/>
  <c r="N107" i="12"/>
  <c r="L107" i="12"/>
  <c r="J107" i="12"/>
  <c r="B107" i="12"/>
  <c r="Z106" i="12"/>
  <c r="X106" i="12"/>
  <c r="N106" i="12"/>
  <c r="L106" i="12"/>
  <c r="J106" i="12"/>
  <c r="B106" i="12"/>
  <c r="Z105" i="12"/>
  <c r="X105" i="12"/>
  <c r="N105" i="12"/>
  <c r="L105" i="12"/>
  <c r="J105" i="12"/>
  <c r="B105" i="12"/>
  <c r="Z104" i="12"/>
  <c r="X104" i="12"/>
  <c r="N104" i="12"/>
  <c r="L104" i="12"/>
  <c r="B104" i="12"/>
  <c r="Z103" i="12"/>
  <c r="X103" i="12"/>
  <c r="N103" i="12"/>
  <c r="L103" i="12"/>
  <c r="J103" i="12"/>
  <c r="B103" i="12"/>
  <c r="Z102" i="12"/>
  <c r="X102" i="12"/>
  <c r="N102" i="12"/>
  <c r="L102" i="12"/>
  <c r="J102" i="12"/>
  <c r="B102" i="12"/>
  <c r="Z101" i="12"/>
  <c r="X101" i="12"/>
  <c r="N101" i="12"/>
  <c r="L101" i="12"/>
  <c r="J101" i="12"/>
  <c r="B101" i="12"/>
  <c r="Z100" i="12"/>
  <c r="X100" i="12"/>
  <c r="N100" i="12"/>
  <c r="L100" i="12"/>
  <c r="B100" i="12"/>
  <c r="Z99" i="12"/>
  <c r="X99" i="12"/>
  <c r="N99" i="12"/>
  <c r="L99" i="12"/>
  <c r="J99" i="12"/>
  <c r="B99" i="12"/>
  <c r="Z98" i="12"/>
  <c r="X98" i="12"/>
  <c r="N98" i="12"/>
  <c r="L98" i="12"/>
  <c r="J98" i="12"/>
  <c r="B98" i="12"/>
  <c r="Z97" i="12"/>
  <c r="X97" i="12"/>
  <c r="N97" i="12"/>
  <c r="L97" i="12"/>
  <c r="J97" i="12"/>
  <c r="B97" i="12"/>
  <c r="Z96" i="12"/>
  <c r="X96" i="12"/>
  <c r="N96" i="12"/>
  <c r="L96" i="12"/>
  <c r="B96" i="12"/>
  <c r="Z95" i="12"/>
  <c r="X95" i="12"/>
  <c r="N95" i="12"/>
  <c r="L95" i="12"/>
  <c r="J95" i="12"/>
  <c r="B95" i="12"/>
  <c r="Z94" i="12"/>
  <c r="X94" i="12"/>
  <c r="N94" i="12"/>
  <c r="L94" i="12"/>
  <c r="J94" i="12"/>
  <c r="B94" i="12"/>
  <c r="Z93" i="12"/>
  <c r="X93" i="12"/>
  <c r="N93" i="12"/>
  <c r="L93" i="12"/>
  <c r="J93" i="12"/>
  <c r="B93" i="12"/>
  <c r="Z92" i="12"/>
  <c r="X92" i="12"/>
  <c r="N92" i="12"/>
  <c r="L92" i="12"/>
  <c r="B92" i="12"/>
  <c r="Z91" i="12"/>
  <c r="X91" i="12"/>
  <c r="N91" i="12"/>
  <c r="L91" i="12"/>
  <c r="J91" i="12"/>
  <c r="B91" i="12"/>
  <c r="Z90" i="12"/>
  <c r="X90" i="12"/>
  <c r="N90" i="12"/>
  <c r="L90" i="12"/>
  <c r="J90" i="12"/>
  <c r="B90" i="12"/>
  <c r="Z89" i="12"/>
  <c r="X89" i="12"/>
  <c r="N89" i="12"/>
  <c r="L89" i="12"/>
  <c r="J89" i="12"/>
  <c r="B89" i="12"/>
  <c r="Z88" i="12"/>
  <c r="X88" i="12"/>
  <c r="N88" i="12"/>
  <c r="L88" i="12"/>
  <c r="B88" i="12"/>
  <c r="Z87" i="12"/>
  <c r="X87" i="12"/>
  <c r="N87" i="12"/>
  <c r="L87" i="12"/>
  <c r="J87" i="12"/>
  <c r="B87" i="12"/>
  <c r="Z86" i="12"/>
  <c r="X86" i="12"/>
  <c r="N86" i="12"/>
  <c r="L86" i="12"/>
  <c r="J86" i="12"/>
  <c r="B86" i="12"/>
  <c r="Z85" i="12"/>
  <c r="X85" i="12"/>
  <c r="N85" i="12"/>
  <c r="L85" i="12"/>
  <c r="J85" i="12"/>
  <c r="B85" i="12"/>
  <c r="Z84" i="12"/>
  <c r="X84" i="12"/>
  <c r="N84" i="12"/>
  <c r="L84" i="12"/>
  <c r="B84" i="12"/>
  <c r="Z83" i="12"/>
  <c r="X83" i="12"/>
  <c r="N83" i="12"/>
  <c r="L83" i="12"/>
  <c r="J83" i="12"/>
  <c r="B83" i="12"/>
  <c r="Z82" i="12"/>
  <c r="X82" i="12"/>
  <c r="N82" i="12"/>
  <c r="L82" i="12"/>
  <c r="J82" i="12"/>
  <c r="B82" i="12"/>
  <c r="Z81" i="12"/>
  <c r="X81" i="12"/>
  <c r="N81" i="12"/>
  <c r="L81" i="12"/>
  <c r="J81" i="12"/>
  <c r="B81" i="12"/>
  <c r="Z80" i="12"/>
  <c r="X80" i="12"/>
  <c r="N80" i="12"/>
  <c r="L80" i="12"/>
  <c r="B80" i="12"/>
  <c r="Z79" i="12"/>
  <c r="X79" i="12"/>
  <c r="N79" i="12"/>
  <c r="L79" i="12"/>
  <c r="J79" i="12"/>
  <c r="B79" i="12"/>
  <c r="X78" i="12"/>
  <c r="Z78" i="12" s="1"/>
  <c r="L78" i="12"/>
  <c r="N78" i="12" s="1"/>
  <c r="J78" i="12"/>
  <c r="B78" i="12"/>
  <c r="Z77" i="12"/>
  <c r="X77" i="12"/>
  <c r="T77" i="12"/>
  <c r="P77" i="12"/>
  <c r="N77" i="12"/>
  <c r="H77" i="12"/>
  <c r="J77" i="12" s="1"/>
  <c r="D77" i="12"/>
  <c r="L77" i="12" s="1"/>
  <c r="Z75" i="12"/>
  <c r="X75" i="12"/>
  <c r="P75" i="12"/>
  <c r="N75" i="12"/>
  <c r="L75" i="12"/>
  <c r="D75" i="12"/>
  <c r="B75" i="12"/>
  <c r="Z74" i="12"/>
  <c r="P74" i="12"/>
  <c r="X74" i="12" s="1"/>
  <c r="N74" i="12"/>
  <c r="D74" i="12"/>
  <c r="L74" i="12" s="1"/>
  <c r="B74" i="12"/>
  <c r="Z73" i="12"/>
  <c r="P73" i="12"/>
  <c r="X73" i="12" s="1"/>
  <c r="N73" i="12"/>
  <c r="L73" i="12"/>
  <c r="D73" i="12"/>
  <c r="B73" i="12"/>
  <c r="Z72" i="12"/>
  <c r="P72" i="12"/>
  <c r="X72" i="12" s="1"/>
  <c r="N72" i="12"/>
  <c r="L72" i="12"/>
  <c r="D72" i="12"/>
  <c r="B72" i="12"/>
  <c r="Z71" i="12"/>
  <c r="P71" i="12"/>
  <c r="X71" i="12" s="1"/>
  <c r="N71" i="12"/>
  <c r="D71" i="12"/>
  <c r="L71" i="12" s="1"/>
  <c r="B71" i="12"/>
  <c r="Z70" i="12"/>
  <c r="P70" i="12"/>
  <c r="X70" i="12" s="1"/>
  <c r="N70" i="12"/>
  <c r="D70" i="12"/>
  <c r="L70" i="12" s="1"/>
  <c r="B70" i="12"/>
  <c r="Z69" i="12"/>
  <c r="P69" i="12"/>
  <c r="X69" i="12" s="1"/>
  <c r="N69" i="12"/>
  <c r="D69" i="12"/>
  <c r="L69" i="12" s="1"/>
  <c r="B69" i="12"/>
  <c r="Z68" i="12"/>
  <c r="X68" i="12"/>
  <c r="P68" i="12"/>
  <c r="N68" i="12"/>
  <c r="D68" i="12"/>
  <c r="L68" i="12" s="1"/>
  <c r="B68" i="12"/>
  <c r="Z67" i="12"/>
  <c r="X67" i="12"/>
  <c r="P67" i="12"/>
  <c r="N67" i="12"/>
  <c r="D67" i="12"/>
  <c r="L67" i="12" s="1"/>
  <c r="B67" i="12"/>
  <c r="Z66" i="12"/>
  <c r="X66" i="12"/>
  <c r="P66" i="12"/>
  <c r="N66" i="12"/>
  <c r="D66" i="12"/>
  <c r="L66" i="12" s="1"/>
  <c r="B66" i="12"/>
  <c r="Z65" i="12"/>
  <c r="P65" i="12"/>
  <c r="X65" i="12" s="1"/>
  <c r="N65" i="12"/>
  <c r="L65" i="12"/>
  <c r="D65" i="12"/>
  <c r="B65" i="12"/>
  <c r="Z64" i="12"/>
  <c r="X64" i="12"/>
  <c r="P64" i="12"/>
  <c r="N64" i="12"/>
  <c r="L64" i="12"/>
  <c r="D64" i="12"/>
  <c r="B64" i="12"/>
  <c r="Z63" i="12"/>
  <c r="X63" i="12"/>
  <c r="P63" i="12"/>
  <c r="N63" i="12"/>
  <c r="L63" i="12"/>
  <c r="D63" i="12"/>
  <c r="B63" i="12"/>
  <c r="Z62" i="12"/>
  <c r="P62" i="12"/>
  <c r="X62" i="12" s="1"/>
  <c r="N62" i="12"/>
  <c r="D62" i="12"/>
  <c r="L62" i="12" s="1"/>
  <c r="B62" i="12"/>
  <c r="Z61" i="12"/>
  <c r="P61" i="12"/>
  <c r="X61" i="12" s="1"/>
  <c r="N61" i="12"/>
  <c r="L61" i="12"/>
  <c r="D61" i="12"/>
  <c r="B61" i="12"/>
  <c r="Z60" i="12"/>
  <c r="P60" i="12"/>
  <c r="X60" i="12" s="1"/>
  <c r="N60" i="12"/>
  <c r="L60" i="12"/>
  <c r="D60" i="12"/>
  <c r="B60" i="12"/>
  <c r="Z59" i="12"/>
  <c r="P59" i="12"/>
  <c r="X59" i="12" s="1"/>
  <c r="N59" i="12"/>
  <c r="D59" i="12"/>
  <c r="L59" i="12" s="1"/>
  <c r="B59" i="12"/>
  <c r="Z58" i="12"/>
  <c r="P58" i="12"/>
  <c r="X58" i="12" s="1"/>
  <c r="N58" i="12"/>
  <c r="D58" i="12"/>
  <c r="L58" i="12" s="1"/>
  <c r="B58" i="12"/>
  <c r="Z57" i="12"/>
  <c r="P57" i="12"/>
  <c r="X57" i="12" s="1"/>
  <c r="N57" i="12"/>
  <c r="D57" i="12"/>
  <c r="L57" i="12" s="1"/>
  <c r="B57" i="12"/>
  <c r="Z56" i="12"/>
  <c r="X56" i="12"/>
  <c r="P56" i="12"/>
  <c r="N56" i="12"/>
  <c r="D56" i="12"/>
  <c r="L56" i="12" s="1"/>
  <c r="B56" i="12"/>
  <c r="Z55" i="12"/>
  <c r="X55" i="12"/>
  <c r="P55" i="12"/>
  <c r="N55" i="12"/>
  <c r="D55" i="12"/>
  <c r="L55" i="12" s="1"/>
  <c r="B55" i="12"/>
  <c r="Z54" i="12"/>
  <c r="X54" i="12"/>
  <c r="P54" i="12"/>
  <c r="N54" i="12"/>
  <c r="L54" i="12"/>
  <c r="D54" i="12"/>
  <c r="B54" i="12"/>
  <c r="Z53" i="12"/>
  <c r="P53" i="12"/>
  <c r="X53" i="12" s="1"/>
  <c r="N53" i="12"/>
  <c r="L53" i="12"/>
  <c r="D53" i="12"/>
  <c r="B53" i="12"/>
  <c r="Z52" i="12"/>
  <c r="X52" i="12"/>
  <c r="P52" i="12"/>
  <c r="N52" i="12"/>
  <c r="L52" i="12"/>
  <c r="D52" i="12"/>
  <c r="B52" i="12"/>
  <c r="Z51" i="12"/>
  <c r="X51" i="12"/>
  <c r="P51" i="12"/>
  <c r="N51" i="12"/>
  <c r="L51" i="12"/>
  <c r="D51" i="12"/>
  <c r="B51" i="12"/>
  <c r="Z50" i="12"/>
  <c r="P50" i="12"/>
  <c r="X50" i="12" s="1"/>
  <c r="N50" i="12"/>
  <c r="D50" i="12"/>
  <c r="L50" i="12" s="1"/>
  <c r="B50" i="12"/>
  <c r="Z49" i="12"/>
  <c r="P49" i="12"/>
  <c r="X49" i="12" s="1"/>
  <c r="N49" i="12"/>
  <c r="L49" i="12"/>
  <c r="D49" i="12"/>
  <c r="B49" i="12"/>
  <c r="Z48" i="12"/>
  <c r="P48" i="12"/>
  <c r="X48" i="12" s="1"/>
  <c r="N48" i="12"/>
  <c r="L48" i="12"/>
  <c r="D48" i="12"/>
  <c r="B48" i="12"/>
  <c r="Z47" i="12"/>
  <c r="P47" i="12"/>
  <c r="X47" i="12" s="1"/>
  <c r="N47" i="12"/>
  <c r="D47" i="12"/>
  <c r="L47" i="12" s="1"/>
  <c r="B47" i="12"/>
  <c r="Z46" i="12"/>
  <c r="P46" i="12"/>
  <c r="X46" i="12" s="1"/>
  <c r="N46" i="12"/>
  <c r="D46" i="12"/>
  <c r="L46" i="12" s="1"/>
  <c r="B46" i="12"/>
  <c r="Z45" i="12"/>
  <c r="P45" i="12"/>
  <c r="X45" i="12" s="1"/>
  <c r="N45" i="12"/>
  <c r="D45" i="12"/>
  <c r="L45" i="12" s="1"/>
  <c r="B45" i="12"/>
  <c r="Z44" i="12"/>
  <c r="X44" i="12"/>
  <c r="P44" i="12"/>
  <c r="N44" i="12"/>
  <c r="D44" i="12"/>
  <c r="L44" i="12" s="1"/>
  <c r="B44" i="12"/>
  <c r="Z43" i="12"/>
  <c r="X43" i="12"/>
  <c r="P43" i="12"/>
  <c r="N43" i="12"/>
  <c r="D43" i="12"/>
  <c r="L43" i="12" s="1"/>
  <c r="B43" i="12"/>
  <c r="Z42" i="12"/>
  <c r="X42" i="12"/>
  <c r="P42" i="12"/>
  <c r="N42" i="12"/>
  <c r="D42" i="12"/>
  <c r="L42" i="12" s="1"/>
  <c r="B42" i="12"/>
  <c r="Z41" i="12"/>
  <c r="P41" i="12"/>
  <c r="X41" i="12" s="1"/>
  <c r="N41" i="12"/>
  <c r="L41" i="12"/>
  <c r="D41" i="12"/>
  <c r="B41" i="12"/>
  <c r="Z40" i="12"/>
  <c r="X40" i="12"/>
  <c r="P40" i="12"/>
  <c r="N40" i="12"/>
  <c r="L40" i="12"/>
  <c r="D40" i="12"/>
  <c r="B40" i="12"/>
  <c r="Z39" i="12"/>
  <c r="X39" i="12"/>
  <c r="P39" i="12"/>
  <c r="N39" i="12"/>
  <c r="L39" i="12"/>
  <c r="D39" i="12"/>
  <c r="B39" i="12"/>
  <c r="Z38" i="12"/>
  <c r="P38" i="12"/>
  <c r="X38" i="12" s="1"/>
  <c r="N38" i="12"/>
  <c r="D38" i="12"/>
  <c r="L38" i="12" s="1"/>
  <c r="B38" i="12"/>
  <c r="Z37" i="12"/>
  <c r="P37" i="12"/>
  <c r="X37" i="12" s="1"/>
  <c r="N37" i="12"/>
  <c r="L37" i="12"/>
  <c r="D37" i="12"/>
  <c r="B37" i="12"/>
  <c r="Z36" i="12"/>
  <c r="P36" i="12"/>
  <c r="X36" i="12" s="1"/>
  <c r="N36" i="12"/>
  <c r="L36" i="12"/>
  <c r="D36" i="12"/>
  <c r="B36" i="12"/>
  <c r="P35" i="12"/>
  <c r="X35" i="12" s="1"/>
  <c r="Z35" i="12" s="1"/>
  <c r="D35" i="12"/>
  <c r="L35" i="12" s="1"/>
  <c r="N35" i="12" s="1"/>
  <c r="B35" i="12"/>
  <c r="Z34" i="12"/>
  <c r="P34" i="12"/>
  <c r="X34" i="12" s="1"/>
  <c r="N34" i="12"/>
  <c r="D34" i="12"/>
  <c r="L34" i="12" s="1"/>
  <c r="B34" i="12"/>
  <c r="Z33" i="12"/>
  <c r="P33" i="12"/>
  <c r="X33" i="12" s="1"/>
  <c r="N33" i="12"/>
  <c r="D33" i="12"/>
  <c r="L33" i="12" s="1"/>
  <c r="B33" i="12"/>
  <c r="Z32" i="12"/>
  <c r="X32" i="12"/>
  <c r="P32" i="12"/>
  <c r="N32" i="12"/>
  <c r="D32" i="12"/>
  <c r="L32" i="12" s="1"/>
  <c r="B32" i="12"/>
  <c r="Z31" i="12"/>
  <c r="X31" i="12"/>
  <c r="P31" i="12"/>
  <c r="N31" i="12"/>
  <c r="D31" i="12"/>
  <c r="L31" i="12" s="1"/>
  <c r="B31" i="12"/>
  <c r="Z30" i="12"/>
  <c r="X30" i="12"/>
  <c r="P30" i="12"/>
  <c r="N30" i="12"/>
  <c r="D30" i="12"/>
  <c r="L30" i="12" s="1"/>
  <c r="B30" i="12"/>
  <c r="Z29" i="12"/>
  <c r="P29" i="12"/>
  <c r="X29" i="12" s="1"/>
  <c r="N29" i="12"/>
  <c r="L29" i="12"/>
  <c r="D29" i="12"/>
  <c r="B29" i="12"/>
  <c r="Z28" i="12"/>
  <c r="X28" i="12"/>
  <c r="P28" i="12"/>
  <c r="N28" i="12"/>
  <c r="L28" i="12"/>
  <c r="D28" i="12"/>
  <c r="B28" i="12"/>
  <c r="Z27" i="12"/>
  <c r="X27" i="12"/>
  <c r="P27" i="12"/>
  <c r="N27" i="12"/>
  <c r="L27" i="12"/>
  <c r="D27" i="12"/>
  <c r="B27" i="12"/>
  <c r="Z26" i="12"/>
  <c r="P26" i="12"/>
  <c r="X26" i="12" s="1"/>
  <c r="N26" i="12"/>
  <c r="D26" i="12"/>
  <c r="L26" i="12" s="1"/>
  <c r="B26" i="12"/>
  <c r="Z25" i="12"/>
  <c r="P25" i="12"/>
  <c r="X25" i="12" s="1"/>
  <c r="N25" i="12"/>
  <c r="L25" i="12"/>
  <c r="D25" i="12"/>
  <c r="B25" i="12"/>
  <c r="Z24" i="12"/>
  <c r="P24" i="12"/>
  <c r="X24" i="12" s="1"/>
  <c r="N24" i="12"/>
  <c r="L24" i="12"/>
  <c r="D24" i="12"/>
  <c r="B24" i="12"/>
  <c r="Z23" i="12"/>
  <c r="P23" i="12"/>
  <c r="X23" i="12" s="1"/>
  <c r="N23" i="12"/>
  <c r="D23" i="12"/>
  <c r="L23" i="12" s="1"/>
  <c r="B23" i="12"/>
  <c r="Z22" i="12"/>
  <c r="P22" i="12"/>
  <c r="X22" i="12" s="1"/>
  <c r="N22" i="12"/>
  <c r="D22" i="12"/>
  <c r="L22" i="12" s="1"/>
  <c r="B22" i="12"/>
  <c r="Z21" i="12"/>
  <c r="P21" i="12"/>
  <c r="X21" i="12" s="1"/>
  <c r="N21" i="12"/>
  <c r="D21" i="12"/>
  <c r="L21" i="12" s="1"/>
  <c r="B21" i="12"/>
  <c r="Z20" i="12"/>
  <c r="X20" i="12"/>
  <c r="P20" i="12"/>
  <c r="N20" i="12"/>
  <c r="D20" i="12"/>
  <c r="L20" i="12" s="1"/>
  <c r="B20" i="12"/>
  <c r="Z19" i="12"/>
  <c r="X19" i="12"/>
  <c r="P19" i="12"/>
  <c r="N19" i="12"/>
  <c r="D19" i="12"/>
  <c r="L19" i="12" s="1"/>
  <c r="B19" i="12"/>
  <c r="Z18" i="12"/>
  <c r="X18" i="12"/>
  <c r="P18" i="12"/>
  <c r="N18" i="12"/>
  <c r="D18" i="12"/>
  <c r="L18" i="12" s="1"/>
  <c r="B18" i="12"/>
  <c r="Z17" i="12"/>
  <c r="P17" i="12"/>
  <c r="X17" i="12" s="1"/>
  <c r="N17" i="12"/>
  <c r="L17" i="12"/>
  <c r="D17" i="12"/>
  <c r="B17" i="12"/>
  <c r="Z16" i="12"/>
  <c r="X16" i="12"/>
  <c r="P16" i="12"/>
  <c r="N16" i="12"/>
  <c r="L16" i="12"/>
  <c r="D16" i="12"/>
  <c r="B16" i="12"/>
  <c r="Z15" i="12"/>
  <c r="X15" i="12"/>
  <c r="P15" i="12"/>
  <c r="N15" i="12"/>
  <c r="L15" i="12"/>
  <c r="D15" i="12"/>
  <c r="B15" i="12"/>
  <c r="Z14" i="12"/>
  <c r="P14" i="12"/>
  <c r="X14" i="12" s="1"/>
  <c r="N14" i="12"/>
  <c r="D14" i="12"/>
  <c r="L14" i="12" s="1"/>
  <c r="B14" i="12"/>
  <c r="P13" i="12"/>
  <c r="X13" i="12" s="1"/>
  <c r="Z13" i="12" s="1"/>
  <c r="L13" i="12"/>
  <c r="N13" i="12" s="1"/>
  <c r="D13" i="12"/>
  <c r="D12" i="12" s="1"/>
  <c r="F207" i="12" s="1"/>
  <c r="B13" i="12"/>
  <c r="T12" i="12"/>
  <c r="H12" i="12"/>
  <c r="D4" i="12"/>
  <c r="F109" i="9"/>
  <c r="F106" i="9"/>
  <c r="Z104" i="9"/>
  <c r="X104" i="9"/>
  <c r="N104" i="9"/>
  <c r="L104" i="9"/>
  <c r="J102" i="9"/>
  <c r="Z100" i="9"/>
  <c r="P100" i="9"/>
  <c r="X100" i="9" s="1"/>
  <c r="N100" i="9"/>
  <c r="D100" i="9"/>
  <c r="L100" i="9" s="1"/>
  <c r="B100" i="9"/>
  <c r="Z99" i="9"/>
  <c r="P99" i="9"/>
  <c r="X99" i="9" s="1"/>
  <c r="N99" i="9"/>
  <c r="D99" i="9"/>
  <c r="L99" i="9" s="1"/>
  <c r="B99" i="9"/>
  <c r="Z98" i="9"/>
  <c r="P98" i="9"/>
  <c r="X98" i="9" s="1"/>
  <c r="N98" i="9"/>
  <c r="J98" i="9"/>
  <c r="D98" i="9"/>
  <c r="L98" i="9" s="1"/>
  <c r="B98" i="9"/>
  <c r="Z97" i="9"/>
  <c r="T97" i="9"/>
  <c r="P97" i="9"/>
  <c r="X97" i="9" s="1"/>
  <c r="N97" i="9"/>
  <c r="J97" i="9"/>
  <c r="H97" i="9"/>
  <c r="Z95" i="9"/>
  <c r="X95" i="9"/>
  <c r="N95" i="9"/>
  <c r="L95" i="9"/>
  <c r="B95" i="9"/>
  <c r="X94" i="9"/>
  <c r="Z94" i="9" s="1"/>
  <c r="N94" i="9"/>
  <c r="L94" i="9"/>
  <c r="B94" i="9"/>
  <c r="T93" i="9"/>
  <c r="P93" i="9"/>
  <c r="X93" i="9" s="1"/>
  <c r="Z93" i="9" s="1"/>
  <c r="H93" i="9"/>
  <c r="D93" i="9"/>
  <c r="L93" i="9" s="1"/>
  <c r="N93" i="9" s="1"/>
  <c r="B93" i="9"/>
  <c r="X92" i="9"/>
  <c r="Z92" i="9" s="1"/>
  <c r="L92" i="9"/>
  <c r="N92" i="9" s="1"/>
  <c r="B92" i="9"/>
  <c r="X91" i="9"/>
  <c r="T91" i="9"/>
  <c r="Z91" i="9" s="1"/>
  <c r="P91" i="9"/>
  <c r="L91" i="9"/>
  <c r="N91" i="9" s="1"/>
  <c r="J91" i="9"/>
  <c r="H91" i="9"/>
  <c r="D91" i="9"/>
  <c r="B91" i="9"/>
  <c r="Z90" i="9"/>
  <c r="X90" i="9"/>
  <c r="L90" i="9"/>
  <c r="N90" i="9" s="1"/>
  <c r="J90" i="9"/>
  <c r="B90" i="9"/>
  <c r="X89" i="9"/>
  <c r="Z89" i="9" s="1"/>
  <c r="L89" i="9"/>
  <c r="N89" i="9" s="1"/>
  <c r="J89" i="9"/>
  <c r="B89" i="9"/>
  <c r="X88" i="9"/>
  <c r="Z88" i="9" s="1"/>
  <c r="T88" i="9"/>
  <c r="P88" i="9"/>
  <c r="N88" i="9"/>
  <c r="H88" i="9"/>
  <c r="D88" i="9"/>
  <c r="L88" i="9" s="1"/>
  <c r="B88" i="9"/>
  <c r="Z87" i="9"/>
  <c r="X87" i="9"/>
  <c r="N87" i="9"/>
  <c r="L87" i="9"/>
  <c r="B87" i="9"/>
  <c r="X86" i="9"/>
  <c r="Z86" i="9" s="1"/>
  <c r="N86" i="9"/>
  <c r="L86" i="9"/>
  <c r="B86" i="9"/>
  <c r="X85" i="9"/>
  <c r="Z85" i="9" s="1"/>
  <c r="L85" i="9"/>
  <c r="N85" i="9" s="1"/>
  <c r="J85" i="9"/>
  <c r="B85" i="9"/>
  <c r="Z84" i="9"/>
  <c r="X84" i="9"/>
  <c r="L84" i="9"/>
  <c r="N84" i="9" s="1"/>
  <c r="B84" i="9"/>
  <c r="Z83" i="9"/>
  <c r="X83" i="9"/>
  <c r="L83" i="9"/>
  <c r="N83" i="9" s="1"/>
  <c r="B83" i="9"/>
  <c r="T82" i="9"/>
  <c r="P82" i="9"/>
  <c r="J82" i="9"/>
  <c r="H82" i="9"/>
  <c r="N82" i="9" s="1"/>
  <c r="D82" i="9"/>
  <c r="L82" i="9" s="1"/>
  <c r="B82" i="9"/>
  <c r="X81" i="9"/>
  <c r="Z81" i="9" s="1"/>
  <c r="L81" i="9"/>
  <c r="N81" i="9" s="1"/>
  <c r="F81" i="9"/>
  <c r="B81" i="9"/>
  <c r="X80" i="9"/>
  <c r="Z80" i="9" s="1"/>
  <c r="L80" i="9"/>
  <c r="N80" i="9" s="1"/>
  <c r="B80" i="9"/>
  <c r="X79" i="9"/>
  <c r="T79" i="9"/>
  <c r="Z79" i="9" s="1"/>
  <c r="P79" i="9"/>
  <c r="L79" i="9"/>
  <c r="N79" i="9" s="1"/>
  <c r="J79" i="9"/>
  <c r="H79" i="9"/>
  <c r="D79" i="9"/>
  <c r="B79" i="9"/>
  <c r="Z78" i="9"/>
  <c r="X78" i="9"/>
  <c r="L78" i="9"/>
  <c r="N78" i="9" s="1"/>
  <c r="J78" i="9"/>
  <c r="B78" i="9"/>
  <c r="X77" i="9"/>
  <c r="Z77" i="9" s="1"/>
  <c r="L77" i="9"/>
  <c r="N77" i="9" s="1"/>
  <c r="J77" i="9"/>
  <c r="B77" i="9"/>
  <c r="X76" i="9"/>
  <c r="Z76" i="9" s="1"/>
  <c r="T76" i="9"/>
  <c r="P76" i="9"/>
  <c r="N76" i="9"/>
  <c r="H76" i="9"/>
  <c r="D76" i="9"/>
  <c r="L76" i="9" s="1"/>
  <c r="B76" i="9"/>
  <c r="Z75" i="9"/>
  <c r="X75" i="9"/>
  <c r="N75" i="9"/>
  <c r="L75" i="9"/>
  <c r="B75" i="9"/>
  <c r="X74" i="9"/>
  <c r="Z74" i="9" s="1"/>
  <c r="N74" i="9"/>
  <c r="L74" i="9"/>
  <c r="B74" i="9"/>
  <c r="X73" i="9"/>
  <c r="Z73" i="9" s="1"/>
  <c r="L73" i="9"/>
  <c r="N73" i="9" s="1"/>
  <c r="J73" i="9"/>
  <c r="B73" i="9"/>
  <c r="Z72" i="9"/>
  <c r="X72" i="9"/>
  <c r="L72" i="9"/>
  <c r="N72" i="9" s="1"/>
  <c r="B72" i="9"/>
  <c r="T71" i="9"/>
  <c r="P71" i="9"/>
  <c r="X71" i="9" s="1"/>
  <c r="Z71" i="9" s="1"/>
  <c r="J71" i="9"/>
  <c r="H71" i="9"/>
  <c r="D71" i="9"/>
  <c r="L71" i="9" s="1"/>
  <c r="N71" i="9" s="1"/>
  <c r="B71" i="9"/>
  <c r="X70" i="9"/>
  <c r="Z70" i="9" s="1"/>
  <c r="N70" i="9"/>
  <c r="L70" i="9"/>
  <c r="J70" i="9"/>
  <c r="B70" i="9"/>
  <c r="X69" i="9"/>
  <c r="Z69" i="9" s="1"/>
  <c r="L69" i="9"/>
  <c r="N69" i="9" s="1"/>
  <c r="F69" i="9"/>
  <c r="B69" i="9"/>
  <c r="X68" i="9"/>
  <c r="Z68" i="9" s="1"/>
  <c r="L68" i="9"/>
  <c r="N68" i="9" s="1"/>
  <c r="B68" i="9"/>
  <c r="X67" i="9"/>
  <c r="Z67" i="9" s="1"/>
  <c r="N67" i="9"/>
  <c r="L67" i="9"/>
  <c r="J67" i="9"/>
  <c r="B67" i="9"/>
  <c r="T66" i="9"/>
  <c r="P66" i="9"/>
  <c r="X66" i="9" s="1"/>
  <c r="Z66" i="9" s="1"/>
  <c r="H66" i="9"/>
  <c r="N66" i="9" s="1"/>
  <c r="D66" i="9"/>
  <c r="L66" i="9" s="1"/>
  <c r="B66" i="9"/>
  <c r="X65" i="9"/>
  <c r="Z65" i="9" s="1"/>
  <c r="N65" i="9"/>
  <c r="L65" i="9"/>
  <c r="J65" i="9"/>
  <c r="B65" i="9"/>
  <c r="X64" i="9"/>
  <c r="Z64" i="9" s="1"/>
  <c r="N64" i="9"/>
  <c r="L64" i="9"/>
  <c r="J64" i="9"/>
  <c r="B64" i="9"/>
  <c r="T63" i="9"/>
  <c r="P63" i="9"/>
  <c r="X63" i="9" s="1"/>
  <c r="H63" i="9"/>
  <c r="D63" i="9"/>
  <c r="L63" i="9" s="1"/>
  <c r="B63" i="9"/>
  <c r="X62" i="9"/>
  <c r="Z62" i="9" s="1"/>
  <c r="L62" i="9"/>
  <c r="N62" i="9" s="1"/>
  <c r="J62" i="9"/>
  <c r="B62" i="9"/>
  <c r="T61" i="9"/>
  <c r="P61" i="9"/>
  <c r="X61" i="9" s="1"/>
  <c r="Z61" i="9" s="1"/>
  <c r="H61" i="9"/>
  <c r="D61" i="9"/>
  <c r="L61" i="9" s="1"/>
  <c r="N61" i="9" s="1"/>
  <c r="B61" i="9"/>
  <c r="X60" i="9"/>
  <c r="Z60" i="9" s="1"/>
  <c r="L60" i="9"/>
  <c r="N60" i="9" s="1"/>
  <c r="B60" i="9"/>
  <c r="Z59" i="9"/>
  <c r="X59" i="9"/>
  <c r="N59" i="9"/>
  <c r="L59" i="9"/>
  <c r="J59" i="9"/>
  <c r="B59" i="9"/>
  <c r="T58" i="9"/>
  <c r="P58" i="9"/>
  <c r="X58" i="9" s="1"/>
  <c r="Z58" i="9" s="1"/>
  <c r="H58" i="9"/>
  <c r="D58" i="9"/>
  <c r="L58" i="9" s="1"/>
  <c r="B58" i="9"/>
  <c r="X57" i="9"/>
  <c r="Z57" i="9" s="1"/>
  <c r="N57" i="9"/>
  <c r="L57" i="9"/>
  <c r="J57" i="9"/>
  <c r="B57" i="9"/>
  <c r="X56" i="9"/>
  <c r="Z56" i="9" s="1"/>
  <c r="T56" i="9"/>
  <c r="P56" i="9"/>
  <c r="J56" i="9"/>
  <c r="H56" i="9"/>
  <c r="D56" i="9"/>
  <c r="L56" i="9" s="1"/>
  <c r="N56" i="9" s="1"/>
  <c r="B56" i="9"/>
  <c r="Z55" i="9"/>
  <c r="X55" i="9"/>
  <c r="N55" i="9"/>
  <c r="L55" i="9"/>
  <c r="J55" i="9"/>
  <c r="B55" i="9"/>
  <c r="T54" i="9"/>
  <c r="P54" i="9"/>
  <c r="J54" i="9"/>
  <c r="H54" i="9"/>
  <c r="N54" i="9" s="1"/>
  <c r="D54" i="9"/>
  <c r="L54" i="9" s="1"/>
  <c r="B54" i="9"/>
  <c r="X53" i="9"/>
  <c r="Z53" i="9" s="1"/>
  <c r="L53" i="9"/>
  <c r="N53" i="9" s="1"/>
  <c r="F53" i="9"/>
  <c r="B53" i="9"/>
  <c r="T52" i="9"/>
  <c r="P52" i="9"/>
  <c r="X52" i="9" s="1"/>
  <c r="J52" i="9"/>
  <c r="H52" i="9"/>
  <c r="F52" i="9"/>
  <c r="D52" i="9"/>
  <c r="L52" i="9" s="1"/>
  <c r="N52" i="9" s="1"/>
  <c r="B52" i="9"/>
  <c r="Z51" i="9"/>
  <c r="X51" i="9"/>
  <c r="N51" i="9"/>
  <c r="L51" i="9"/>
  <c r="B51" i="9"/>
  <c r="Z50" i="9"/>
  <c r="X50" i="9"/>
  <c r="L50" i="9"/>
  <c r="N50" i="9" s="1"/>
  <c r="J50" i="9"/>
  <c r="F50" i="9"/>
  <c r="B50" i="9"/>
  <c r="T49" i="9"/>
  <c r="P49" i="9"/>
  <c r="J49" i="9"/>
  <c r="H49" i="9"/>
  <c r="F49" i="9"/>
  <c r="D49" i="9"/>
  <c r="L49" i="9" s="1"/>
  <c r="B49" i="9"/>
  <c r="Z48" i="9"/>
  <c r="X48" i="9"/>
  <c r="L48" i="9"/>
  <c r="N48" i="9" s="1"/>
  <c r="B48" i="9"/>
  <c r="T47" i="9"/>
  <c r="P47" i="9"/>
  <c r="X47" i="9" s="1"/>
  <c r="Z47" i="9" s="1"/>
  <c r="J47" i="9"/>
  <c r="H47" i="9"/>
  <c r="D47" i="9"/>
  <c r="L47" i="9" s="1"/>
  <c r="N47" i="9" s="1"/>
  <c r="B47" i="9"/>
  <c r="Z46" i="9"/>
  <c r="X46" i="9"/>
  <c r="N46" i="9"/>
  <c r="L46" i="9"/>
  <c r="J46" i="9"/>
  <c r="F46" i="9"/>
  <c r="B46" i="9"/>
  <c r="X45" i="9"/>
  <c r="Z45" i="9" s="1"/>
  <c r="T45" i="9"/>
  <c r="P45" i="9"/>
  <c r="L45" i="9"/>
  <c r="J45" i="9"/>
  <c r="H45" i="9"/>
  <c r="N45" i="9" s="1"/>
  <c r="F45" i="9"/>
  <c r="D45" i="9"/>
  <c r="B45" i="9"/>
  <c r="X44" i="9"/>
  <c r="Z44" i="9" s="1"/>
  <c r="N44" i="9"/>
  <c r="L44" i="9"/>
  <c r="J44" i="9"/>
  <c r="B44" i="9"/>
  <c r="T43" i="9"/>
  <c r="Z43" i="9" s="1"/>
  <c r="P43" i="9"/>
  <c r="X43" i="9" s="1"/>
  <c r="H43" i="9"/>
  <c r="D43" i="9"/>
  <c r="B43" i="9"/>
  <c r="Z42" i="9"/>
  <c r="X42" i="9"/>
  <c r="N42" i="9"/>
  <c r="L42" i="9"/>
  <c r="J42" i="9"/>
  <c r="B42" i="9"/>
  <c r="Z41" i="9"/>
  <c r="X41" i="9"/>
  <c r="N41" i="9"/>
  <c r="L41" i="9"/>
  <c r="J41" i="9"/>
  <c r="B41" i="9"/>
  <c r="Z40" i="9"/>
  <c r="X40" i="9"/>
  <c r="L40" i="9"/>
  <c r="N40" i="9" s="1"/>
  <c r="B40" i="9"/>
  <c r="Z39" i="9"/>
  <c r="X39" i="9"/>
  <c r="L39" i="9"/>
  <c r="N39" i="9" s="1"/>
  <c r="J39" i="9"/>
  <c r="B39" i="9"/>
  <c r="Z38" i="9"/>
  <c r="X38" i="9"/>
  <c r="N38" i="9"/>
  <c r="L38" i="9"/>
  <c r="J38" i="9"/>
  <c r="B38" i="9"/>
  <c r="X37" i="9"/>
  <c r="Z37" i="9" s="1"/>
  <c r="L37" i="9"/>
  <c r="N37" i="9" s="1"/>
  <c r="J37" i="9"/>
  <c r="B37" i="9"/>
  <c r="Z36" i="9"/>
  <c r="X36" i="9"/>
  <c r="L36" i="9"/>
  <c r="N36" i="9" s="1"/>
  <c r="B36" i="9"/>
  <c r="Z35" i="9"/>
  <c r="X35" i="9"/>
  <c r="N35" i="9"/>
  <c r="L35" i="9"/>
  <c r="J35" i="9"/>
  <c r="B35" i="9"/>
  <c r="X34" i="9"/>
  <c r="Z34" i="9" s="1"/>
  <c r="N34" i="9"/>
  <c r="L34" i="9"/>
  <c r="J34" i="9"/>
  <c r="B34" i="9"/>
  <c r="X33" i="9"/>
  <c r="Z33" i="9" s="1"/>
  <c r="L33" i="9"/>
  <c r="N33" i="9" s="1"/>
  <c r="J33" i="9"/>
  <c r="B33" i="9"/>
  <c r="T32" i="9"/>
  <c r="Z32" i="9" s="1"/>
  <c r="P32" i="9"/>
  <c r="X32" i="9" s="1"/>
  <c r="J32" i="9"/>
  <c r="H32" i="9"/>
  <c r="D32" i="9"/>
  <c r="B32" i="9"/>
  <c r="X31" i="9"/>
  <c r="Z31" i="9" s="1"/>
  <c r="N31" i="9"/>
  <c r="L31" i="9"/>
  <c r="J31" i="9"/>
  <c r="F31" i="9"/>
  <c r="B31" i="9"/>
  <c r="Z30" i="9"/>
  <c r="X30" i="9"/>
  <c r="N30" i="9"/>
  <c r="L30" i="9"/>
  <c r="J30" i="9"/>
  <c r="F30" i="9"/>
  <c r="B30" i="9"/>
  <c r="X29" i="9"/>
  <c r="Z29" i="9" s="1"/>
  <c r="L29" i="9"/>
  <c r="N29" i="9" s="1"/>
  <c r="F29" i="9"/>
  <c r="B29" i="9"/>
  <c r="X28" i="9"/>
  <c r="Z28" i="9" s="1"/>
  <c r="L28" i="9"/>
  <c r="N28" i="9" s="1"/>
  <c r="J28" i="9"/>
  <c r="B28" i="9"/>
  <c r="Z27" i="9"/>
  <c r="X27" i="9"/>
  <c r="N27" i="9"/>
  <c r="L27" i="9"/>
  <c r="J27" i="9"/>
  <c r="F27" i="9"/>
  <c r="B27" i="9"/>
  <c r="Z26" i="9"/>
  <c r="X26" i="9"/>
  <c r="N26" i="9"/>
  <c r="L26" i="9"/>
  <c r="J26" i="9"/>
  <c r="F26" i="9"/>
  <c r="B26" i="9"/>
  <c r="X25" i="9"/>
  <c r="Z25" i="9" s="1"/>
  <c r="L25" i="9"/>
  <c r="N25" i="9" s="1"/>
  <c r="F25" i="9"/>
  <c r="B25" i="9"/>
  <c r="X24" i="9"/>
  <c r="Z24" i="9" s="1"/>
  <c r="L24" i="9"/>
  <c r="N24" i="9" s="1"/>
  <c r="J24" i="9"/>
  <c r="B24" i="9"/>
  <c r="X23" i="9"/>
  <c r="Z23" i="9" s="1"/>
  <c r="N23" i="9"/>
  <c r="L23" i="9"/>
  <c r="J23" i="9"/>
  <c r="F23" i="9"/>
  <c r="B23" i="9"/>
  <c r="Z22" i="9"/>
  <c r="X22" i="9"/>
  <c r="N22" i="9"/>
  <c r="L22" i="9"/>
  <c r="J22" i="9"/>
  <c r="F22" i="9"/>
  <c r="B22" i="9"/>
  <c r="X21" i="9"/>
  <c r="Z21" i="9" s="1"/>
  <c r="L21" i="9"/>
  <c r="N21" i="9" s="1"/>
  <c r="F21" i="9"/>
  <c r="B21" i="9"/>
  <c r="T20" i="9"/>
  <c r="P20" i="9"/>
  <c r="X20" i="9" s="1"/>
  <c r="J20" i="9"/>
  <c r="H20" i="9"/>
  <c r="F20" i="9"/>
  <c r="D20" i="9"/>
  <c r="L20" i="9" s="1"/>
  <c r="N20" i="9" s="1"/>
  <c r="B20" i="9"/>
  <c r="T19" i="9"/>
  <c r="P19" i="9"/>
  <c r="X19" i="9" s="1"/>
  <c r="H19" i="9"/>
  <c r="D19" i="9"/>
  <c r="T15" i="9"/>
  <c r="Z15" i="9" s="1"/>
  <c r="P15" i="9"/>
  <c r="X15" i="9" s="1"/>
  <c r="H15" i="9"/>
  <c r="N15" i="9" s="1"/>
  <c r="D15" i="9"/>
  <c r="L15" i="9" s="1"/>
  <c r="Z13" i="9"/>
  <c r="P13" i="9"/>
  <c r="X13" i="9" s="1"/>
  <c r="N13" i="9"/>
  <c r="L13" i="9"/>
  <c r="D13" i="9"/>
  <c r="B13" i="9"/>
  <c r="T12" i="9"/>
  <c r="V36" i="9" s="1"/>
  <c r="N12" i="9"/>
  <c r="L12" i="9"/>
  <c r="H12" i="9"/>
  <c r="J99" i="9" s="1"/>
  <c r="D12" i="9"/>
  <c r="F98" i="9" s="1"/>
  <c r="D4" i="9"/>
  <c r="J31" i="6"/>
  <c r="T29" i="6"/>
  <c r="P29" i="6"/>
  <c r="X29" i="6" s="1"/>
  <c r="J29" i="6"/>
  <c r="H29" i="6"/>
  <c r="D29" i="6"/>
  <c r="T28" i="6"/>
  <c r="P28" i="6"/>
  <c r="X28" i="6" s="1"/>
  <c r="J28" i="6"/>
  <c r="H28" i="6"/>
  <c r="D28" i="6"/>
  <c r="J26" i="6"/>
  <c r="Z24" i="6"/>
  <c r="X24" i="6"/>
  <c r="R24" i="6"/>
  <c r="N24" i="6"/>
  <c r="L24" i="6"/>
  <c r="J24" i="6"/>
  <c r="V22" i="6"/>
  <c r="J22" i="6"/>
  <c r="X20" i="6"/>
  <c r="T20" i="6"/>
  <c r="Z20" i="6" s="1"/>
  <c r="P20" i="6"/>
  <c r="L20" i="6"/>
  <c r="J20" i="6"/>
  <c r="H20" i="6"/>
  <c r="N20" i="6" s="1"/>
  <c r="D20" i="6"/>
  <c r="X18" i="6"/>
  <c r="V18" i="6"/>
  <c r="T18" i="6"/>
  <c r="Z18" i="6" s="1"/>
  <c r="P18" i="6"/>
  <c r="L18" i="6"/>
  <c r="J18" i="6"/>
  <c r="H18" i="6"/>
  <c r="N18" i="6" s="1"/>
  <c r="D18" i="6"/>
  <c r="J16" i="6"/>
  <c r="X14" i="6"/>
  <c r="V14" i="6"/>
  <c r="T14" i="6"/>
  <c r="Z14" i="6" s="1"/>
  <c r="P14" i="6"/>
  <c r="L14" i="6"/>
  <c r="J14" i="6"/>
  <c r="H14" i="6"/>
  <c r="N14" i="6" s="1"/>
  <c r="D14" i="6"/>
  <c r="T12" i="6"/>
  <c r="P12" i="6"/>
  <c r="R22" i="6" s="1"/>
  <c r="N12" i="6"/>
  <c r="H12" i="6"/>
  <c r="D12" i="6"/>
  <c r="F14" i="6" s="1"/>
  <c r="D4" i="6"/>
  <c r="T263" i="3"/>
  <c r="P263" i="3"/>
  <c r="H263" i="3"/>
  <c r="D263" i="3"/>
  <c r="L263" i="3" s="1"/>
  <c r="T262" i="3"/>
  <c r="P262" i="3"/>
  <c r="H262" i="3"/>
  <c r="D262" i="3"/>
  <c r="L262" i="3" s="1"/>
  <c r="X258" i="3"/>
  <c r="Z258" i="3" s="1"/>
  <c r="N258" i="3"/>
  <c r="L258" i="3"/>
  <c r="Z254" i="3"/>
  <c r="X254" i="3"/>
  <c r="P254" i="3"/>
  <c r="N254" i="3"/>
  <c r="L254" i="3"/>
  <c r="D254" i="3"/>
  <c r="B254" i="3"/>
  <c r="Z253" i="3"/>
  <c r="P253" i="3"/>
  <c r="X253" i="3" s="1"/>
  <c r="N253" i="3"/>
  <c r="D253" i="3"/>
  <c r="L253" i="3" s="1"/>
  <c r="B253" i="3"/>
  <c r="P252" i="3"/>
  <c r="X252" i="3" s="1"/>
  <c r="Z252" i="3" s="1"/>
  <c r="D252" i="3"/>
  <c r="L252" i="3" s="1"/>
  <c r="N252" i="3" s="1"/>
  <c r="B252" i="3"/>
  <c r="Z251" i="3"/>
  <c r="P251" i="3"/>
  <c r="X251" i="3" s="1"/>
  <c r="N251" i="3"/>
  <c r="D251" i="3"/>
  <c r="L251" i="3" s="1"/>
  <c r="B251" i="3"/>
  <c r="P250" i="3"/>
  <c r="L250" i="3"/>
  <c r="N250" i="3" s="1"/>
  <c r="D250" i="3"/>
  <c r="B250" i="3"/>
  <c r="Z249" i="3"/>
  <c r="X249" i="3"/>
  <c r="P249" i="3"/>
  <c r="N249" i="3"/>
  <c r="L249" i="3"/>
  <c r="D249" i="3"/>
  <c r="B249" i="3"/>
  <c r="Z248" i="3"/>
  <c r="X248" i="3"/>
  <c r="P248" i="3"/>
  <c r="N248" i="3"/>
  <c r="L248" i="3"/>
  <c r="D248" i="3"/>
  <c r="B248" i="3"/>
  <c r="T247" i="3"/>
  <c r="H247" i="3"/>
  <c r="X245" i="3"/>
  <c r="Z245" i="3" s="1"/>
  <c r="L245" i="3"/>
  <c r="N245" i="3" s="1"/>
  <c r="B245" i="3"/>
  <c r="T244" i="3"/>
  <c r="P244" i="3"/>
  <c r="X244" i="3" s="1"/>
  <c r="Z244" i="3" s="1"/>
  <c r="H244" i="3"/>
  <c r="D244" i="3"/>
  <c r="L244" i="3" s="1"/>
  <c r="N244" i="3" s="1"/>
  <c r="B244" i="3"/>
  <c r="Z243" i="3"/>
  <c r="X243" i="3"/>
  <c r="L243" i="3"/>
  <c r="N243" i="3" s="1"/>
  <c r="B243" i="3"/>
  <c r="X242" i="3"/>
  <c r="Z242" i="3" s="1"/>
  <c r="L242" i="3"/>
  <c r="N242" i="3" s="1"/>
  <c r="B242" i="3"/>
  <c r="X241" i="3"/>
  <c r="Z241" i="3" s="1"/>
  <c r="N241" i="3"/>
  <c r="L241" i="3"/>
  <c r="B241" i="3"/>
  <c r="X240" i="3"/>
  <c r="Z240" i="3" s="1"/>
  <c r="T240" i="3"/>
  <c r="P240" i="3"/>
  <c r="H240" i="3"/>
  <c r="D240" i="3"/>
  <c r="B240" i="3"/>
  <c r="X239" i="3"/>
  <c r="Z239" i="3" s="1"/>
  <c r="L239" i="3"/>
  <c r="N239" i="3" s="1"/>
  <c r="B239" i="3"/>
  <c r="T238" i="3"/>
  <c r="P238" i="3"/>
  <c r="H238" i="3"/>
  <c r="D238" i="3"/>
  <c r="L238" i="3" s="1"/>
  <c r="B238" i="3"/>
  <c r="Z237" i="3"/>
  <c r="X237" i="3"/>
  <c r="L237" i="3"/>
  <c r="N237" i="3" s="1"/>
  <c r="B237" i="3"/>
  <c r="X236" i="3"/>
  <c r="Z236" i="3" s="1"/>
  <c r="N236" i="3"/>
  <c r="L236" i="3"/>
  <c r="B236" i="3"/>
  <c r="T235" i="3"/>
  <c r="P235" i="3"/>
  <c r="H235" i="3"/>
  <c r="D235" i="3"/>
  <c r="B235" i="3"/>
  <c r="Z234" i="3"/>
  <c r="X234" i="3"/>
  <c r="L234" i="3"/>
  <c r="N234" i="3" s="1"/>
  <c r="B234" i="3"/>
  <c r="X233" i="3"/>
  <c r="Z233" i="3" s="1"/>
  <c r="L233" i="3"/>
  <c r="N233" i="3" s="1"/>
  <c r="B233" i="3"/>
  <c r="Z232" i="3"/>
  <c r="X232" i="3"/>
  <c r="V232" i="3"/>
  <c r="N232" i="3"/>
  <c r="L232" i="3"/>
  <c r="B232" i="3"/>
  <c r="Z231" i="3"/>
  <c r="X231" i="3"/>
  <c r="N231" i="3"/>
  <c r="L231" i="3"/>
  <c r="B231" i="3"/>
  <c r="X230" i="3"/>
  <c r="Z230" i="3" s="1"/>
  <c r="L230" i="3"/>
  <c r="N230" i="3" s="1"/>
  <c r="B230" i="3"/>
  <c r="X229" i="3"/>
  <c r="Z229" i="3" s="1"/>
  <c r="N229" i="3"/>
  <c r="L229" i="3"/>
  <c r="B229" i="3"/>
  <c r="X228" i="3"/>
  <c r="Z228" i="3" s="1"/>
  <c r="N228" i="3"/>
  <c r="L228" i="3"/>
  <c r="B228" i="3"/>
  <c r="Z227" i="3"/>
  <c r="X227" i="3"/>
  <c r="L227" i="3"/>
  <c r="N227" i="3" s="1"/>
  <c r="B227" i="3"/>
  <c r="Z226" i="3"/>
  <c r="X226" i="3"/>
  <c r="L226" i="3"/>
  <c r="N226" i="3" s="1"/>
  <c r="B226" i="3"/>
  <c r="X225" i="3"/>
  <c r="Z225" i="3" s="1"/>
  <c r="L225" i="3"/>
  <c r="N225" i="3" s="1"/>
  <c r="B225" i="3"/>
  <c r="Z224" i="3"/>
  <c r="X224" i="3"/>
  <c r="V224" i="3"/>
  <c r="N224" i="3"/>
  <c r="L224" i="3"/>
  <c r="B224" i="3"/>
  <c r="Z223" i="3"/>
  <c r="T223" i="3"/>
  <c r="P223" i="3"/>
  <c r="X223" i="3" s="1"/>
  <c r="H223" i="3"/>
  <c r="D223" i="3"/>
  <c r="L223" i="3" s="1"/>
  <c r="B223" i="3"/>
  <c r="X222" i="3"/>
  <c r="Z222" i="3" s="1"/>
  <c r="N222" i="3"/>
  <c r="L222" i="3"/>
  <c r="B222" i="3"/>
  <c r="X221" i="3"/>
  <c r="Z221" i="3" s="1"/>
  <c r="L221" i="3"/>
  <c r="N221" i="3" s="1"/>
  <c r="B221" i="3"/>
  <c r="Z220" i="3"/>
  <c r="T220" i="3"/>
  <c r="P220" i="3"/>
  <c r="X220" i="3" s="1"/>
  <c r="L220" i="3"/>
  <c r="H220" i="3"/>
  <c r="D220" i="3"/>
  <c r="B220" i="3"/>
  <c r="X219" i="3"/>
  <c r="Z219" i="3" s="1"/>
  <c r="N219" i="3"/>
  <c r="L219" i="3"/>
  <c r="B219" i="3"/>
  <c r="Z218" i="3"/>
  <c r="X218" i="3"/>
  <c r="N218" i="3"/>
  <c r="L218" i="3"/>
  <c r="B218" i="3"/>
  <c r="Z217" i="3"/>
  <c r="X217" i="3"/>
  <c r="V217" i="3"/>
  <c r="L217" i="3"/>
  <c r="N217" i="3" s="1"/>
  <c r="B217" i="3"/>
  <c r="Z216" i="3"/>
  <c r="X216" i="3"/>
  <c r="N216" i="3"/>
  <c r="L216" i="3"/>
  <c r="B216" i="3"/>
  <c r="X215" i="3"/>
  <c r="Z215" i="3" s="1"/>
  <c r="N215" i="3"/>
  <c r="L215" i="3"/>
  <c r="B215" i="3"/>
  <c r="T214" i="3"/>
  <c r="P214" i="3"/>
  <c r="X214" i="3" s="1"/>
  <c r="Z214" i="3" s="1"/>
  <c r="H214" i="3"/>
  <c r="N214" i="3" s="1"/>
  <c r="D214" i="3"/>
  <c r="L214" i="3" s="1"/>
  <c r="B214" i="3"/>
  <c r="X213" i="3"/>
  <c r="Z213" i="3" s="1"/>
  <c r="L213" i="3"/>
  <c r="N213" i="3" s="1"/>
  <c r="B213" i="3"/>
  <c r="X212" i="3"/>
  <c r="Z212" i="3" s="1"/>
  <c r="N212" i="3"/>
  <c r="L212" i="3"/>
  <c r="B212" i="3"/>
  <c r="Z211" i="3"/>
  <c r="X211" i="3"/>
  <c r="L211" i="3"/>
  <c r="N211" i="3" s="1"/>
  <c r="B211" i="3"/>
  <c r="Z210" i="3"/>
  <c r="X210" i="3"/>
  <c r="L210" i="3"/>
  <c r="N210" i="3" s="1"/>
  <c r="B210" i="3"/>
  <c r="T209" i="3"/>
  <c r="P209" i="3"/>
  <c r="X209" i="3" s="1"/>
  <c r="H209" i="3"/>
  <c r="D209" i="3"/>
  <c r="B209" i="3"/>
  <c r="X208" i="3"/>
  <c r="Z208" i="3" s="1"/>
  <c r="L208" i="3"/>
  <c r="N208" i="3" s="1"/>
  <c r="B208" i="3"/>
  <c r="Z207" i="3"/>
  <c r="X207" i="3"/>
  <c r="L207" i="3"/>
  <c r="N207" i="3" s="1"/>
  <c r="B207" i="3"/>
  <c r="X206" i="3"/>
  <c r="Z206" i="3" s="1"/>
  <c r="N206" i="3"/>
  <c r="L206" i="3"/>
  <c r="B206" i="3"/>
  <c r="Z205" i="3"/>
  <c r="X205" i="3"/>
  <c r="N205" i="3"/>
  <c r="L205" i="3"/>
  <c r="B205" i="3"/>
  <c r="T204" i="3"/>
  <c r="P204" i="3"/>
  <c r="X204" i="3" s="1"/>
  <c r="Z204" i="3" s="1"/>
  <c r="H204" i="3"/>
  <c r="D204" i="3"/>
  <c r="L204" i="3" s="1"/>
  <c r="B204" i="3"/>
  <c r="Z203" i="3"/>
  <c r="X203" i="3"/>
  <c r="N203" i="3"/>
  <c r="L203" i="3"/>
  <c r="B203" i="3"/>
  <c r="Z202" i="3"/>
  <c r="X202" i="3"/>
  <c r="T202" i="3"/>
  <c r="P202" i="3"/>
  <c r="L202" i="3"/>
  <c r="N202" i="3" s="1"/>
  <c r="H202" i="3"/>
  <c r="D202" i="3"/>
  <c r="B202" i="3"/>
  <c r="Z201" i="3"/>
  <c r="X201" i="3"/>
  <c r="L201" i="3"/>
  <c r="N201" i="3" s="1"/>
  <c r="B201" i="3"/>
  <c r="T200" i="3"/>
  <c r="P200" i="3"/>
  <c r="X200" i="3" s="1"/>
  <c r="H200" i="3"/>
  <c r="L200" i="3" s="1"/>
  <c r="N200" i="3" s="1"/>
  <c r="D200" i="3"/>
  <c r="B200" i="3"/>
  <c r="X199" i="3"/>
  <c r="Z199" i="3" s="1"/>
  <c r="N199" i="3"/>
  <c r="L199" i="3"/>
  <c r="B199" i="3"/>
  <c r="T198" i="3"/>
  <c r="P198" i="3"/>
  <c r="H198" i="3"/>
  <c r="L198" i="3" s="1"/>
  <c r="D198" i="3"/>
  <c r="B198" i="3"/>
  <c r="Z197" i="3"/>
  <c r="X197" i="3"/>
  <c r="V197" i="3"/>
  <c r="L197" i="3"/>
  <c r="N197" i="3" s="1"/>
  <c r="B197" i="3"/>
  <c r="Z196" i="3"/>
  <c r="X196" i="3"/>
  <c r="T196" i="3"/>
  <c r="P196" i="3"/>
  <c r="H196" i="3"/>
  <c r="D196" i="3"/>
  <c r="L196" i="3" s="1"/>
  <c r="N196" i="3" s="1"/>
  <c r="B196" i="3"/>
  <c r="Z195" i="3"/>
  <c r="X195" i="3"/>
  <c r="L195" i="3"/>
  <c r="N195" i="3" s="1"/>
  <c r="B195" i="3"/>
  <c r="X194" i="3"/>
  <c r="T194" i="3"/>
  <c r="Z194" i="3" s="1"/>
  <c r="P194" i="3"/>
  <c r="J194" i="3"/>
  <c r="H194" i="3"/>
  <c r="D194" i="3"/>
  <c r="L194" i="3" s="1"/>
  <c r="N194" i="3" s="1"/>
  <c r="B194" i="3"/>
  <c r="Z193" i="3"/>
  <c r="X193" i="3"/>
  <c r="L193" i="3"/>
  <c r="N193" i="3" s="1"/>
  <c r="B193" i="3"/>
  <c r="T192" i="3"/>
  <c r="Z192" i="3" s="1"/>
  <c r="P192" i="3"/>
  <c r="X192" i="3" s="1"/>
  <c r="H192" i="3"/>
  <c r="D192" i="3"/>
  <c r="L192" i="3" s="1"/>
  <c r="N192" i="3" s="1"/>
  <c r="B192" i="3"/>
  <c r="X191" i="3"/>
  <c r="Z191" i="3" s="1"/>
  <c r="N191" i="3"/>
  <c r="L191" i="3"/>
  <c r="B191" i="3"/>
  <c r="Z190" i="3"/>
  <c r="X190" i="3"/>
  <c r="N190" i="3"/>
  <c r="L190" i="3"/>
  <c r="B190" i="3"/>
  <c r="X189" i="3"/>
  <c r="Z189" i="3" s="1"/>
  <c r="N189" i="3"/>
  <c r="L189" i="3"/>
  <c r="B189" i="3"/>
  <c r="Z188" i="3"/>
  <c r="X188" i="3"/>
  <c r="T188" i="3"/>
  <c r="P188" i="3"/>
  <c r="H188" i="3"/>
  <c r="D188" i="3"/>
  <c r="L188" i="3" s="1"/>
  <c r="N188" i="3" s="1"/>
  <c r="B188" i="3"/>
  <c r="Z187" i="3"/>
  <c r="X187" i="3"/>
  <c r="L187" i="3"/>
  <c r="N187" i="3" s="1"/>
  <c r="B187" i="3"/>
  <c r="X186" i="3"/>
  <c r="Z186" i="3" s="1"/>
  <c r="N186" i="3"/>
  <c r="L186" i="3"/>
  <c r="B186" i="3"/>
  <c r="T185" i="3"/>
  <c r="P185" i="3"/>
  <c r="X185" i="3" s="1"/>
  <c r="H185" i="3"/>
  <c r="D185" i="3"/>
  <c r="L185" i="3" s="1"/>
  <c r="N185" i="3" s="1"/>
  <c r="B185" i="3"/>
  <c r="X184" i="3"/>
  <c r="Z184" i="3" s="1"/>
  <c r="N184" i="3"/>
  <c r="L184" i="3"/>
  <c r="B184" i="3"/>
  <c r="X183" i="3"/>
  <c r="Z183" i="3" s="1"/>
  <c r="T183" i="3"/>
  <c r="P183" i="3"/>
  <c r="N183" i="3"/>
  <c r="L183" i="3"/>
  <c r="H183" i="3"/>
  <c r="D183" i="3"/>
  <c r="B183" i="3"/>
  <c r="Z182" i="3"/>
  <c r="X182" i="3"/>
  <c r="L182" i="3"/>
  <c r="N182" i="3" s="1"/>
  <c r="B182" i="3"/>
  <c r="T181" i="3"/>
  <c r="P181" i="3"/>
  <c r="H181" i="3"/>
  <c r="L181" i="3" s="1"/>
  <c r="D181" i="3"/>
  <c r="B181" i="3"/>
  <c r="Z180" i="3"/>
  <c r="X180" i="3"/>
  <c r="V180" i="3"/>
  <c r="L180" i="3"/>
  <c r="N180" i="3" s="1"/>
  <c r="B180" i="3"/>
  <c r="Z179" i="3"/>
  <c r="X179" i="3"/>
  <c r="N179" i="3"/>
  <c r="L179" i="3"/>
  <c r="B179" i="3"/>
  <c r="X178" i="3"/>
  <c r="T178" i="3"/>
  <c r="Z178" i="3" s="1"/>
  <c r="P178" i="3"/>
  <c r="J178" i="3"/>
  <c r="H178" i="3"/>
  <c r="D178" i="3"/>
  <c r="L178" i="3" s="1"/>
  <c r="N178" i="3" s="1"/>
  <c r="B178" i="3"/>
  <c r="Z177" i="3"/>
  <c r="X177" i="3"/>
  <c r="N177" i="3"/>
  <c r="L177" i="3"/>
  <c r="B177" i="3"/>
  <c r="X176" i="3"/>
  <c r="Z176" i="3" s="1"/>
  <c r="N176" i="3"/>
  <c r="L176" i="3"/>
  <c r="B176" i="3"/>
  <c r="X175" i="3"/>
  <c r="Z175" i="3" s="1"/>
  <c r="T175" i="3"/>
  <c r="P175" i="3"/>
  <c r="N175" i="3"/>
  <c r="L175" i="3"/>
  <c r="H175" i="3"/>
  <c r="D175" i="3"/>
  <c r="B175" i="3"/>
  <c r="Z174" i="3"/>
  <c r="X174" i="3"/>
  <c r="L174" i="3"/>
  <c r="N174" i="3" s="1"/>
  <c r="B174" i="3"/>
  <c r="X173" i="3"/>
  <c r="Z173" i="3" s="1"/>
  <c r="L173" i="3"/>
  <c r="N173" i="3" s="1"/>
  <c r="B173" i="3"/>
  <c r="Z172" i="3"/>
  <c r="X172" i="3"/>
  <c r="N172" i="3"/>
  <c r="L172" i="3"/>
  <c r="J172" i="3"/>
  <c r="B172" i="3"/>
  <c r="T171" i="3"/>
  <c r="X171" i="3" s="1"/>
  <c r="P171" i="3"/>
  <c r="H171" i="3"/>
  <c r="D171" i="3"/>
  <c r="B171" i="3"/>
  <c r="X170" i="3"/>
  <c r="Z170" i="3" s="1"/>
  <c r="N170" i="3"/>
  <c r="L170" i="3"/>
  <c r="B170" i="3"/>
  <c r="T169" i="3"/>
  <c r="P169" i="3"/>
  <c r="X169" i="3" s="1"/>
  <c r="H169" i="3"/>
  <c r="D169" i="3"/>
  <c r="L169" i="3" s="1"/>
  <c r="N169" i="3" s="1"/>
  <c r="B169" i="3"/>
  <c r="X168" i="3"/>
  <c r="Z168" i="3" s="1"/>
  <c r="N168" i="3"/>
  <c r="L168" i="3"/>
  <c r="B168" i="3"/>
  <c r="X167" i="3"/>
  <c r="Z167" i="3" s="1"/>
  <c r="L167" i="3"/>
  <c r="N167" i="3" s="1"/>
  <c r="B167" i="3"/>
  <c r="T166" i="3"/>
  <c r="P166" i="3"/>
  <c r="X166" i="3" s="1"/>
  <c r="Z166" i="3" s="1"/>
  <c r="H166" i="3"/>
  <c r="D166" i="3"/>
  <c r="L166" i="3" s="1"/>
  <c r="B166" i="3"/>
  <c r="X165" i="3"/>
  <c r="Z165" i="3" s="1"/>
  <c r="L165" i="3"/>
  <c r="N165" i="3" s="1"/>
  <c r="B165" i="3"/>
  <c r="Z164" i="3"/>
  <c r="X164" i="3"/>
  <c r="T164" i="3"/>
  <c r="P164" i="3"/>
  <c r="H164" i="3"/>
  <c r="D164" i="3"/>
  <c r="L164" i="3" s="1"/>
  <c r="N164" i="3" s="1"/>
  <c r="B164" i="3"/>
  <c r="Z163" i="3"/>
  <c r="X163" i="3"/>
  <c r="N163" i="3"/>
  <c r="L163" i="3"/>
  <c r="B163" i="3"/>
  <c r="Z162" i="3"/>
  <c r="X162" i="3"/>
  <c r="N162" i="3"/>
  <c r="L162" i="3"/>
  <c r="B162" i="3"/>
  <c r="X161" i="3"/>
  <c r="Z161" i="3" s="1"/>
  <c r="N161" i="3"/>
  <c r="L161" i="3"/>
  <c r="B161" i="3"/>
  <c r="Z160" i="3"/>
  <c r="X160" i="3"/>
  <c r="V160" i="3"/>
  <c r="N160" i="3"/>
  <c r="L160" i="3"/>
  <c r="B160" i="3"/>
  <c r="Z159" i="3"/>
  <c r="X159" i="3"/>
  <c r="N159" i="3"/>
  <c r="L159" i="3"/>
  <c r="B159" i="3"/>
  <c r="X158" i="3"/>
  <c r="Z158" i="3" s="1"/>
  <c r="N158" i="3"/>
  <c r="L158" i="3"/>
  <c r="B158" i="3"/>
  <c r="X157" i="3"/>
  <c r="Z157" i="3" s="1"/>
  <c r="N157" i="3"/>
  <c r="L157" i="3"/>
  <c r="B157" i="3"/>
  <c r="Z156" i="3"/>
  <c r="X156" i="3"/>
  <c r="V156" i="3"/>
  <c r="N156" i="3"/>
  <c r="L156" i="3"/>
  <c r="B156" i="3"/>
  <c r="Z155" i="3"/>
  <c r="X155" i="3"/>
  <c r="L155" i="3"/>
  <c r="N155" i="3" s="1"/>
  <c r="B155" i="3"/>
  <c r="X154" i="3"/>
  <c r="Z154" i="3" s="1"/>
  <c r="N154" i="3"/>
  <c r="L154" i="3"/>
  <c r="B154" i="3"/>
  <c r="T153" i="3"/>
  <c r="P153" i="3"/>
  <c r="X153" i="3" s="1"/>
  <c r="H153" i="3"/>
  <c r="D153" i="3"/>
  <c r="L153" i="3" s="1"/>
  <c r="N153" i="3" s="1"/>
  <c r="B153" i="3"/>
  <c r="X152" i="3"/>
  <c r="Z152" i="3" s="1"/>
  <c r="N152" i="3"/>
  <c r="L152" i="3"/>
  <c r="B152" i="3"/>
  <c r="X151" i="3"/>
  <c r="Z151" i="3" s="1"/>
  <c r="L151" i="3"/>
  <c r="N151" i="3" s="1"/>
  <c r="J151" i="3"/>
  <c r="B151" i="3"/>
  <c r="Z150" i="3"/>
  <c r="X150" i="3"/>
  <c r="N150" i="3"/>
  <c r="L150" i="3"/>
  <c r="B150" i="3"/>
  <c r="Z149" i="3"/>
  <c r="X149" i="3"/>
  <c r="N149" i="3"/>
  <c r="L149" i="3"/>
  <c r="B149" i="3"/>
  <c r="Z148" i="3"/>
  <c r="X148" i="3"/>
  <c r="N148" i="3"/>
  <c r="L148" i="3"/>
  <c r="B148" i="3"/>
  <c r="X147" i="3"/>
  <c r="Z147" i="3" s="1"/>
  <c r="L147" i="3"/>
  <c r="N147" i="3" s="1"/>
  <c r="J147" i="3"/>
  <c r="B147" i="3"/>
  <c r="Z146" i="3"/>
  <c r="X146" i="3"/>
  <c r="N146" i="3"/>
  <c r="L146" i="3"/>
  <c r="B146" i="3"/>
  <c r="Z145" i="3"/>
  <c r="X145" i="3"/>
  <c r="L145" i="3"/>
  <c r="N145" i="3" s="1"/>
  <c r="B145" i="3"/>
  <c r="X144" i="3"/>
  <c r="Z144" i="3" s="1"/>
  <c r="N144" i="3"/>
  <c r="L144" i="3"/>
  <c r="B144" i="3"/>
  <c r="X143" i="3"/>
  <c r="Z143" i="3" s="1"/>
  <c r="L143" i="3"/>
  <c r="N143" i="3" s="1"/>
  <c r="J143" i="3"/>
  <c r="B143" i="3"/>
  <c r="T142" i="3"/>
  <c r="P142" i="3"/>
  <c r="X142" i="3" s="1"/>
  <c r="Z142" i="3" s="1"/>
  <c r="H142" i="3"/>
  <c r="N142" i="3" s="1"/>
  <c r="D142" i="3"/>
  <c r="L142" i="3" s="1"/>
  <c r="B142" i="3"/>
  <c r="T141" i="3"/>
  <c r="P141" i="3"/>
  <c r="H141" i="3"/>
  <c r="J141" i="3" s="1"/>
  <c r="D141" i="3"/>
  <c r="L141" i="3" s="1"/>
  <c r="T139" i="3"/>
  <c r="Z137" i="3"/>
  <c r="X137" i="3"/>
  <c r="N137" i="3"/>
  <c r="L137" i="3"/>
  <c r="B137" i="3"/>
  <c r="Z136" i="3"/>
  <c r="X136" i="3"/>
  <c r="N136" i="3"/>
  <c r="L136" i="3"/>
  <c r="J136" i="3"/>
  <c r="B136" i="3"/>
  <c r="Z135" i="3"/>
  <c r="X135" i="3"/>
  <c r="N135" i="3"/>
  <c r="L135" i="3"/>
  <c r="B135" i="3"/>
  <c r="Z134" i="3"/>
  <c r="X134" i="3"/>
  <c r="N134" i="3"/>
  <c r="L134" i="3"/>
  <c r="B134" i="3"/>
  <c r="Z133" i="3"/>
  <c r="X133" i="3"/>
  <c r="N133" i="3"/>
  <c r="L133" i="3"/>
  <c r="B133" i="3"/>
  <c r="Z132" i="3"/>
  <c r="X132" i="3"/>
  <c r="N132" i="3"/>
  <c r="L132" i="3"/>
  <c r="J132" i="3"/>
  <c r="B132" i="3"/>
  <c r="Z131" i="3"/>
  <c r="X131" i="3"/>
  <c r="N131" i="3"/>
  <c r="L131" i="3"/>
  <c r="B131" i="3"/>
  <c r="Z130" i="3"/>
  <c r="X130" i="3"/>
  <c r="N130" i="3"/>
  <c r="L130" i="3"/>
  <c r="B130" i="3"/>
  <c r="Z129" i="3"/>
  <c r="X129" i="3"/>
  <c r="N129" i="3"/>
  <c r="L129" i="3"/>
  <c r="B129" i="3"/>
  <c r="Z128" i="3"/>
  <c r="X128" i="3"/>
  <c r="N128" i="3"/>
  <c r="L128" i="3"/>
  <c r="J128" i="3"/>
  <c r="B128" i="3"/>
  <c r="Z127" i="3"/>
  <c r="X127" i="3"/>
  <c r="N127" i="3"/>
  <c r="L127" i="3"/>
  <c r="B127" i="3"/>
  <c r="Z126" i="3"/>
  <c r="X126" i="3"/>
  <c r="N126" i="3"/>
  <c r="L126" i="3"/>
  <c r="B126" i="3"/>
  <c r="Z125" i="3"/>
  <c r="X125" i="3"/>
  <c r="N125" i="3"/>
  <c r="L125" i="3"/>
  <c r="B125" i="3"/>
  <c r="Z124" i="3"/>
  <c r="X124" i="3"/>
  <c r="N124" i="3"/>
  <c r="L124" i="3"/>
  <c r="J124" i="3"/>
  <c r="B124" i="3"/>
  <c r="Z123" i="3"/>
  <c r="X123" i="3"/>
  <c r="N123" i="3"/>
  <c r="L123" i="3"/>
  <c r="B123" i="3"/>
  <c r="Z122" i="3"/>
  <c r="X122" i="3"/>
  <c r="N122" i="3"/>
  <c r="L122" i="3"/>
  <c r="B122" i="3"/>
  <c r="Z121" i="3"/>
  <c r="X121" i="3"/>
  <c r="N121" i="3"/>
  <c r="L121" i="3"/>
  <c r="B121" i="3"/>
  <c r="Z120" i="3"/>
  <c r="X120" i="3"/>
  <c r="N120" i="3"/>
  <c r="L120" i="3"/>
  <c r="J120" i="3"/>
  <c r="B120" i="3"/>
  <c r="Z119" i="3"/>
  <c r="X119" i="3"/>
  <c r="N119" i="3"/>
  <c r="L119" i="3"/>
  <c r="B119" i="3"/>
  <c r="Z118" i="3"/>
  <c r="X118" i="3"/>
  <c r="N118" i="3"/>
  <c r="L118" i="3"/>
  <c r="B118" i="3"/>
  <c r="Z117" i="3"/>
  <c r="X117" i="3"/>
  <c r="N117" i="3"/>
  <c r="L117" i="3"/>
  <c r="B117" i="3"/>
  <c r="Z116" i="3"/>
  <c r="X116" i="3"/>
  <c r="N116" i="3"/>
  <c r="L116" i="3"/>
  <c r="J116" i="3"/>
  <c r="B116" i="3"/>
  <c r="Z115" i="3"/>
  <c r="X115" i="3"/>
  <c r="N115" i="3"/>
  <c r="L115" i="3"/>
  <c r="B115" i="3"/>
  <c r="Z114" i="3"/>
  <c r="X114" i="3"/>
  <c r="N114" i="3"/>
  <c r="L114" i="3"/>
  <c r="J114" i="3"/>
  <c r="B114" i="3"/>
  <c r="Z113" i="3"/>
  <c r="X113" i="3"/>
  <c r="N113" i="3"/>
  <c r="L113" i="3"/>
  <c r="B113" i="3"/>
  <c r="Z112" i="3"/>
  <c r="X112" i="3"/>
  <c r="N112" i="3"/>
  <c r="L112" i="3"/>
  <c r="J112" i="3"/>
  <c r="B112" i="3"/>
  <c r="Z111" i="3"/>
  <c r="X111" i="3"/>
  <c r="N111" i="3"/>
  <c r="L111" i="3"/>
  <c r="B111" i="3"/>
  <c r="Z110" i="3"/>
  <c r="X110" i="3"/>
  <c r="N110" i="3"/>
  <c r="L110" i="3"/>
  <c r="J110" i="3"/>
  <c r="B110" i="3"/>
  <c r="Z109" i="3"/>
  <c r="X109" i="3"/>
  <c r="N109" i="3"/>
  <c r="L109" i="3"/>
  <c r="B109" i="3"/>
  <c r="Z108" i="3"/>
  <c r="X108" i="3"/>
  <c r="N108" i="3"/>
  <c r="L108" i="3"/>
  <c r="J108" i="3"/>
  <c r="B108" i="3"/>
  <c r="Z107" i="3"/>
  <c r="X107" i="3"/>
  <c r="N107" i="3"/>
  <c r="L107" i="3"/>
  <c r="B107" i="3"/>
  <c r="Z106" i="3"/>
  <c r="X106" i="3"/>
  <c r="N106" i="3"/>
  <c r="L106" i="3"/>
  <c r="J106" i="3"/>
  <c r="B106" i="3"/>
  <c r="Z105" i="3"/>
  <c r="X105" i="3"/>
  <c r="N105" i="3"/>
  <c r="L105" i="3"/>
  <c r="B105" i="3"/>
  <c r="Z104" i="3"/>
  <c r="X104" i="3"/>
  <c r="N104" i="3"/>
  <c r="L104" i="3"/>
  <c r="J104" i="3"/>
  <c r="B104" i="3"/>
  <c r="Z103" i="3"/>
  <c r="X103" i="3"/>
  <c r="N103" i="3"/>
  <c r="L103" i="3"/>
  <c r="B103" i="3"/>
  <c r="Z102" i="3"/>
  <c r="X102" i="3"/>
  <c r="N102" i="3"/>
  <c r="L102" i="3"/>
  <c r="J102" i="3"/>
  <c r="B102" i="3"/>
  <c r="Z101" i="3"/>
  <c r="X101" i="3"/>
  <c r="N101" i="3"/>
  <c r="L101" i="3"/>
  <c r="B101" i="3"/>
  <c r="Z100" i="3"/>
  <c r="X100" i="3"/>
  <c r="N100" i="3"/>
  <c r="L100" i="3"/>
  <c r="J100" i="3"/>
  <c r="B100" i="3"/>
  <c r="Z99" i="3"/>
  <c r="X99" i="3"/>
  <c r="N99" i="3"/>
  <c r="L99" i="3"/>
  <c r="B99" i="3"/>
  <c r="Z98" i="3"/>
  <c r="X98" i="3"/>
  <c r="N98" i="3"/>
  <c r="L98" i="3"/>
  <c r="J98" i="3"/>
  <c r="B98" i="3"/>
  <c r="X97" i="3"/>
  <c r="Z97" i="3" s="1"/>
  <c r="L97" i="3"/>
  <c r="N97" i="3" s="1"/>
  <c r="B97" i="3"/>
  <c r="T96" i="3"/>
  <c r="P96" i="3"/>
  <c r="X96" i="3" s="1"/>
  <c r="Z96" i="3" s="1"/>
  <c r="H96" i="3"/>
  <c r="D96" i="3"/>
  <c r="L96" i="3" s="1"/>
  <c r="N96" i="3" s="1"/>
  <c r="Z94" i="3"/>
  <c r="P94" i="3"/>
  <c r="X94" i="3" s="1"/>
  <c r="N94" i="3"/>
  <c r="D94" i="3"/>
  <c r="L94" i="3" s="1"/>
  <c r="B94" i="3"/>
  <c r="Z93" i="3"/>
  <c r="X93" i="3"/>
  <c r="P93" i="3"/>
  <c r="N93" i="3"/>
  <c r="L93" i="3"/>
  <c r="D93" i="3"/>
  <c r="B93" i="3"/>
  <c r="Z92" i="3"/>
  <c r="P92" i="3"/>
  <c r="X92" i="3" s="1"/>
  <c r="N92" i="3"/>
  <c r="L92" i="3"/>
  <c r="D92" i="3"/>
  <c r="B92" i="3"/>
  <c r="Z91" i="3"/>
  <c r="P91" i="3"/>
  <c r="X91" i="3" s="1"/>
  <c r="N91" i="3"/>
  <c r="D91" i="3"/>
  <c r="L91" i="3" s="1"/>
  <c r="B91" i="3"/>
  <c r="Z90" i="3"/>
  <c r="P90" i="3"/>
  <c r="X90" i="3" s="1"/>
  <c r="N90" i="3"/>
  <c r="L90" i="3"/>
  <c r="D90" i="3"/>
  <c r="B90" i="3"/>
  <c r="Z89" i="3"/>
  <c r="X89" i="3"/>
  <c r="P89" i="3"/>
  <c r="N89" i="3"/>
  <c r="D89" i="3"/>
  <c r="L89" i="3" s="1"/>
  <c r="B89" i="3"/>
  <c r="Z88" i="3"/>
  <c r="P88" i="3"/>
  <c r="X88" i="3" s="1"/>
  <c r="N88" i="3"/>
  <c r="D88" i="3"/>
  <c r="L88" i="3" s="1"/>
  <c r="B88" i="3"/>
  <c r="Z87" i="3"/>
  <c r="X87" i="3"/>
  <c r="P87" i="3"/>
  <c r="N87" i="3"/>
  <c r="D87" i="3"/>
  <c r="L87" i="3" s="1"/>
  <c r="B87" i="3"/>
  <c r="Z86" i="3"/>
  <c r="P86" i="3"/>
  <c r="X86" i="3" s="1"/>
  <c r="N86" i="3"/>
  <c r="L86" i="3"/>
  <c r="D86" i="3"/>
  <c r="B86" i="3"/>
  <c r="Z85" i="3"/>
  <c r="P85" i="3"/>
  <c r="X85" i="3" s="1"/>
  <c r="N85" i="3"/>
  <c r="D85" i="3"/>
  <c r="L85" i="3" s="1"/>
  <c r="B85" i="3"/>
  <c r="Z84" i="3"/>
  <c r="X84" i="3"/>
  <c r="P84" i="3"/>
  <c r="N84" i="3"/>
  <c r="L84" i="3"/>
  <c r="D84" i="3"/>
  <c r="B84" i="3"/>
  <c r="Z83" i="3"/>
  <c r="X83" i="3"/>
  <c r="P83" i="3"/>
  <c r="N83" i="3"/>
  <c r="D83" i="3"/>
  <c r="L83" i="3" s="1"/>
  <c r="B83" i="3"/>
  <c r="Z82" i="3"/>
  <c r="P82" i="3"/>
  <c r="X82" i="3" s="1"/>
  <c r="N82" i="3"/>
  <c r="D82" i="3"/>
  <c r="L82" i="3" s="1"/>
  <c r="B82" i="3"/>
  <c r="Z81" i="3"/>
  <c r="X81" i="3"/>
  <c r="P81" i="3"/>
  <c r="N81" i="3"/>
  <c r="L81" i="3"/>
  <c r="D81" i="3"/>
  <c r="B81" i="3"/>
  <c r="Z80" i="3"/>
  <c r="P80" i="3"/>
  <c r="X80" i="3" s="1"/>
  <c r="N80" i="3"/>
  <c r="L80" i="3"/>
  <c r="D80" i="3"/>
  <c r="B80" i="3"/>
  <c r="Z79" i="3"/>
  <c r="P79" i="3"/>
  <c r="X79" i="3" s="1"/>
  <c r="N79" i="3"/>
  <c r="D79" i="3"/>
  <c r="L79" i="3" s="1"/>
  <c r="B79" i="3"/>
  <c r="Z78" i="3"/>
  <c r="P78" i="3"/>
  <c r="X78" i="3" s="1"/>
  <c r="N78" i="3"/>
  <c r="L78" i="3"/>
  <c r="D78" i="3"/>
  <c r="B78" i="3"/>
  <c r="Z77" i="3"/>
  <c r="X77" i="3"/>
  <c r="P77" i="3"/>
  <c r="N77" i="3"/>
  <c r="D77" i="3"/>
  <c r="L77" i="3" s="1"/>
  <c r="B77" i="3"/>
  <c r="Z76" i="3"/>
  <c r="P76" i="3"/>
  <c r="X76" i="3" s="1"/>
  <c r="N76" i="3"/>
  <c r="D76" i="3"/>
  <c r="L76" i="3" s="1"/>
  <c r="B76" i="3"/>
  <c r="Z75" i="3"/>
  <c r="X75" i="3"/>
  <c r="P75" i="3"/>
  <c r="N75" i="3"/>
  <c r="D75" i="3"/>
  <c r="L75" i="3" s="1"/>
  <c r="B75" i="3"/>
  <c r="Z74" i="3"/>
  <c r="P74" i="3"/>
  <c r="X74" i="3" s="1"/>
  <c r="N74" i="3"/>
  <c r="L74" i="3"/>
  <c r="D74" i="3"/>
  <c r="B74" i="3"/>
  <c r="Z73" i="3"/>
  <c r="P73" i="3"/>
  <c r="X73" i="3" s="1"/>
  <c r="N73" i="3"/>
  <c r="D73" i="3"/>
  <c r="L73" i="3" s="1"/>
  <c r="B73" i="3"/>
  <c r="Z72" i="3"/>
  <c r="X72" i="3"/>
  <c r="P72" i="3"/>
  <c r="N72" i="3"/>
  <c r="L72" i="3"/>
  <c r="D72" i="3"/>
  <c r="B72" i="3"/>
  <c r="Z71" i="3"/>
  <c r="X71" i="3"/>
  <c r="P71" i="3"/>
  <c r="N71" i="3"/>
  <c r="D71" i="3"/>
  <c r="L71" i="3" s="1"/>
  <c r="B71" i="3"/>
  <c r="Z70" i="3"/>
  <c r="P70" i="3"/>
  <c r="X70" i="3" s="1"/>
  <c r="N70" i="3"/>
  <c r="D70" i="3"/>
  <c r="L70" i="3" s="1"/>
  <c r="B70" i="3"/>
  <c r="Z69" i="3"/>
  <c r="X69" i="3"/>
  <c r="P69" i="3"/>
  <c r="N69" i="3"/>
  <c r="L69" i="3"/>
  <c r="D69" i="3"/>
  <c r="B69" i="3"/>
  <c r="Z68" i="3"/>
  <c r="P68" i="3"/>
  <c r="X68" i="3" s="1"/>
  <c r="N68" i="3"/>
  <c r="L68" i="3"/>
  <c r="D68" i="3"/>
  <c r="B68" i="3"/>
  <c r="Z67" i="3"/>
  <c r="P67" i="3"/>
  <c r="X67" i="3" s="1"/>
  <c r="N67" i="3"/>
  <c r="D67" i="3"/>
  <c r="L67" i="3" s="1"/>
  <c r="B67" i="3"/>
  <c r="Z66" i="3"/>
  <c r="P66" i="3"/>
  <c r="X66" i="3" s="1"/>
  <c r="N66" i="3"/>
  <c r="L66" i="3"/>
  <c r="D66" i="3"/>
  <c r="B66" i="3"/>
  <c r="Z65" i="3"/>
  <c r="X65" i="3"/>
  <c r="P65" i="3"/>
  <c r="N65" i="3"/>
  <c r="D65" i="3"/>
  <c r="L65" i="3" s="1"/>
  <c r="B65" i="3"/>
  <c r="Z64" i="3"/>
  <c r="P64" i="3"/>
  <c r="X64" i="3" s="1"/>
  <c r="N64" i="3"/>
  <c r="D64" i="3"/>
  <c r="L64" i="3" s="1"/>
  <c r="B64" i="3"/>
  <c r="Z63" i="3"/>
  <c r="X63" i="3"/>
  <c r="P63" i="3"/>
  <c r="N63" i="3"/>
  <c r="D63" i="3"/>
  <c r="L63" i="3" s="1"/>
  <c r="B63" i="3"/>
  <c r="Z62" i="3"/>
  <c r="P62" i="3"/>
  <c r="X62" i="3" s="1"/>
  <c r="N62" i="3"/>
  <c r="L62" i="3"/>
  <c r="D62" i="3"/>
  <c r="B62" i="3"/>
  <c r="Z61" i="3"/>
  <c r="P61" i="3"/>
  <c r="X61" i="3" s="1"/>
  <c r="N61" i="3"/>
  <c r="D61" i="3"/>
  <c r="L61" i="3" s="1"/>
  <c r="B61" i="3"/>
  <c r="Z60" i="3"/>
  <c r="X60" i="3"/>
  <c r="P60" i="3"/>
  <c r="N60" i="3"/>
  <c r="L60" i="3"/>
  <c r="D60" i="3"/>
  <c r="B60" i="3"/>
  <c r="Z59" i="3"/>
  <c r="X59" i="3"/>
  <c r="P59" i="3"/>
  <c r="N59" i="3"/>
  <c r="D59" i="3"/>
  <c r="L59" i="3" s="1"/>
  <c r="B59" i="3"/>
  <c r="Z58" i="3"/>
  <c r="P58" i="3"/>
  <c r="X58" i="3" s="1"/>
  <c r="N58" i="3"/>
  <c r="D58" i="3"/>
  <c r="L58" i="3" s="1"/>
  <c r="B58" i="3"/>
  <c r="Z57" i="3"/>
  <c r="X57" i="3"/>
  <c r="P57" i="3"/>
  <c r="N57" i="3"/>
  <c r="L57" i="3"/>
  <c r="D57" i="3"/>
  <c r="B57" i="3"/>
  <c r="Z56" i="3"/>
  <c r="P56" i="3"/>
  <c r="X56" i="3" s="1"/>
  <c r="N56" i="3"/>
  <c r="L56" i="3"/>
  <c r="D56" i="3"/>
  <c r="B56" i="3"/>
  <c r="Z55" i="3"/>
  <c r="P55" i="3"/>
  <c r="X55" i="3" s="1"/>
  <c r="N55" i="3"/>
  <c r="D55" i="3"/>
  <c r="L55" i="3" s="1"/>
  <c r="B55" i="3"/>
  <c r="Z54" i="3"/>
  <c r="P54" i="3"/>
  <c r="X54" i="3" s="1"/>
  <c r="N54" i="3"/>
  <c r="L54" i="3"/>
  <c r="D54" i="3"/>
  <c r="B54" i="3"/>
  <c r="Z53" i="3"/>
  <c r="X53" i="3"/>
  <c r="P53" i="3"/>
  <c r="N53" i="3"/>
  <c r="D53" i="3"/>
  <c r="L53" i="3" s="1"/>
  <c r="B53" i="3"/>
  <c r="Z52" i="3"/>
  <c r="P52" i="3"/>
  <c r="X52" i="3" s="1"/>
  <c r="N52" i="3"/>
  <c r="D52" i="3"/>
  <c r="L52" i="3" s="1"/>
  <c r="B52" i="3"/>
  <c r="Z51" i="3"/>
  <c r="X51" i="3"/>
  <c r="P51" i="3"/>
  <c r="N51" i="3"/>
  <c r="D51" i="3"/>
  <c r="L51" i="3" s="1"/>
  <c r="B51" i="3"/>
  <c r="Z50" i="3"/>
  <c r="P50" i="3"/>
  <c r="X50" i="3" s="1"/>
  <c r="N50" i="3"/>
  <c r="L50" i="3"/>
  <c r="D50" i="3"/>
  <c r="B50" i="3"/>
  <c r="Z49" i="3"/>
  <c r="P49" i="3"/>
  <c r="X49" i="3" s="1"/>
  <c r="N49" i="3"/>
  <c r="D49" i="3"/>
  <c r="L49" i="3" s="1"/>
  <c r="B49" i="3"/>
  <c r="Z48" i="3"/>
  <c r="X48" i="3"/>
  <c r="P48" i="3"/>
  <c r="N48" i="3"/>
  <c r="L48" i="3"/>
  <c r="D48" i="3"/>
  <c r="B48" i="3"/>
  <c r="Z47" i="3"/>
  <c r="X47" i="3"/>
  <c r="P47" i="3"/>
  <c r="N47" i="3"/>
  <c r="D47" i="3"/>
  <c r="L47" i="3" s="1"/>
  <c r="B47" i="3"/>
  <c r="Z46" i="3"/>
  <c r="P46" i="3"/>
  <c r="X46" i="3" s="1"/>
  <c r="N46" i="3"/>
  <c r="D46" i="3"/>
  <c r="L46" i="3" s="1"/>
  <c r="B46" i="3"/>
  <c r="Z45" i="3"/>
  <c r="X45" i="3"/>
  <c r="P45" i="3"/>
  <c r="N45" i="3"/>
  <c r="L45" i="3"/>
  <c r="D45" i="3"/>
  <c r="B45" i="3"/>
  <c r="Z44" i="3"/>
  <c r="P44" i="3"/>
  <c r="X44" i="3" s="1"/>
  <c r="N44" i="3"/>
  <c r="L44" i="3"/>
  <c r="D44" i="3"/>
  <c r="B44" i="3"/>
  <c r="Z43" i="3"/>
  <c r="P43" i="3"/>
  <c r="X43" i="3" s="1"/>
  <c r="N43" i="3"/>
  <c r="D43" i="3"/>
  <c r="L43" i="3" s="1"/>
  <c r="B43" i="3"/>
  <c r="P42" i="3"/>
  <c r="X42" i="3" s="1"/>
  <c r="Z42" i="3" s="1"/>
  <c r="L42" i="3"/>
  <c r="N42" i="3" s="1"/>
  <c r="D42" i="3"/>
  <c r="B42" i="3"/>
  <c r="Z41" i="3"/>
  <c r="X41" i="3"/>
  <c r="P41" i="3"/>
  <c r="N41" i="3"/>
  <c r="D41" i="3"/>
  <c r="L41" i="3" s="1"/>
  <c r="B41" i="3"/>
  <c r="Z40" i="3"/>
  <c r="P40" i="3"/>
  <c r="X40" i="3" s="1"/>
  <c r="N40" i="3"/>
  <c r="D40" i="3"/>
  <c r="L40" i="3" s="1"/>
  <c r="B40" i="3"/>
  <c r="Z39" i="3"/>
  <c r="X39" i="3"/>
  <c r="P39" i="3"/>
  <c r="N39" i="3"/>
  <c r="D39" i="3"/>
  <c r="L39" i="3" s="1"/>
  <c r="B39" i="3"/>
  <c r="Z38" i="3"/>
  <c r="P38" i="3"/>
  <c r="X38" i="3" s="1"/>
  <c r="N38" i="3"/>
  <c r="L38" i="3"/>
  <c r="D38" i="3"/>
  <c r="B38" i="3"/>
  <c r="Z37" i="3"/>
  <c r="P37" i="3"/>
  <c r="X37" i="3" s="1"/>
  <c r="N37" i="3"/>
  <c r="D37" i="3"/>
  <c r="L37" i="3" s="1"/>
  <c r="B37" i="3"/>
  <c r="Z36" i="3"/>
  <c r="P36" i="3"/>
  <c r="X36" i="3" s="1"/>
  <c r="N36" i="3"/>
  <c r="L36" i="3"/>
  <c r="D36" i="3"/>
  <c r="B36" i="3"/>
  <c r="Z35" i="3"/>
  <c r="X35" i="3"/>
  <c r="P35" i="3"/>
  <c r="N35" i="3"/>
  <c r="D35" i="3"/>
  <c r="L35" i="3" s="1"/>
  <c r="B35" i="3"/>
  <c r="Z34" i="3"/>
  <c r="P34" i="3"/>
  <c r="X34" i="3" s="1"/>
  <c r="N34" i="3"/>
  <c r="D34" i="3"/>
  <c r="L34" i="3" s="1"/>
  <c r="B34" i="3"/>
  <c r="Z33" i="3"/>
  <c r="X33" i="3"/>
  <c r="P33" i="3"/>
  <c r="N33" i="3"/>
  <c r="D33" i="3"/>
  <c r="L33" i="3" s="1"/>
  <c r="B33" i="3"/>
  <c r="Z32" i="3"/>
  <c r="P32" i="3"/>
  <c r="X32" i="3" s="1"/>
  <c r="N32" i="3"/>
  <c r="L32" i="3"/>
  <c r="D32" i="3"/>
  <c r="B32" i="3"/>
  <c r="Z31" i="3"/>
  <c r="P31" i="3"/>
  <c r="X31" i="3" s="1"/>
  <c r="N31" i="3"/>
  <c r="D31" i="3"/>
  <c r="L31" i="3" s="1"/>
  <c r="B31" i="3"/>
  <c r="Z30" i="3"/>
  <c r="P30" i="3"/>
  <c r="X30" i="3" s="1"/>
  <c r="N30" i="3"/>
  <c r="L30" i="3"/>
  <c r="D30" i="3"/>
  <c r="B30" i="3"/>
  <c r="Z29" i="3"/>
  <c r="X29" i="3"/>
  <c r="P29" i="3"/>
  <c r="N29" i="3"/>
  <c r="D29" i="3"/>
  <c r="L29" i="3" s="1"/>
  <c r="B29" i="3"/>
  <c r="Z28" i="3"/>
  <c r="P28" i="3"/>
  <c r="X28" i="3" s="1"/>
  <c r="N28" i="3"/>
  <c r="D28" i="3"/>
  <c r="L28" i="3" s="1"/>
  <c r="B28" i="3"/>
  <c r="Z27" i="3"/>
  <c r="X27" i="3"/>
  <c r="P27" i="3"/>
  <c r="N27" i="3"/>
  <c r="D27" i="3"/>
  <c r="L27" i="3" s="1"/>
  <c r="B27" i="3"/>
  <c r="Z26" i="3"/>
  <c r="P26" i="3"/>
  <c r="X26" i="3" s="1"/>
  <c r="N26" i="3"/>
  <c r="L26" i="3"/>
  <c r="D26" i="3"/>
  <c r="B26" i="3"/>
  <c r="Z25" i="3"/>
  <c r="P25" i="3"/>
  <c r="X25" i="3" s="1"/>
  <c r="N25" i="3"/>
  <c r="D25" i="3"/>
  <c r="L25" i="3" s="1"/>
  <c r="B25" i="3"/>
  <c r="Z24" i="3"/>
  <c r="P24" i="3"/>
  <c r="X24" i="3" s="1"/>
  <c r="N24" i="3"/>
  <c r="L24" i="3"/>
  <c r="D24" i="3"/>
  <c r="B24" i="3"/>
  <c r="Z23" i="3"/>
  <c r="X23" i="3"/>
  <c r="P23" i="3"/>
  <c r="N23" i="3"/>
  <c r="D23" i="3"/>
  <c r="L23" i="3" s="1"/>
  <c r="B23" i="3"/>
  <c r="Z22" i="3"/>
  <c r="P22" i="3"/>
  <c r="X22" i="3" s="1"/>
  <c r="N22" i="3"/>
  <c r="D22" i="3"/>
  <c r="L22" i="3" s="1"/>
  <c r="B22" i="3"/>
  <c r="Z21" i="3"/>
  <c r="X21" i="3"/>
  <c r="P21" i="3"/>
  <c r="N21" i="3"/>
  <c r="D21" i="3"/>
  <c r="L21" i="3" s="1"/>
  <c r="B21" i="3"/>
  <c r="Z20" i="3"/>
  <c r="P20" i="3"/>
  <c r="X20" i="3" s="1"/>
  <c r="N20" i="3"/>
  <c r="L20" i="3"/>
  <c r="D20" i="3"/>
  <c r="B20" i="3"/>
  <c r="Z19" i="3"/>
  <c r="P19" i="3"/>
  <c r="X19" i="3" s="1"/>
  <c r="N19" i="3"/>
  <c r="D19" i="3"/>
  <c r="L19" i="3" s="1"/>
  <c r="B19" i="3"/>
  <c r="Z18" i="3"/>
  <c r="P18" i="3"/>
  <c r="P12" i="3" s="1"/>
  <c r="N18" i="3"/>
  <c r="L18" i="3"/>
  <c r="D18" i="3"/>
  <c r="B18" i="3"/>
  <c r="Z17" i="3"/>
  <c r="X17" i="3"/>
  <c r="P17" i="3"/>
  <c r="N17" i="3"/>
  <c r="D17" i="3"/>
  <c r="L17" i="3" s="1"/>
  <c r="B17" i="3"/>
  <c r="Z16" i="3"/>
  <c r="P16" i="3"/>
  <c r="X16" i="3" s="1"/>
  <c r="N16" i="3"/>
  <c r="D16" i="3"/>
  <c r="L16" i="3" s="1"/>
  <c r="B16" i="3"/>
  <c r="Z15" i="3"/>
  <c r="X15" i="3"/>
  <c r="P15" i="3"/>
  <c r="N15" i="3"/>
  <c r="D15" i="3"/>
  <c r="L15" i="3" s="1"/>
  <c r="B15" i="3"/>
  <c r="Z14" i="3"/>
  <c r="P14" i="3"/>
  <c r="X14" i="3" s="1"/>
  <c r="N14" i="3"/>
  <c r="L14" i="3"/>
  <c r="D14" i="3"/>
  <c r="B14" i="3"/>
  <c r="P13" i="3"/>
  <c r="X13" i="3" s="1"/>
  <c r="Z13" i="3" s="1"/>
  <c r="D13" i="3"/>
  <c r="D12" i="3" s="1"/>
  <c r="B13" i="3"/>
  <c r="T12" i="3"/>
  <c r="V227" i="3" s="1"/>
  <c r="H12" i="3"/>
  <c r="J254" i="3" s="1"/>
  <c r="D4" i="3"/>
  <c r="H29" i="111"/>
  <c r="T15" i="111"/>
  <c r="P29" i="47"/>
  <c r="D24" i="49"/>
  <c r="T34" i="41"/>
  <c r="H25" i="44"/>
  <c r="T16" i="32"/>
  <c r="B22" i="32"/>
  <c r="T13" i="28"/>
  <c r="P12" i="112"/>
  <c r="H16" i="50"/>
  <c r="P15" i="49"/>
  <c r="H25" i="40"/>
  <c r="D33" i="44"/>
  <c r="P20" i="34"/>
  <c r="B13" i="29"/>
  <c r="T21" i="29"/>
  <c r="H22" i="111"/>
  <c r="P25" i="50"/>
  <c r="T20" i="47"/>
  <c r="H15" i="44"/>
  <c r="P13" i="43"/>
  <c r="T16" i="35"/>
  <c r="T15" i="32"/>
  <c r="B16" i="28"/>
  <c r="D25" i="28"/>
  <c r="T16" i="112"/>
  <c r="D22" i="53"/>
  <c r="H34" i="46"/>
  <c r="T29" i="43"/>
  <c r="P20" i="41"/>
  <c r="B39" i="38"/>
  <c r="D16" i="34"/>
  <c r="T16" i="25"/>
  <c r="B25" i="111"/>
  <c r="T15" i="50"/>
  <c r="T13" i="46"/>
  <c r="T13" i="52"/>
  <c r="T22" i="40"/>
  <c r="T20" i="34"/>
  <c r="T15" i="31"/>
  <c r="T25" i="32"/>
  <c r="P16" i="111"/>
  <c r="D12" i="112"/>
  <c r="B16" i="46"/>
  <c r="H22" i="46"/>
  <c r="D20" i="41"/>
  <c r="D16" i="38"/>
  <c r="H13" i="37"/>
  <c r="B25" i="32"/>
  <c r="H33" i="26"/>
  <c r="D4" i="110"/>
  <c r="D24" i="50"/>
  <c r="P34" i="49"/>
  <c r="H34" i="40"/>
  <c r="D15" i="47"/>
  <c r="H25" i="35"/>
  <c r="D22" i="29"/>
  <c r="D15" i="31"/>
  <c r="B38" i="110"/>
  <c r="D25" i="47"/>
  <c r="T21" i="37"/>
  <c r="P12" i="28"/>
  <c r="P20" i="22"/>
  <c r="H16" i="20"/>
  <c r="H22" i="14"/>
  <c r="P13" i="7"/>
  <c r="P21" i="10"/>
  <c r="P22" i="8"/>
  <c r="D24" i="112"/>
  <c r="D21" i="50"/>
  <c r="H20" i="40"/>
  <c r="H24" i="34"/>
  <c r="H33" i="23"/>
  <c r="H24" i="19"/>
  <c r="D21" i="16"/>
  <c r="D25" i="4"/>
  <c r="D33" i="7"/>
  <c r="H34" i="4"/>
  <c r="D12" i="111"/>
  <c r="P22" i="46"/>
  <c r="D25" i="43"/>
  <c r="P12" i="29"/>
  <c r="D16" i="29"/>
  <c r="B22" i="22"/>
  <c r="B25" i="16"/>
  <c r="T13" i="7"/>
  <c r="D12" i="10"/>
  <c r="P22" i="47"/>
  <c r="P24" i="44"/>
  <c r="H16" i="32"/>
  <c r="T29" i="26"/>
  <c r="P15" i="19"/>
  <c r="B38" i="16"/>
  <c r="D21" i="10"/>
  <c r="B21" i="14"/>
  <c r="B13" i="11"/>
  <c r="P34" i="5"/>
  <c r="P33" i="46"/>
  <c r="T20" i="44"/>
  <c r="D34" i="31"/>
  <c r="T25" i="26"/>
  <c r="D5" i="19"/>
  <c r="D34" i="16"/>
  <c r="H15" i="10"/>
  <c r="D16" i="14"/>
  <c r="B38" i="10"/>
  <c r="D24" i="8"/>
  <c r="P29" i="46"/>
  <c r="D4" i="43"/>
  <c r="D33" i="31"/>
  <c r="B16" i="26"/>
  <c r="T22" i="26"/>
  <c r="D33" i="16"/>
  <c r="P21" i="8"/>
  <c r="T25" i="112"/>
  <c r="H22" i="50"/>
  <c r="P24" i="38"/>
  <c r="H16" i="112"/>
  <c r="H15" i="52"/>
  <c r="H20" i="49"/>
  <c r="H21" i="46"/>
  <c r="T29" i="44"/>
  <c r="P12" i="37"/>
  <c r="T12" i="35"/>
  <c r="T34" i="28"/>
  <c r="D5" i="25"/>
  <c r="P29" i="112"/>
  <c r="P15" i="52"/>
  <c r="P24" i="52"/>
  <c r="B38" i="41"/>
  <c r="P24" i="40"/>
  <c r="P20" i="37"/>
  <c r="H22" i="32"/>
  <c r="P29" i="25"/>
  <c r="D29" i="111"/>
  <c r="B21" i="52"/>
  <c r="T33" i="50"/>
  <c r="D21" i="47"/>
  <c r="H33" i="44"/>
  <c r="T20" i="38"/>
  <c r="D29" i="37"/>
  <c r="D20" i="32"/>
  <c r="T15" i="28"/>
  <c r="P34" i="111"/>
  <c r="D22" i="52"/>
  <c r="H13" i="50"/>
  <c r="D34" i="40"/>
  <c r="B22" i="38"/>
  <c r="B13" i="43"/>
  <c r="H13" i="31"/>
  <c r="H20" i="28"/>
  <c r="T33" i="112"/>
  <c r="P16" i="50"/>
  <c r="D20" i="49"/>
  <c r="D21" i="46"/>
  <c r="H29" i="43"/>
  <c r="T20" i="37"/>
  <c r="T24" i="35"/>
  <c r="P25" i="35"/>
  <c r="H21" i="112"/>
  <c r="P21" i="111"/>
  <c r="B16" i="49"/>
  <c r="B38" i="50"/>
  <c r="P24" i="43"/>
  <c r="D15" i="38"/>
  <c r="H15" i="34"/>
  <c r="D13" i="31"/>
  <c r="P15" i="29"/>
  <c r="B13" i="110"/>
  <c r="H33" i="52"/>
  <c r="P16" i="46"/>
  <c r="B21" i="43"/>
  <c r="T15" i="41"/>
  <c r="H25" i="38"/>
  <c r="P13" i="34"/>
  <c r="T13" i="26"/>
  <c r="D15" i="111"/>
  <c r="D34" i="46"/>
  <c r="P21" i="37"/>
  <c r="P25" i="32"/>
  <c r="T21" i="19"/>
  <c r="T24" i="23"/>
  <c r="T33" i="16"/>
  <c r="T22" i="14"/>
  <c r="B13" i="7"/>
  <c r="D5" i="4"/>
  <c r="D6" i="110"/>
  <c r="B13" i="49"/>
  <c r="T21" i="38"/>
  <c r="T25" i="31"/>
  <c r="P34" i="20"/>
  <c r="D13" i="23"/>
  <c r="T33" i="17"/>
  <c r="B16" i="11"/>
  <c r="P12" i="4"/>
  <c r="D4" i="13"/>
  <c r="H20" i="112"/>
  <c r="T13" i="50"/>
  <c r="B22" i="37"/>
  <c r="T34" i="32"/>
  <c r="P29" i="23"/>
  <c r="H22" i="19"/>
  <c r="H15" i="16"/>
  <c r="H21" i="4"/>
  <c r="T20" i="110"/>
  <c r="H16" i="52"/>
  <c r="P21" i="40"/>
  <c r="T25" i="28"/>
  <c r="D5" i="29"/>
  <c r="H15" i="22"/>
  <c r="D22" i="16"/>
  <c r="D24" i="5"/>
  <c r="T13" i="10"/>
  <c r="T21" i="8"/>
  <c r="B38" i="112"/>
  <c r="T22" i="50"/>
  <c r="P13" i="52"/>
  <c r="T33" i="35"/>
  <c r="D34" i="28"/>
  <c r="B38" i="20"/>
  <c r="H20" i="16"/>
  <c r="D22" i="5"/>
  <c r="B25" i="8"/>
  <c r="T24" i="7"/>
  <c r="H15" i="112"/>
  <c r="T25" i="53"/>
  <c r="P21" i="44"/>
  <c r="T20" i="49"/>
  <c r="T25" i="40"/>
  <c r="B25" i="40"/>
  <c r="B39" i="29"/>
  <c r="D16" i="35"/>
  <c r="P16" i="29"/>
  <c r="H15" i="110"/>
  <c r="H13" i="52"/>
  <c r="H24" i="47"/>
  <c r="T33" i="44"/>
  <c r="D29" i="43"/>
  <c r="P15" i="34"/>
  <c r="D15" i="35"/>
  <c r="H12" i="26"/>
  <c r="D20" i="112"/>
  <c r="T12" i="52"/>
  <c r="T20" i="46"/>
  <c r="H12" i="53"/>
  <c r="T21" i="41"/>
  <c r="P24" i="34"/>
  <c r="D12" i="32"/>
  <c r="T33" i="32"/>
  <c r="D5" i="112"/>
  <c r="P20" i="112"/>
  <c r="T29" i="46"/>
  <c r="B39" i="46"/>
  <c r="T21" i="43"/>
  <c r="B21" i="38"/>
  <c r="H24" i="37"/>
  <c r="B16" i="34"/>
  <c r="H24" i="28"/>
  <c r="D29" i="110"/>
  <c r="P20" i="52"/>
  <c r="P29" i="52"/>
  <c r="H24" i="41"/>
  <c r="P25" i="40"/>
  <c r="H12" i="37"/>
  <c r="P16" i="31"/>
  <c r="T33" i="31"/>
  <c r="H12" i="110"/>
  <c r="B21" i="53"/>
  <c r="T16" i="52"/>
  <c r="B38" i="46"/>
  <c r="B21" i="40"/>
  <c r="P29" i="38"/>
  <c r="H34" i="29"/>
  <c r="H16" i="31"/>
  <c r="H34" i="25"/>
  <c r="T12" i="111"/>
  <c r="B39" i="52"/>
  <c r="P16" i="49"/>
  <c r="H22" i="40"/>
  <c r="B38" i="43"/>
  <c r="H33" i="34"/>
  <c r="P12" i="43"/>
  <c r="P21" i="26"/>
  <c r="B16" i="110"/>
  <c r="B13" i="46"/>
  <c r="H34" i="34"/>
  <c r="H33" i="25"/>
  <c r="P15" i="22"/>
  <c r="D22" i="19"/>
  <c r="T24" i="16"/>
  <c r="T33" i="10"/>
  <c r="P29" i="14"/>
  <c r="D16" i="4"/>
  <c r="H21" i="110"/>
  <c r="H21" i="47"/>
  <c r="P13" i="35"/>
  <c r="T15" i="26"/>
  <c r="P16" i="22"/>
  <c r="B13" i="20"/>
  <c r="H13" i="14"/>
  <c r="H12" i="7"/>
  <c r="T15" i="10"/>
  <c r="T20" i="8"/>
  <c r="B21" i="112"/>
  <c r="H22" i="47"/>
  <c r="T22" i="37"/>
  <c r="B16" i="31"/>
  <c r="P33" i="20"/>
  <c r="T34" i="22"/>
  <c r="T29" i="17"/>
  <c r="D15" i="11"/>
  <c r="H24" i="111"/>
  <c r="D13" i="49"/>
  <c r="H20" i="43"/>
  <c r="T12" i="32"/>
  <c r="H15" i="23"/>
  <c r="D4" i="19"/>
  <c r="H33" i="14"/>
  <c r="D20" i="14"/>
  <c r="H21" i="7"/>
  <c r="H25" i="4"/>
  <c r="P16" i="110"/>
  <c r="H34" i="47"/>
  <c r="T34" i="38"/>
  <c r="D20" i="31"/>
  <c r="H34" i="22"/>
  <c r="B16" i="29"/>
  <c r="H29" i="14"/>
  <c r="P16" i="14"/>
  <c r="D13" i="7"/>
  <c r="P15" i="4"/>
  <c r="D12" i="110"/>
  <c r="D5" i="47"/>
  <c r="T33" i="38"/>
  <c r="D33" i="37"/>
  <c r="D33" i="22"/>
  <c r="P29" i="26"/>
  <c r="H25" i="14"/>
  <c r="D12" i="14"/>
  <c r="P13" i="112"/>
  <c r="T12" i="49"/>
  <c r="P15" i="38"/>
  <c r="D22" i="28"/>
  <c r="H25" i="110"/>
  <c r="T29" i="52"/>
  <c r="P13" i="47"/>
  <c r="B21" i="44"/>
  <c r="P34" i="41"/>
  <c r="P21" i="35"/>
  <c r="H21" i="34"/>
  <c r="B16" i="35"/>
  <c r="B38" i="25"/>
  <c r="P21" i="112"/>
  <c r="D25" i="52"/>
  <c r="T34" i="50"/>
  <c r="H20" i="41"/>
  <c r="T15" i="44"/>
  <c r="H25" i="37"/>
  <c r="D13" i="32"/>
  <c r="T15" i="29"/>
  <c r="D5" i="110"/>
  <c r="P12" i="52"/>
  <c r="P25" i="49"/>
  <c r="D16" i="47"/>
  <c r="H34" i="43"/>
  <c r="P24" i="37"/>
  <c r="D24" i="38"/>
  <c r="P33" i="35"/>
  <c r="D29" i="112"/>
  <c r="H34" i="112"/>
  <c r="D29" i="49"/>
  <c r="D24" i="52"/>
  <c r="H21" i="44"/>
  <c r="T25" i="38"/>
  <c r="D25" i="35"/>
  <c r="D25" i="31"/>
  <c r="D20" i="29"/>
  <c r="D24" i="110"/>
  <c r="H22" i="53"/>
  <c r="H25" i="47"/>
  <c r="D29" i="44"/>
  <c r="H22" i="43"/>
  <c r="H25" i="41"/>
  <c r="P34" i="35"/>
  <c r="P24" i="26"/>
  <c r="P20" i="110"/>
  <c r="T22" i="49"/>
  <c r="P34" i="46"/>
  <c r="P24" i="50"/>
  <c r="T22" i="41"/>
  <c r="P33" i="34"/>
  <c r="P24" i="31"/>
  <c r="D34" i="37"/>
  <c r="B21" i="28"/>
  <c r="B21" i="110"/>
  <c r="D34" i="52"/>
  <c r="D5" i="46"/>
  <c r="B25" i="41"/>
  <c r="T25" i="50"/>
  <c r="H34" i="37"/>
  <c r="D29" i="32"/>
  <c r="H20" i="34"/>
  <c r="D20" i="53"/>
  <c r="D21" i="43"/>
  <c r="H21" i="38"/>
  <c r="H16" i="26"/>
  <c r="P25" i="28"/>
  <c r="D20" i="20"/>
  <c r="P29" i="16"/>
  <c r="P33" i="14"/>
  <c r="P20" i="10"/>
  <c r="D13" i="5"/>
  <c r="B22" i="110"/>
  <c r="D33" i="46"/>
  <c r="H33" i="35"/>
  <c r="P33" i="28"/>
  <c r="D33" i="26"/>
  <c r="P15" i="23"/>
  <c r="T29" i="16"/>
  <c r="H21" i="14"/>
  <c r="P24" i="5"/>
  <c r="T15" i="14"/>
  <c r="D13" i="110"/>
  <c r="H13" i="46"/>
  <c r="H12" i="35"/>
  <c r="P24" i="25"/>
  <c r="D12" i="22"/>
  <c r="B38" i="19"/>
  <c r="D4" i="14"/>
  <c r="B22" i="5"/>
  <c r="H20" i="111"/>
  <c r="H25" i="46"/>
  <c r="T20" i="35"/>
  <c r="P20" i="29"/>
  <c r="P25" i="20"/>
  <c r="B25" i="22"/>
  <c r="B16" i="17"/>
  <c r="B21" i="10"/>
  <c r="T24" i="14"/>
  <c r="H15" i="11"/>
  <c r="B13" i="111"/>
  <c r="P15" i="46"/>
  <c r="P29" i="34"/>
  <c r="B39" i="28"/>
  <c r="T21" i="20"/>
  <c r="B21" i="22"/>
  <c r="D15" i="17"/>
  <c r="D20" i="10"/>
  <c r="D13" i="14"/>
  <c r="B25" i="10"/>
  <c r="H22" i="110"/>
  <c r="T15" i="52"/>
  <c r="P25" i="34"/>
  <c r="T20" i="26"/>
  <c r="T24" i="19"/>
  <c r="D20" i="22"/>
  <c r="T12" i="17"/>
  <c r="B16" i="13"/>
  <c r="P25" i="110"/>
  <c r="H24" i="50"/>
  <c r="D5" i="37"/>
  <c r="B25" i="28"/>
  <c r="B39" i="110"/>
  <c r="P25" i="53"/>
  <c r="H21" i="50"/>
  <c r="P20" i="49"/>
  <c r="P29" i="44"/>
  <c r="P21" i="38"/>
  <c r="D29" i="29"/>
  <c r="D16" i="31"/>
  <c r="B39" i="112"/>
  <c r="T25" i="110"/>
  <c r="T22" i="47"/>
  <c r="D29" i="47"/>
  <c r="P34" i="43"/>
  <c r="B13" i="37"/>
  <c r="D25" i="38"/>
  <c r="B38" i="34"/>
  <c r="H12" i="25"/>
  <c r="D34" i="110"/>
  <c r="P15" i="53"/>
  <c r="T13" i="53"/>
  <c r="H15" i="43"/>
  <c r="P33" i="40"/>
  <c r="T15" i="37"/>
  <c r="D5" i="32"/>
  <c r="P12" i="32"/>
  <c r="T15" i="110"/>
  <c r="P34" i="110"/>
  <c r="P12" i="46"/>
  <c r="H16" i="47"/>
  <c r="D15" i="41"/>
  <c r="P34" i="38"/>
  <c r="P25" i="31"/>
  <c r="D22" i="31"/>
  <c r="H13" i="26"/>
  <c r="T29" i="111"/>
  <c r="D29" i="53"/>
  <c r="D33" i="49"/>
  <c r="H21" i="41"/>
  <c r="T12" i="47"/>
  <c r="H22" i="35"/>
  <c r="H29" i="31"/>
  <c r="T34" i="29"/>
  <c r="D13" i="111"/>
  <c r="T24" i="53"/>
  <c r="T25" i="49"/>
  <c r="D24" i="46"/>
  <c r="T13" i="44"/>
  <c r="P34" i="37"/>
  <c r="B22" i="35"/>
  <c r="D21" i="31"/>
  <c r="D24" i="26"/>
  <c r="T34" i="110"/>
  <c r="D16" i="49"/>
  <c r="B38" i="47"/>
  <c r="D13" i="40"/>
  <c r="D22" i="37"/>
  <c r="D34" i="38"/>
  <c r="D34" i="35"/>
  <c r="P21" i="25"/>
  <c r="T33" i="52"/>
  <c r="H24" i="40"/>
  <c r="H33" i="29"/>
  <c r="P24" i="29"/>
  <c r="D4" i="22"/>
  <c r="T25" i="22"/>
  <c r="T16" i="16"/>
  <c r="T24" i="10"/>
  <c r="H12" i="5"/>
  <c r="T12" i="5"/>
  <c r="D15" i="110"/>
  <c r="D16" i="44"/>
  <c r="H29" i="34"/>
  <c r="H29" i="25"/>
  <c r="D5" i="22"/>
  <c r="H20" i="19"/>
  <c r="T22" i="16"/>
  <c r="T29" i="10"/>
  <c r="D22" i="14"/>
  <c r="T34" i="8"/>
  <c r="P24" i="112"/>
  <c r="D25" i="46"/>
  <c r="H29" i="35"/>
  <c r="H29" i="26"/>
  <c r="D25" i="26"/>
  <c r="B13" i="23"/>
  <c r="T25" i="16"/>
  <c r="B39" i="13"/>
  <c r="B21" i="111"/>
  <c r="D24" i="44"/>
  <c r="B25" i="43"/>
  <c r="P16" i="23"/>
  <c r="P22" i="20"/>
  <c r="D33" i="19"/>
  <c r="B22" i="111"/>
  <c r="H34" i="53"/>
  <c r="T15" i="46"/>
  <c r="T21" i="44"/>
  <c r="T20" i="41"/>
  <c r="P20" i="38"/>
  <c r="H33" i="32"/>
  <c r="T25" i="34"/>
  <c r="T13" i="110"/>
  <c r="T24" i="110"/>
  <c r="T21" i="52"/>
  <c r="H20" i="44"/>
  <c r="T12" i="50"/>
  <c r="D12" i="40"/>
  <c r="H21" i="37"/>
  <c r="B38" i="31"/>
  <c r="P16" i="25"/>
  <c r="D16" i="111"/>
  <c r="B39" i="53"/>
  <c r="H33" i="47"/>
  <c r="T25" i="47"/>
  <c r="B39" i="43"/>
  <c r="H34" i="44"/>
  <c r="B38" i="37"/>
  <c r="H16" i="28"/>
  <c r="H13" i="111"/>
  <c r="T21" i="50"/>
  <c r="T16" i="47"/>
  <c r="T16" i="53"/>
  <c r="H12" i="43"/>
  <c r="T13" i="35"/>
  <c r="P13" i="32"/>
  <c r="D15" i="28"/>
  <c r="D24" i="28"/>
  <c r="T13" i="112"/>
  <c r="H20" i="53"/>
  <c r="H33" i="46"/>
  <c r="T25" i="43"/>
  <c r="P16" i="41"/>
  <c r="H24" i="38"/>
  <c r="H13" i="34"/>
  <c r="T13" i="25"/>
  <c r="D24" i="111"/>
  <c r="P13" i="50"/>
  <c r="H15" i="53"/>
  <c r="H34" i="50"/>
  <c r="P12" i="40"/>
  <c r="T16" i="34"/>
  <c r="P13" i="31"/>
  <c r="B16" i="32"/>
  <c r="P22" i="110"/>
  <c r="T20" i="111"/>
  <c r="P24" i="53"/>
  <c r="B25" i="44"/>
  <c r="D21" i="40"/>
  <c r="H13" i="44"/>
  <c r="D24" i="35"/>
  <c r="H20" i="32"/>
  <c r="P15" i="26"/>
  <c r="H25" i="53"/>
  <c r="P33" i="43"/>
  <c r="D25" i="34"/>
  <c r="H16" i="25"/>
  <c r="D29" i="23"/>
  <c r="P22" i="22"/>
  <c r="T25" i="14"/>
  <c r="P15" i="7"/>
  <c r="D33" i="11"/>
  <c r="B21" i="5"/>
  <c r="D16" i="53"/>
  <c r="H13" i="41"/>
  <c r="D13" i="38"/>
  <c r="B13" i="26"/>
  <c r="T24" i="26"/>
  <c r="D16" i="20"/>
  <c r="P25" i="16"/>
  <c r="B25" i="14"/>
  <c r="P16" i="10"/>
  <c r="H24" i="4"/>
  <c r="P24" i="111"/>
  <c r="P21" i="53"/>
  <c r="D5" i="34"/>
  <c r="P15" i="25"/>
  <c r="P21" i="20"/>
  <c r="H16" i="19"/>
  <c r="P12" i="16"/>
  <c r="T25" i="10"/>
  <c r="T22" i="111"/>
  <c r="D21" i="44"/>
  <c r="P16" i="34"/>
  <c r="D5" i="26"/>
  <c r="H13" i="25"/>
  <c r="B16" i="22"/>
  <c r="D15" i="16"/>
  <c r="T29" i="13"/>
  <c r="T16" i="5"/>
  <c r="D20" i="5"/>
  <c r="P12" i="111"/>
  <c r="B22" i="50"/>
  <c r="D12" i="34"/>
  <c r="D12" i="25"/>
  <c r="D33" i="23"/>
  <c r="D15" i="22"/>
  <c r="T12" i="16"/>
  <c r="H22" i="13"/>
  <c r="T13" i="5"/>
  <c r="D21" i="4"/>
  <c r="D20" i="110"/>
  <c r="T20" i="50"/>
  <c r="H33" i="38"/>
  <c r="P12" i="31"/>
  <c r="H29" i="23"/>
  <c r="T12" i="22"/>
  <c r="B16" i="20"/>
  <c r="D13" i="13"/>
  <c r="P21" i="49"/>
  <c r="B13" i="41"/>
  <c r="B25" i="38"/>
  <c r="B25" i="25"/>
  <c r="T22" i="112"/>
  <c r="H20" i="50"/>
  <c r="T16" i="49"/>
  <c r="H29" i="40"/>
  <c r="B38" i="44"/>
  <c r="D5" i="35"/>
  <c r="H16" i="29"/>
  <c r="D24" i="34"/>
  <c r="H25" i="111"/>
  <c r="T21" i="110"/>
  <c r="P25" i="47"/>
  <c r="B25" i="47"/>
  <c r="T33" i="41"/>
  <c r="D21" i="41"/>
  <c r="T13" i="32"/>
  <c r="D21" i="32"/>
  <c r="H12" i="28"/>
  <c r="T34" i="111"/>
  <c r="D34" i="53"/>
  <c r="B21" i="50"/>
  <c r="D29" i="41"/>
  <c r="T16" i="40"/>
  <c r="B39" i="35"/>
  <c r="H34" i="31"/>
  <c r="P21" i="23"/>
  <c r="D25" i="111"/>
  <c r="D20" i="52"/>
  <c r="D15" i="50"/>
  <c r="H15" i="47"/>
  <c r="T24" i="44"/>
  <c r="T16" i="38"/>
  <c r="D13" i="37"/>
  <c r="D16" i="32"/>
  <c r="D5" i="28"/>
  <c r="P33" i="111"/>
  <c r="B13" i="52"/>
  <c r="H34" i="49"/>
  <c r="D33" i="40"/>
  <c r="D21" i="38"/>
  <c r="H34" i="41"/>
  <c r="D4" i="31"/>
  <c r="D16" i="28"/>
  <c r="T29" i="112"/>
  <c r="D12" i="50"/>
  <c r="H13" i="49"/>
  <c r="H15" i="46"/>
  <c r="H25" i="43"/>
  <c r="T16" i="37"/>
  <c r="H15" i="35"/>
  <c r="T22" i="35"/>
  <c r="H34" i="111"/>
  <c r="D6" i="112"/>
  <c r="P34" i="47"/>
  <c r="D13" i="50"/>
  <c r="T16" i="43"/>
  <c r="D20" i="37"/>
  <c r="P22" i="32"/>
  <c r="D22" i="34"/>
  <c r="D21" i="28"/>
  <c r="D13" i="53"/>
  <c r="D20" i="40"/>
  <c r="P15" i="32"/>
  <c r="H34" i="28"/>
  <c r="P15" i="20"/>
  <c r="D34" i="17"/>
  <c r="P15" i="17"/>
  <c r="T13" i="11"/>
  <c r="P12" i="8"/>
  <c r="P21" i="4"/>
  <c r="B16" i="52"/>
  <c r="H13" i="40"/>
  <c r="H29" i="29"/>
  <c r="B21" i="29"/>
  <c r="P20" i="20"/>
  <c r="T24" i="22"/>
  <c r="T13" i="16"/>
  <c r="T22" i="10"/>
  <c r="P24" i="4"/>
  <c r="D20" i="4"/>
  <c r="D21" i="52"/>
  <c r="D4" i="41"/>
  <c r="D4" i="37"/>
  <c r="D34" i="25"/>
  <c r="P12" i="26"/>
  <c r="P33" i="112"/>
  <c r="H25" i="52"/>
  <c r="P13" i="53"/>
  <c r="D16" i="43"/>
  <c r="H12" i="41"/>
  <c r="D5" i="38"/>
  <c r="H24" i="32"/>
  <c r="P33" i="25"/>
  <c r="B13" i="112"/>
  <c r="P34" i="50"/>
  <c r="D4" i="49"/>
  <c r="D13" i="46"/>
  <c r="D12" i="44"/>
  <c r="P24" i="35"/>
  <c r="D20" i="34"/>
  <c r="T33" i="28"/>
  <c r="P12" i="34"/>
  <c r="T20" i="112"/>
  <c r="D24" i="53"/>
  <c r="D4" i="47"/>
  <c r="T33" i="43"/>
  <c r="D13" i="43"/>
  <c r="D22" i="40"/>
  <c r="B21" i="34"/>
  <c r="T20" i="25"/>
  <c r="D16" i="112"/>
  <c r="P21" i="50"/>
  <c r="T16" i="46"/>
  <c r="P22" i="52"/>
  <c r="T24" i="40"/>
  <c r="P22" i="34"/>
  <c r="P21" i="31"/>
  <c r="T29" i="32"/>
  <c r="P20" i="111"/>
  <c r="P16" i="112"/>
  <c r="T25" i="46"/>
  <c r="H24" i="46"/>
  <c r="B21" i="41"/>
  <c r="D20" i="38"/>
  <c r="H22" i="37"/>
  <c r="D13" i="34"/>
  <c r="H34" i="26"/>
  <c r="D25" i="110"/>
  <c r="P16" i="52"/>
  <c r="P22" i="50"/>
  <c r="H22" i="41"/>
  <c r="T21" i="40"/>
  <c r="H34" i="35"/>
  <c r="D12" i="31"/>
  <c r="T29" i="31"/>
  <c r="D22" i="112"/>
  <c r="B22" i="52"/>
  <c r="D5" i="50"/>
  <c r="D29" i="46"/>
  <c r="D12" i="53"/>
  <c r="T24" i="37"/>
  <c r="T29" i="37"/>
  <c r="T22" i="29"/>
  <c r="H25" i="25"/>
  <c r="P12" i="47"/>
  <c r="D12" i="43"/>
  <c r="D5" i="31"/>
  <c r="H15" i="25"/>
  <c r="P22" i="23"/>
  <c r="P22" i="14"/>
  <c r="H33" i="16"/>
  <c r="D13" i="8"/>
  <c r="P15" i="5"/>
  <c r="D21" i="14"/>
  <c r="D12" i="52"/>
  <c r="P29" i="43"/>
  <c r="P20" i="32"/>
  <c r="B13" i="25"/>
  <c r="H25" i="23"/>
  <c r="T20" i="22"/>
  <c r="B16" i="14"/>
  <c r="D5" i="7"/>
  <c r="D29" i="11"/>
  <c r="D16" i="5"/>
  <c r="D15" i="52"/>
  <c r="P12" i="44"/>
  <c r="D15" i="37"/>
  <c r="H33" i="28"/>
  <c r="P16" i="20"/>
  <c r="T21" i="22"/>
  <c r="P20" i="17"/>
  <c r="P33" i="10"/>
  <c r="P29" i="50"/>
  <c r="P15" i="40"/>
  <c r="D22" i="35"/>
  <c r="D29" i="25"/>
  <c r="P34" i="23"/>
  <c r="H15" i="19"/>
  <c r="D20" i="19"/>
  <c r="D33" i="13"/>
  <c r="D20" i="8"/>
  <c r="H15" i="4"/>
  <c r="P12" i="49"/>
  <c r="D5" i="40"/>
  <c r="H15" i="37"/>
  <c r="D25" i="25"/>
  <c r="T22" i="23"/>
  <c r="P34" i="26"/>
  <c r="P21" i="17"/>
  <c r="T24" i="13"/>
  <c r="D16" i="8"/>
  <c r="D24" i="13"/>
  <c r="T34" i="53"/>
  <c r="P15" i="44"/>
  <c r="D33" i="35"/>
  <c r="H21" i="25"/>
  <c r="H21" i="23"/>
  <c r="T21" i="26"/>
  <c r="T15" i="17"/>
  <c r="T20" i="13"/>
  <c r="D13" i="52"/>
  <c r="D15" i="40"/>
  <c r="D21" i="110"/>
  <c r="H22" i="52"/>
  <c r="B39" i="47"/>
  <c r="D4" i="40"/>
  <c r="D33" i="43"/>
  <c r="H25" i="34"/>
  <c r="D20" i="35"/>
  <c r="P13" i="26"/>
  <c r="B38" i="111"/>
  <c r="B16" i="53"/>
  <c r="P20" i="53"/>
  <c r="H15" i="49"/>
  <c r="B16" i="40"/>
  <c r="P16" i="40"/>
  <c r="P16" i="44"/>
  <c r="B22" i="34"/>
  <c r="H15" i="29"/>
  <c r="H12" i="112"/>
  <c r="D21" i="53"/>
  <c r="B16" i="50"/>
  <c r="B38" i="40"/>
  <c r="B13" i="40"/>
  <c r="D22" i="43"/>
  <c r="H22" i="31"/>
  <c r="H21" i="28"/>
  <c r="T34" i="112"/>
  <c r="P20" i="50"/>
  <c r="H22" i="49"/>
  <c r="B22" i="46"/>
  <c r="H33" i="43"/>
  <c r="P22" i="37"/>
  <c r="P12" i="38"/>
  <c r="P29" i="35"/>
  <c r="D25" i="112"/>
  <c r="P15" i="112"/>
  <c r="P22" i="49"/>
  <c r="H20" i="52"/>
  <c r="H12" i="44"/>
  <c r="B16" i="38"/>
  <c r="P21" i="34"/>
  <c r="H21" i="31"/>
  <c r="T16" i="29"/>
  <c r="D22" i="110"/>
  <c r="H13" i="53"/>
  <c r="P15" i="47"/>
  <c r="T16" i="44"/>
  <c r="H13" i="43"/>
  <c r="H34" i="38"/>
  <c r="P16" i="35"/>
  <c r="P22" i="26"/>
  <c r="B22" i="112"/>
  <c r="T33" i="53"/>
  <c r="P25" i="46"/>
  <c r="D34" i="49"/>
  <c r="T33" i="40"/>
  <c r="T21" i="34"/>
  <c r="T16" i="31"/>
  <c r="T25" i="35"/>
  <c r="T21" i="32"/>
  <c r="H25" i="50"/>
  <c r="P34" i="40"/>
  <c r="T34" i="34"/>
  <c r="T24" i="28"/>
  <c r="H34" i="19"/>
  <c r="D22" i="17"/>
  <c r="B21" i="11"/>
  <c r="T25" i="4"/>
  <c r="D24" i="11"/>
  <c r="D29" i="7"/>
  <c r="H24" i="52"/>
  <c r="D16" i="40"/>
  <c r="B25" i="29"/>
  <c r="T22" i="28"/>
  <c r="D5" i="20"/>
  <c r="D33" i="17"/>
  <c r="D5" i="17"/>
  <c r="P34" i="10"/>
  <c r="T34" i="7"/>
  <c r="H12" i="4"/>
  <c r="B25" i="50"/>
  <c r="D16" i="41"/>
  <c r="P16" i="32"/>
  <c r="B21" i="23"/>
  <c r="P13" i="23"/>
  <c r="T16" i="22"/>
  <c r="D15" i="14"/>
  <c r="H24" i="7"/>
  <c r="P34" i="53"/>
  <c r="D15" i="43"/>
  <c r="D16" i="110"/>
  <c r="D29" i="52"/>
  <c r="B39" i="50"/>
  <c r="D22" i="41"/>
  <c r="H29" i="44"/>
  <c r="H29" i="37"/>
  <c r="H21" i="32"/>
  <c r="P21" i="29"/>
  <c r="P15" i="110"/>
  <c r="T25" i="52"/>
  <c r="H12" i="47"/>
  <c r="D20" i="44"/>
  <c r="P33" i="41"/>
  <c r="T15" i="35"/>
  <c r="D15" i="34"/>
  <c r="D13" i="35"/>
  <c r="H13" i="112"/>
  <c r="T12" i="110"/>
  <c r="T33" i="46"/>
  <c r="D13" i="47"/>
  <c r="P25" i="43"/>
  <c r="H12" i="40"/>
  <c r="B39" i="37"/>
  <c r="T29" i="34"/>
  <c r="H25" i="28"/>
  <c r="D33" i="110"/>
  <c r="D5" i="53"/>
  <c r="P34" i="52"/>
  <c r="B39" i="41"/>
  <c r="P29" i="40"/>
  <c r="P13" i="37"/>
  <c r="P20" i="31"/>
  <c r="T34" i="31"/>
  <c r="P13" i="110"/>
  <c r="P33" i="110"/>
  <c r="T15" i="53"/>
  <c r="B13" i="47"/>
  <c r="T12" i="41"/>
  <c r="P33" i="38"/>
  <c r="T21" i="31"/>
  <c r="H20" i="31"/>
  <c r="D4" i="26"/>
  <c r="T25" i="111"/>
  <c r="D25" i="53"/>
  <c r="H24" i="49"/>
  <c r="D13" i="41"/>
  <c r="D20" i="46"/>
  <c r="H13" i="35"/>
  <c r="H25" i="31"/>
  <c r="H25" i="29"/>
  <c r="H33" i="110"/>
  <c r="T34" i="52"/>
  <c r="P21" i="47"/>
  <c r="H16" i="46"/>
  <c r="P16" i="43"/>
  <c r="P25" i="37"/>
  <c r="T33" i="34"/>
  <c r="T33" i="37"/>
  <c r="H24" i="112"/>
  <c r="T15" i="47"/>
  <c r="P20" i="44"/>
  <c r="B13" i="31"/>
  <c r="P34" i="32"/>
  <c r="D25" i="22"/>
  <c r="D21" i="17"/>
  <c r="T20" i="7"/>
  <c r="P24" i="10"/>
  <c r="P34" i="8"/>
  <c r="P22" i="5"/>
  <c r="T34" i="46"/>
  <c r="P29" i="41"/>
  <c r="T25" i="37"/>
  <c r="T34" i="23"/>
  <c r="B39" i="22"/>
  <c r="T20" i="14"/>
  <c r="H29" i="16"/>
  <c r="B39" i="7"/>
  <c r="D5" i="5"/>
  <c r="P12" i="10"/>
  <c r="D4" i="52"/>
  <c r="T34" i="44"/>
  <c r="D24" i="29"/>
  <c r="T21" i="28"/>
  <c r="P20" i="19"/>
  <c r="D29" i="17"/>
  <c r="P20" i="16"/>
  <c r="D15" i="4"/>
  <c r="B13" i="50"/>
  <c r="H15" i="40"/>
  <c r="B38" i="29"/>
  <c r="D16" i="23"/>
  <c r="H25" i="22"/>
  <c r="T24" i="20"/>
  <c r="B21" i="13"/>
  <c r="P24" i="13"/>
  <c r="D13" i="11"/>
  <c r="H20" i="13"/>
  <c r="B38" i="49"/>
  <c r="D15" i="49"/>
  <c r="D33" i="29"/>
  <c r="T24" i="31"/>
  <c r="H24" i="22"/>
  <c r="T22" i="20"/>
  <c r="D20" i="13"/>
  <c r="D22" i="13"/>
  <c r="B39" i="10"/>
  <c r="H22" i="11"/>
  <c r="D4" i="53"/>
  <c r="D25" i="44"/>
  <c r="H21" i="29"/>
  <c r="P33" i="29"/>
  <c r="H21" i="22"/>
  <c r="P12" i="20"/>
  <c r="D16" i="13"/>
  <c r="T25" i="13"/>
  <c r="P21" i="52"/>
  <c r="P13" i="41"/>
  <c r="T24" i="34"/>
  <c r="T12" i="26"/>
  <c r="P16" i="53"/>
  <c r="H33" i="53"/>
  <c r="T12" i="34"/>
  <c r="H29" i="41"/>
  <c r="D16" i="50"/>
  <c r="H21" i="111"/>
  <c r="T34" i="35"/>
  <c r="D29" i="40"/>
  <c r="P13" i="49"/>
  <c r="D34" i="34"/>
  <c r="T15" i="23"/>
  <c r="P24" i="46"/>
  <c r="T16" i="7"/>
  <c r="D24" i="32"/>
  <c r="T20" i="10"/>
  <c r="H29" i="28"/>
  <c r="H33" i="13"/>
  <c r="T16" i="4"/>
  <c r="T16" i="50"/>
  <c r="P13" i="28"/>
  <c r="D13" i="17"/>
  <c r="D21" i="8"/>
  <c r="P12" i="110"/>
  <c r="H33" i="37"/>
  <c r="P24" i="19"/>
  <c r="P22" i="17"/>
  <c r="H29" i="52"/>
  <c r="B25" i="34"/>
  <c r="P24" i="22"/>
  <c r="D34" i="23"/>
  <c r="B38" i="53"/>
  <c r="T29" i="41"/>
  <c r="H34" i="32"/>
  <c r="D15" i="29"/>
  <c r="H29" i="20"/>
  <c r="T25" i="19"/>
  <c r="H29" i="17"/>
  <c r="T20" i="11"/>
  <c r="P33" i="47"/>
  <c r="B22" i="29"/>
  <c r="P16" i="17"/>
  <c r="T12" i="7"/>
  <c r="P20" i="7"/>
  <c r="P34" i="11"/>
  <c r="D5" i="11"/>
  <c r="H20" i="46"/>
  <c r="D34" i="22"/>
  <c r="B25" i="5"/>
  <c r="B39" i="5"/>
  <c r="D24" i="17"/>
  <c r="T12" i="8"/>
  <c r="B22" i="40"/>
  <c r="D4" i="23"/>
  <c r="D12" i="8"/>
  <c r="P16" i="47"/>
  <c r="H33" i="10"/>
  <c r="T34" i="37"/>
  <c r="T13" i="14"/>
  <c r="D12" i="11"/>
  <c r="B21" i="25"/>
  <c r="H25" i="5"/>
  <c r="P16" i="26"/>
  <c r="B21" i="8"/>
  <c r="T22" i="34"/>
  <c r="T29" i="14"/>
  <c r="D29" i="50"/>
  <c r="T34" i="13"/>
  <c r="D25" i="13"/>
  <c r="B25" i="31"/>
  <c r="T21" i="13"/>
  <c r="H15" i="8"/>
  <c r="P25" i="14"/>
  <c r="B38" i="17"/>
  <c r="H24" i="17"/>
  <c r="T13" i="34"/>
  <c r="D34" i="19"/>
  <c r="B13" i="13"/>
  <c r="D20" i="7"/>
  <c r="D5" i="14"/>
  <c r="T24" i="4"/>
  <c r="D33" i="50"/>
  <c r="D16" i="26"/>
  <c r="P22" i="112"/>
  <c r="H25" i="26"/>
  <c r="D12" i="13"/>
  <c r="T12" i="46"/>
  <c r="D33" i="5"/>
  <c r="T34" i="16"/>
  <c r="P20" i="43"/>
  <c r="H34" i="8"/>
  <c r="T25" i="25"/>
  <c r="P24" i="14"/>
  <c r="H20" i="10"/>
  <c r="D34" i="47"/>
  <c r="D33" i="25"/>
  <c r="H21" i="35"/>
  <c r="B13" i="14"/>
  <c r="B16" i="25"/>
  <c r="T21" i="25"/>
  <c r="P16" i="37"/>
  <c r="D16" i="7"/>
  <c r="D21" i="11"/>
  <c r="D20" i="47"/>
  <c r="P20" i="13"/>
  <c r="B22" i="43"/>
  <c r="B25" i="53"/>
  <c r="T13" i="49"/>
  <c r="H33" i="31"/>
  <c r="P33" i="49"/>
  <c r="P22" i="31"/>
  <c r="T34" i="40"/>
  <c r="T25" i="29"/>
  <c r="D12" i="37"/>
  <c r="T21" i="4"/>
  <c r="T33" i="110"/>
  <c r="D22" i="50"/>
  <c r="P21" i="41"/>
  <c r="P15" i="14"/>
  <c r="T29" i="29"/>
  <c r="D22" i="47"/>
  <c r="T15" i="8"/>
  <c r="D29" i="22"/>
  <c r="H24" i="53"/>
  <c r="D34" i="29"/>
  <c r="P25" i="41"/>
  <c r="H13" i="7"/>
  <c r="B38" i="8"/>
  <c r="D34" i="111"/>
  <c r="H24" i="20"/>
  <c r="B38" i="38"/>
  <c r="P34" i="16"/>
  <c r="P33" i="4"/>
  <c r="H29" i="53"/>
  <c r="H20" i="37"/>
  <c r="H16" i="37"/>
  <c r="B39" i="49"/>
  <c r="D33" i="112"/>
  <c r="D29" i="35"/>
  <c r="D34" i="44"/>
  <c r="T24" i="49"/>
  <c r="T12" i="28"/>
  <c r="D12" i="41"/>
  <c r="D25" i="50"/>
  <c r="B25" i="112"/>
  <c r="B22" i="16"/>
  <c r="H29" i="49"/>
  <c r="B16" i="4"/>
  <c r="T33" i="23"/>
  <c r="P13" i="10"/>
  <c r="D4" i="28"/>
  <c r="B21" i="19"/>
  <c r="T25" i="7"/>
  <c r="H16" i="44"/>
  <c r="B22" i="26"/>
  <c r="P33" i="13"/>
  <c r="P12" i="13"/>
  <c r="T24" i="52"/>
  <c r="T20" i="31"/>
  <c r="P13" i="19"/>
  <c r="T15" i="16"/>
  <c r="D5" i="49"/>
  <c r="B39" i="32"/>
  <c r="P12" i="19"/>
  <c r="B25" i="20"/>
  <c r="P12" i="50"/>
  <c r="D5" i="44"/>
  <c r="D4" i="32"/>
  <c r="B22" i="25"/>
  <c r="B38" i="23"/>
  <c r="D4" i="16"/>
  <c r="D4" i="17"/>
  <c r="D25" i="8"/>
  <c r="T20" i="52"/>
  <c r="P21" i="22"/>
  <c r="H22" i="17"/>
  <c r="B25" i="11"/>
  <c r="T34" i="5"/>
  <c r="P12" i="14"/>
  <c r="H20" i="14"/>
  <c r="P33" i="44"/>
  <c r="B39" i="23"/>
  <c r="P16" i="8"/>
  <c r="B22" i="11"/>
  <c r="T29" i="4"/>
  <c r="D25" i="49"/>
  <c r="B21" i="46"/>
  <c r="H25" i="19"/>
  <c r="B16" i="10"/>
  <c r="D21" i="23"/>
  <c r="H13" i="110"/>
  <c r="T16" i="26"/>
  <c r="T12" i="19"/>
  <c r="P34" i="14"/>
  <c r="D24" i="20"/>
  <c r="D33" i="10"/>
  <c r="P13" i="29"/>
  <c r="D15" i="5"/>
  <c r="B13" i="34"/>
  <c r="D21" i="5"/>
  <c r="H13" i="32"/>
  <c r="H16" i="7"/>
  <c r="H15" i="111"/>
  <c r="P29" i="28"/>
  <c r="D16" i="17"/>
  <c r="H34" i="11"/>
  <c r="T12" i="53"/>
  <c r="H25" i="17"/>
  <c r="T15" i="11"/>
  <c r="B25" i="35"/>
  <c r="B21" i="20"/>
  <c r="T34" i="4"/>
  <c r="P15" i="10"/>
  <c r="P22" i="11"/>
  <c r="D15" i="13"/>
  <c r="T12" i="44"/>
  <c r="T29" i="19"/>
  <c r="H12" i="50"/>
  <c r="D29" i="28"/>
  <c r="P34" i="17"/>
  <c r="D25" i="14"/>
  <c r="T25" i="5"/>
  <c r="P20" i="4"/>
  <c r="H33" i="11"/>
  <c r="P20" i="5"/>
  <c r="B13" i="44"/>
  <c r="T16" i="10"/>
  <c r="H12" i="14"/>
  <c r="D29" i="10"/>
  <c r="T12" i="11"/>
  <c r="T15" i="43"/>
  <c r="D12" i="28"/>
  <c r="B22" i="49"/>
  <c r="P21" i="7"/>
  <c r="T24" i="8"/>
  <c r="D22" i="111"/>
  <c r="B13" i="5"/>
  <c r="T33" i="8"/>
  <c r="D24" i="14"/>
  <c r="H13" i="22"/>
  <c r="P16" i="38"/>
  <c r="T22" i="32"/>
  <c r="P25" i="10"/>
  <c r="D24" i="4"/>
  <c r="H24" i="25"/>
  <c r="B25" i="19"/>
  <c r="H33" i="111"/>
  <c r="B22" i="14"/>
  <c r="T13" i="31"/>
  <c r="H13" i="4"/>
  <c r="T25" i="44"/>
  <c r="P24" i="20"/>
  <c r="P15" i="35"/>
  <c r="H24" i="110"/>
  <c r="H29" i="46"/>
  <c r="H20" i="17"/>
  <c r="T22" i="110"/>
  <c r="P29" i="13"/>
  <c r="H25" i="112"/>
  <c r="P12" i="22"/>
  <c r="P25" i="4"/>
  <c r="D25" i="11"/>
  <c r="D5" i="41"/>
  <c r="P13" i="46"/>
  <c r="P21" i="110"/>
  <c r="P29" i="31"/>
  <c r="D25" i="41"/>
  <c r="D16" i="52"/>
  <c r="B22" i="31"/>
  <c r="H15" i="38"/>
  <c r="D12" i="47"/>
  <c r="H29" i="110"/>
  <c r="T34" i="17"/>
  <c r="D34" i="43"/>
  <c r="P22" i="10"/>
  <c r="T34" i="26"/>
  <c r="T16" i="111"/>
  <c r="P16" i="28"/>
  <c r="D12" i="17"/>
  <c r="D12" i="4"/>
  <c r="T21" i="49"/>
  <c r="P15" i="28"/>
  <c r="H29" i="13"/>
  <c r="T13" i="4"/>
  <c r="D33" i="52"/>
  <c r="D12" i="35"/>
  <c r="B38" i="26"/>
  <c r="B39" i="17"/>
  <c r="P20" i="47"/>
  <c r="H24" i="31"/>
  <c r="P34" i="19"/>
  <c r="D13" i="19"/>
  <c r="T21" i="47"/>
  <c r="P22" i="41"/>
  <c r="B38" i="35"/>
  <c r="D12" i="29"/>
  <c r="H13" i="20"/>
  <c r="B25" i="17"/>
  <c r="H16" i="13"/>
  <c r="T33" i="4"/>
  <c r="B22" i="47"/>
  <c r="H16" i="23"/>
  <c r="P22" i="7"/>
  <c r="P12" i="7"/>
  <c r="B39" i="11"/>
  <c r="P12" i="53"/>
  <c r="H16" i="41"/>
  <c r="T13" i="41"/>
  <c r="D4" i="20"/>
  <c r="T34" i="10"/>
  <c r="T21" i="7"/>
  <c r="H21" i="10"/>
  <c r="H15" i="26"/>
  <c r="P22" i="35"/>
  <c r="P33" i="22"/>
  <c r="H34" i="7"/>
  <c r="P33" i="23"/>
  <c r="H33" i="112"/>
  <c r="D21" i="29"/>
  <c r="H24" i="14"/>
  <c r="P21" i="5"/>
  <c r="P25" i="13"/>
  <c r="D22" i="10"/>
  <c r="B22" i="10"/>
  <c r="B16" i="112"/>
  <c r="P25" i="25"/>
  <c r="H25" i="7"/>
  <c r="D4" i="25"/>
  <c r="P29" i="8"/>
  <c r="P13" i="111"/>
  <c r="H20" i="26"/>
  <c r="P15" i="13"/>
  <c r="P13" i="5"/>
  <c r="T20" i="32"/>
  <c r="T16" i="11"/>
  <c r="D15" i="7"/>
  <c r="H20" i="29"/>
  <c r="T34" i="19"/>
  <c r="D25" i="7"/>
  <c r="B16" i="5"/>
  <c r="D13" i="10"/>
  <c r="P20" i="46"/>
  <c r="T29" i="40"/>
  <c r="P24" i="16"/>
  <c r="H22" i="10"/>
  <c r="H12" i="38"/>
  <c r="D4" i="111"/>
  <c r="H13" i="5"/>
  <c r="T15" i="19"/>
  <c r="T34" i="11"/>
  <c r="T13" i="20"/>
  <c r="D25" i="10"/>
  <c r="D29" i="38"/>
  <c r="H16" i="49"/>
  <c r="P29" i="110"/>
  <c r="D29" i="31"/>
  <c r="H24" i="43"/>
  <c r="T13" i="47"/>
  <c r="B22" i="28"/>
  <c r="H22" i="38"/>
  <c r="B25" i="49"/>
  <c r="P22" i="53"/>
  <c r="D29" i="4"/>
  <c r="D33" i="34"/>
  <c r="D22" i="11"/>
  <c r="T33" i="22"/>
  <c r="B13" i="53"/>
  <c r="T25" i="23"/>
  <c r="D12" i="16"/>
  <c r="P34" i="7"/>
  <c r="T12" i="43"/>
  <c r="B16" i="23"/>
  <c r="P24" i="17"/>
  <c r="B16" i="7"/>
  <c r="H15" i="50"/>
  <c r="D25" i="32"/>
  <c r="B13" i="22"/>
  <c r="H15" i="14"/>
  <c r="D12" i="46"/>
  <c r="T15" i="34"/>
  <c r="D24" i="23"/>
  <c r="D21" i="20"/>
  <c r="P24" i="49"/>
  <c r="T20" i="40"/>
  <c r="H15" i="32"/>
  <c r="D20" i="25"/>
  <c r="B38" i="22"/>
  <c r="D13" i="16"/>
  <c r="P24" i="7"/>
  <c r="P13" i="11"/>
  <c r="D25" i="40"/>
  <c r="T24" i="25"/>
  <c r="P20" i="8"/>
  <c r="T22" i="13"/>
  <c r="B21" i="26"/>
  <c r="B39" i="40"/>
  <c r="B16" i="37"/>
  <c r="T22" i="38"/>
  <c r="T20" i="23"/>
  <c r="D4" i="8"/>
  <c r="B16" i="8"/>
  <c r="P29" i="49"/>
  <c r="H21" i="16"/>
  <c r="T22" i="43"/>
  <c r="B13" i="19"/>
  <c r="H21" i="8"/>
  <c r="P13" i="13"/>
  <c r="H34" i="52"/>
  <c r="P29" i="29"/>
  <c r="T20" i="17"/>
  <c r="H24" i="10"/>
  <c r="H34" i="13"/>
  <c r="D29" i="5"/>
  <c r="H25" i="11"/>
  <c r="H29" i="112"/>
  <c r="T16" i="28"/>
  <c r="H12" i="10"/>
  <c r="P13" i="17"/>
  <c r="D4" i="11"/>
  <c r="H21" i="53"/>
  <c r="H12" i="29"/>
  <c r="T13" i="17"/>
  <c r="H13" i="10"/>
  <c r="P29" i="22"/>
  <c r="T33" i="7"/>
  <c r="P24" i="110"/>
  <c r="T29" i="28"/>
  <c r="D15" i="19"/>
  <c r="B25" i="7"/>
  <c r="T29" i="53"/>
  <c r="B16" i="111"/>
  <c r="B39" i="31"/>
  <c r="H33" i="41"/>
  <c r="T22" i="8"/>
  <c r="D21" i="49"/>
  <c r="H24" i="23"/>
  <c r="P16" i="16"/>
  <c r="D15" i="26"/>
  <c r="B21" i="7"/>
  <c r="D5" i="23"/>
  <c r="T21" i="5"/>
  <c r="B38" i="13"/>
  <c r="D25" i="20"/>
  <c r="T29" i="50"/>
  <c r="P24" i="8"/>
  <c r="T20" i="4"/>
  <c r="D16" i="10"/>
  <c r="H22" i="25"/>
  <c r="D12" i="49"/>
  <c r="D34" i="50"/>
  <c r="T16" i="110"/>
  <c r="H20" i="35"/>
  <c r="D13" i="44"/>
  <c r="H12" i="111"/>
  <c r="D24" i="31"/>
  <c r="T13" i="40"/>
  <c r="D4" i="50"/>
  <c r="B25" i="26"/>
  <c r="P15" i="41"/>
  <c r="P25" i="44"/>
  <c r="B21" i="49"/>
  <c r="T25" i="11"/>
  <c r="T24" i="29"/>
  <c r="P33" i="8"/>
  <c r="H29" i="19"/>
  <c r="T20" i="53"/>
  <c r="P13" i="20"/>
  <c r="D5" i="16"/>
  <c r="T15" i="4"/>
  <c r="P12" i="41"/>
  <c r="T20" i="20"/>
  <c r="P21" i="16"/>
  <c r="D34" i="14"/>
  <c r="T34" i="49"/>
  <c r="T29" i="35"/>
  <c r="D34" i="20"/>
  <c r="H20" i="5"/>
  <c r="T24" i="50"/>
  <c r="B21" i="35"/>
  <c r="T20" i="19"/>
  <c r="P15" i="111"/>
  <c r="P21" i="46"/>
  <c r="D24" i="37"/>
  <c r="H15" i="31"/>
  <c r="T33" i="25"/>
  <c r="H21" i="20"/>
  <c r="D20" i="17"/>
  <c r="D34" i="4"/>
  <c r="B13" i="8"/>
  <c r="D5" i="43"/>
  <c r="H22" i="20"/>
  <c r="T22" i="11"/>
  <c r="P25" i="7"/>
  <c r="T22" i="17"/>
  <c r="H15" i="41"/>
  <c r="B22" i="20"/>
  <c r="D4" i="35"/>
  <c r="D24" i="19"/>
  <c r="D29" i="8"/>
  <c r="B22" i="4"/>
  <c r="B21" i="32"/>
  <c r="D34" i="8"/>
  <c r="H12" i="31"/>
  <c r="H21" i="26"/>
  <c r="D22" i="8"/>
  <c r="P21" i="13"/>
  <c r="T21" i="46"/>
  <c r="T34" i="14"/>
  <c r="H29" i="5"/>
  <c r="H22" i="29"/>
  <c r="P29" i="5"/>
  <c r="T29" i="7"/>
  <c r="T12" i="14"/>
  <c r="P22" i="25"/>
  <c r="B22" i="44"/>
  <c r="P34" i="25"/>
  <c r="P16" i="13"/>
  <c r="B25" i="23"/>
  <c r="T24" i="11"/>
  <c r="T22" i="7"/>
  <c r="P13" i="4"/>
  <c r="D34" i="10"/>
  <c r="P33" i="26"/>
  <c r="B25" i="13"/>
  <c r="T24" i="17"/>
  <c r="T34" i="43"/>
  <c r="T20" i="29"/>
  <c r="H22" i="28"/>
  <c r="B39" i="14"/>
  <c r="D5" i="13"/>
  <c r="T12" i="31"/>
  <c r="H22" i="5"/>
  <c r="T15" i="112"/>
  <c r="T13" i="8"/>
  <c r="B38" i="11"/>
  <c r="P20" i="25"/>
  <c r="D24" i="40"/>
  <c r="D4" i="29"/>
  <c r="H13" i="28"/>
  <c r="T21" i="111"/>
  <c r="P12" i="11"/>
  <c r="P33" i="11"/>
  <c r="T25" i="8"/>
  <c r="T29" i="25"/>
  <c r="T13" i="43"/>
  <c r="H25" i="8"/>
  <c r="B13" i="10"/>
  <c r="P29" i="10"/>
  <c r="P22" i="44"/>
  <c r="H22" i="8"/>
  <c r="P15" i="8"/>
  <c r="T29" i="110"/>
  <c r="H16" i="35"/>
  <c r="H22" i="44"/>
  <c r="T33" i="49"/>
  <c r="P22" i="29"/>
  <c r="D24" i="43"/>
  <c r="P33" i="52"/>
  <c r="T24" i="111"/>
  <c r="B38" i="32"/>
  <c r="B39" i="44"/>
  <c r="B22" i="41"/>
  <c r="D34" i="7"/>
  <c r="D13" i="28"/>
  <c r="B38" i="14"/>
  <c r="B22" i="19"/>
  <c r="P15" i="50"/>
  <c r="P21" i="19"/>
  <c r="H15" i="5"/>
  <c r="P16" i="7"/>
  <c r="P34" i="44"/>
  <c r="H12" i="20"/>
  <c r="B16" i="19"/>
  <c r="P33" i="7"/>
  <c r="D20" i="43"/>
  <c r="H33" i="50"/>
  <c r="T24" i="38"/>
  <c r="D29" i="34"/>
  <c r="T15" i="22"/>
  <c r="H22" i="23"/>
  <c r="D16" i="37"/>
  <c r="B39" i="8"/>
  <c r="D34" i="26"/>
  <c r="D22" i="32"/>
  <c r="P15" i="16"/>
  <c r="P25" i="8"/>
  <c r="H12" i="13"/>
  <c r="T15" i="25"/>
  <c r="T29" i="11"/>
  <c r="D12" i="19"/>
  <c r="B21" i="47"/>
  <c r="T12" i="112"/>
  <c r="P25" i="26"/>
  <c r="H15" i="20"/>
  <c r="H13" i="16"/>
  <c r="H15" i="7"/>
  <c r="B38" i="4"/>
  <c r="T16" i="19"/>
  <c r="D33" i="4"/>
  <c r="T20" i="28"/>
  <c r="T34" i="47"/>
  <c r="P25" i="52"/>
  <c r="P20" i="26"/>
  <c r="H13" i="38"/>
  <c r="T12" i="10"/>
  <c r="D4" i="112"/>
  <c r="D22" i="46"/>
  <c r="P25" i="17"/>
  <c r="D25" i="5"/>
  <c r="D21" i="7"/>
  <c r="H25" i="10"/>
  <c r="D34" i="5"/>
  <c r="H13" i="23"/>
  <c r="H29" i="22"/>
  <c r="P22" i="13"/>
  <c r="T25" i="17"/>
  <c r="D33" i="47"/>
  <c r="P34" i="34"/>
  <c r="D15" i="25"/>
  <c r="P21" i="32"/>
  <c r="D22" i="38"/>
  <c r="D15" i="23"/>
  <c r="D20" i="26"/>
  <c r="H24" i="44"/>
  <c r="T13" i="19"/>
  <c r="D33" i="111"/>
  <c r="B25" i="37"/>
  <c r="T21" i="17"/>
  <c r="P24" i="47"/>
  <c r="T13" i="111"/>
  <c r="B13" i="32"/>
  <c r="T16" i="41"/>
  <c r="T22" i="46"/>
  <c r="H22" i="26"/>
  <c r="H24" i="35"/>
  <c r="B25" i="46"/>
  <c r="P29" i="111"/>
  <c r="H20" i="38"/>
  <c r="P24" i="41"/>
  <c r="P25" i="38"/>
  <c r="D15" i="10"/>
  <c r="H16" i="40"/>
  <c r="P21" i="14"/>
  <c r="H22" i="4"/>
  <c r="P24" i="28"/>
  <c r="T12" i="13"/>
  <c r="D4" i="10"/>
  <c r="B16" i="44"/>
  <c r="T24" i="47"/>
  <c r="P13" i="25"/>
  <c r="T15" i="38"/>
  <c r="B22" i="53"/>
  <c r="B25" i="110"/>
  <c r="T12" i="37"/>
  <c r="T24" i="41"/>
  <c r="H16" i="53"/>
  <c r="P20" i="23"/>
  <c r="H16" i="43"/>
  <c r="D21" i="35"/>
  <c r="D4" i="5"/>
  <c r="H33" i="19"/>
  <c r="D15" i="46"/>
  <c r="H16" i="17"/>
  <c r="B16" i="47"/>
  <c r="H20" i="22"/>
  <c r="H24" i="8"/>
  <c r="T24" i="5"/>
  <c r="D4" i="38"/>
  <c r="P33" i="32"/>
  <c r="B25" i="4"/>
  <c r="P16" i="5"/>
  <c r="D24" i="41"/>
  <c r="D21" i="26"/>
  <c r="T25" i="20"/>
  <c r="B22" i="13"/>
  <c r="P15" i="43"/>
  <c r="B22" i="23"/>
  <c r="H34" i="20"/>
  <c r="T21" i="112"/>
  <c r="D24" i="47"/>
  <c r="T15" i="40"/>
  <c r="D12" i="26"/>
  <c r="P29" i="19"/>
  <c r="D29" i="26"/>
  <c r="P12" i="17"/>
  <c r="B13" i="4"/>
  <c r="H20" i="7"/>
  <c r="B13" i="38"/>
  <c r="T34" i="20"/>
  <c r="H12" i="11"/>
  <c r="D5" i="10"/>
  <c r="B38" i="5"/>
  <c r="H12" i="17"/>
  <c r="H34" i="110"/>
  <c r="T24" i="32"/>
  <c r="D24" i="16"/>
  <c r="P29" i="4"/>
  <c r="B39" i="4"/>
  <c r="D22" i="7"/>
  <c r="P22" i="111"/>
  <c r="T12" i="29"/>
  <c r="D16" i="16"/>
  <c r="H16" i="11"/>
  <c r="T22" i="52"/>
  <c r="P22" i="43"/>
  <c r="D13" i="22"/>
  <c r="T15" i="7"/>
  <c r="D24" i="10"/>
  <c r="H29" i="8"/>
  <c r="H13" i="29"/>
  <c r="H15" i="13"/>
  <c r="D16" i="46"/>
  <c r="H33" i="20"/>
  <c r="D21" i="34"/>
  <c r="D12" i="38"/>
  <c r="H29" i="38"/>
  <c r="T25" i="41"/>
  <c r="H25" i="20"/>
  <c r="D22" i="4"/>
  <c r="P21" i="28"/>
  <c r="D6" i="111"/>
  <c r="D21" i="112"/>
  <c r="B25" i="52"/>
  <c r="T13" i="29"/>
  <c r="D16" i="19"/>
  <c r="P16" i="4"/>
  <c r="D24" i="7"/>
  <c r="D29" i="16"/>
  <c r="H24" i="11"/>
  <c r="D33" i="20"/>
  <c r="P25" i="22"/>
  <c r="D21" i="37"/>
  <c r="H13" i="19"/>
  <c r="P29" i="11"/>
  <c r="T21" i="16"/>
  <c r="H22" i="16"/>
  <c r="B39" i="25"/>
  <c r="D22" i="44"/>
  <c r="D21" i="111"/>
  <c r="H29" i="32"/>
  <c r="B16" i="41"/>
  <c r="D33" i="53"/>
  <c r="P29" i="32"/>
  <c r="T13" i="38"/>
  <c r="T29" i="49"/>
  <c r="D15" i="112"/>
  <c r="H16" i="34"/>
  <c r="H12" i="22"/>
  <c r="H22" i="112"/>
  <c r="H15" i="17"/>
  <c r="T33" i="47"/>
  <c r="D16" i="11"/>
  <c r="B38" i="28"/>
  <c r="H21" i="17"/>
  <c r="B22" i="8"/>
  <c r="P29" i="53"/>
  <c r="D33" i="32"/>
  <c r="T34" i="25"/>
  <c r="T21" i="10"/>
  <c r="D34" i="112"/>
  <c r="T29" i="47"/>
  <c r="P22" i="28"/>
  <c r="H16" i="16"/>
  <c r="P34" i="112"/>
  <c r="T13" i="37"/>
  <c r="P25" i="29"/>
  <c r="D25" i="23"/>
  <c r="T22" i="53"/>
  <c r="D33" i="41"/>
  <c r="P34" i="31"/>
  <c r="T33" i="29"/>
  <c r="H22" i="22"/>
  <c r="T12" i="23"/>
  <c r="P22" i="16"/>
  <c r="P25" i="11"/>
  <c r="P25" i="111"/>
  <c r="D20" i="28"/>
  <c r="B21" i="16"/>
  <c r="B22" i="7"/>
  <c r="H33" i="5"/>
  <c r="B13" i="28"/>
  <c r="T21" i="14"/>
  <c r="T24" i="46"/>
  <c r="D33" i="28"/>
  <c r="P13" i="16"/>
  <c r="H34" i="5"/>
  <c r="H34" i="10"/>
  <c r="P24" i="23"/>
  <c r="H13" i="47"/>
  <c r="P29" i="20"/>
  <c r="H34" i="16"/>
  <c r="H16" i="4"/>
  <c r="P33" i="17"/>
  <c r="P15" i="37"/>
  <c r="D22" i="23"/>
  <c r="H22" i="7"/>
  <c r="T29" i="8"/>
  <c r="D34" i="13"/>
  <c r="D29" i="14"/>
  <c r="B39" i="20"/>
  <c r="P22" i="38"/>
  <c r="P12" i="23"/>
  <c r="P20" i="14"/>
  <c r="D13" i="20"/>
  <c r="T20" i="16"/>
  <c r="D33" i="38"/>
  <c r="T22" i="22"/>
  <c r="P12" i="5"/>
  <c r="H34" i="17"/>
  <c r="D21" i="25"/>
  <c r="H12" i="19"/>
  <c r="P21" i="43"/>
  <c r="P16" i="19"/>
  <c r="H20" i="4"/>
  <c r="H16" i="10"/>
  <c r="T24" i="43"/>
  <c r="T33" i="13"/>
  <c r="H21" i="52"/>
  <c r="T16" i="13"/>
  <c r="P29" i="7"/>
  <c r="H22" i="34"/>
  <c r="D25" i="17"/>
  <c r="T20" i="5"/>
  <c r="T16" i="17"/>
  <c r="H21" i="49"/>
  <c r="T24" i="112"/>
  <c r="T13" i="23"/>
  <c r="D13" i="26"/>
  <c r="D25" i="19"/>
  <c r="T33" i="11"/>
  <c r="B21" i="4"/>
  <c r="H21" i="11"/>
  <c r="P20" i="11"/>
  <c r="T22" i="19"/>
  <c r="H12" i="52"/>
  <c r="T29" i="22"/>
  <c r="P33" i="50"/>
  <c r="T33" i="19"/>
  <c r="D12" i="20"/>
  <c r="T22" i="4"/>
  <c r="T20" i="43"/>
  <c r="D22" i="20"/>
  <c r="D33" i="8"/>
  <c r="H33" i="17"/>
  <c r="P22" i="19"/>
  <c r="H25" i="49"/>
  <c r="D15" i="8"/>
  <c r="T13" i="13"/>
  <c r="H13" i="13"/>
  <c r="T33" i="111"/>
  <c r="D24" i="22"/>
  <c r="H16" i="22"/>
  <c r="P20" i="40"/>
  <c r="H12" i="23"/>
  <c r="H24" i="13"/>
  <c r="D20" i="16"/>
  <c r="D15" i="20"/>
  <c r="T22" i="5"/>
  <c r="T22" i="31"/>
  <c r="D4" i="46"/>
  <c r="T12" i="20"/>
  <c r="H15" i="28"/>
  <c r="P13" i="44"/>
  <c r="B13" i="35"/>
  <c r="D15" i="44"/>
  <c r="T21" i="53"/>
  <c r="H16" i="38"/>
  <c r="T29" i="38"/>
  <c r="H29" i="47"/>
  <c r="D5" i="111"/>
  <c r="H12" i="32"/>
  <c r="B16" i="43"/>
  <c r="P33" i="53"/>
  <c r="B21" i="31"/>
  <c r="B39" i="19"/>
  <c r="D20" i="50"/>
  <c r="D20" i="11"/>
  <c r="B39" i="34"/>
  <c r="H16" i="14"/>
  <c r="D34" i="32"/>
  <c r="P34" i="13"/>
  <c r="D29" i="13"/>
  <c r="B38" i="52"/>
  <c r="D12" i="23"/>
  <c r="T29" i="20"/>
  <c r="D4" i="7"/>
  <c r="H20" i="110"/>
  <c r="P13" i="38"/>
  <c r="T16" i="20"/>
  <c r="H25" i="13"/>
  <c r="D15" i="53"/>
  <c r="P24" i="32"/>
  <c r="P20" i="28"/>
  <c r="D29" i="20"/>
  <c r="H12" i="49"/>
  <c r="H21" i="40"/>
  <c r="P20" i="35"/>
  <c r="D22" i="25"/>
  <c r="P12" i="25"/>
  <c r="H20" i="23"/>
  <c r="T33" i="14"/>
  <c r="H29" i="7"/>
  <c r="T15" i="49"/>
  <c r="D24" i="25"/>
  <c r="P29" i="17"/>
  <c r="D34" i="11"/>
  <c r="H24" i="5"/>
  <c r="B13" i="17"/>
  <c r="H21" i="5"/>
  <c r="D22" i="49"/>
  <c r="P13" i="22"/>
  <c r="H13" i="17"/>
  <c r="H20" i="11"/>
  <c r="D13" i="25"/>
  <c r="P25" i="5"/>
  <c r="H29" i="50"/>
  <c r="T15" i="20"/>
  <c r="H16" i="5"/>
  <c r="D4" i="4"/>
  <c r="P34" i="4"/>
  <c r="D13" i="29"/>
  <c r="T21" i="23"/>
  <c r="H20" i="8"/>
  <c r="H29" i="10"/>
  <c r="T15" i="5"/>
  <c r="D34" i="41"/>
  <c r="H12" i="8"/>
  <c r="P13" i="40"/>
  <c r="B21" i="17"/>
  <c r="D12" i="5"/>
  <c r="B16" i="16"/>
  <c r="T21" i="11"/>
  <c r="H25" i="32"/>
  <c r="T13" i="22"/>
  <c r="B38" i="7"/>
  <c r="P33" i="5"/>
  <c r="H34" i="23"/>
  <c r="H24" i="16"/>
  <c r="H21" i="43"/>
  <c r="D21" i="22"/>
  <c r="D5" i="8"/>
  <c r="D12" i="7"/>
  <c r="P33" i="19"/>
  <c r="T16" i="8"/>
  <c r="H33" i="49"/>
  <c r="T12" i="40"/>
  <c r="B39" i="111"/>
  <c r="D15" i="32"/>
  <c r="D25" i="16"/>
  <c r="T33" i="5"/>
  <c r="T29" i="23"/>
  <c r="D5" i="52"/>
  <c r="D16" i="25"/>
  <c r="H34" i="14"/>
  <c r="T22" i="25"/>
  <c r="P13" i="8"/>
  <c r="P34" i="29"/>
  <c r="P12" i="35"/>
  <c r="P33" i="31"/>
  <c r="T12" i="4"/>
  <c r="H12" i="46"/>
  <c r="T16" i="14"/>
  <c r="H13" i="8"/>
  <c r="P33" i="37"/>
  <c r="P16" i="11"/>
  <c r="T21" i="35"/>
  <c r="B13" i="16"/>
  <c r="T29" i="5"/>
  <c r="H24" i="29"/>
  <c r="P33" i="16"/>
  <c r="D22" i="22"/>
  <c r="H20" i="47"/>
  <c r="H21" i="13"/>
  <c r="D20" i="111"/>
  <c r="B39" i="16"/>
  <c r="B39" i="26"/>
  <c r="D25" i="37"/>
  <c r="H24" i="26"/>
  <c r="D20" i="23"/>
  <c r="H33" i="8"/>
  <c r="H21" i="19"/>
  <c r="T12" i="38"/>
  <c r="D13" i="112"/>
  <c r="D25" i="29"/>
  <c r="H16" i="111"/>
  <c r="H25" i="16"/>
  <c r="D29" i="19"/>
  <c r="B21" i="37"/>
  <c r="D22" i="26"/>
  <c r="B22" i="17"/>
  <c r="H20" i="25"/>
  <c r="D16" i="22"/>
  <c r="H20" i="20"/>
  <c r="H29" i="11"/>
  <c r="H33" i="4"/>
  <c r="P25" i="19"/>
  <c r="P29" i="37"/>
  <c r="H33" i="7"/>
  <c r="P13" i="14"/>
  <c r="D33" i="14"/>
  <c r="D21" i="19"/>
  <c r="D4" i="34"/>
  <c r="P15" i="31"/>
  <c r="H13" i="11"/>
  <c r="H16" i="8"/>
  <c r="P22" i="4"/>
  <c r="T16" i="23"/>
  <c r="P22" i="40"/>
  <c r="H12" i="34"/>
  <c r="H16" i="110"/>
  <c r="T33" i="20"/>
  <c r="P24" i="11"/>
  <c r="P34" i="28"/>
  <c r="P21" i="11"/>
  <c r="D4" i="44"/>
  <c r="H33" i="40"/>
  <c r="P15" i="11"/>
  <c r="T12" i="25"/>
  <c r="T33" i="26"/>
  <c r="P34" i="22"/>
  <c r="D13" i="4"/>
  <c r="H12" i="16"/>
  <c r="D21" i="13"/>
  <c r="H29" i="4"/>
  <c r="P25" i="112"/>
  <c r="P25" i="23"/>
  <c r="H33" i="22"/>
  <c r="T15" i="13"/>
  <c r="T22" i="44"/>
  <c r="X27" i="42" l="1"/>
  <c r="X25" i="45"/>
  <c r="Z25" i="45" s="1"/>
  <c r="L51" i="70"/>
  <c r="N51" i="70" s="1"/>
  <c r="L18" i="99"/>
  <c r="L19" i="56"/>
  <c r="L21" i="97"/>
  <c r="N21" i="97" s="1"/>
  <c r="T67" i="59"/>
  <c r="P31" i="55"/>
  <c r="X23" i="79"/>
  <c r="Z23" i="79" s="1"/>
  <c r="L21" i="80"/>
  <c r="X21" i="80"/>
  <c r="Z21" i="80" s="1"/>
  <c r="H221" i="12"/>
  <c r="L19" i="57"/>
  <c r="L20" i="92"/>
  <c r="N20" i="92" s="1"/>
  <c r="L30" i="39"/>
  <c r="P119" i="42"/>
  <c r="L18" i="61"/>
  <c r="L18" i="91"/>
  <c r="N18" i="91" s="1"/>
  <c r="X18" i="100"/>
  <c r="Z18" i="100" s="1"/>
  <c r="J49" i="82"/>
  <c r="L47" i="51"/>
  <c r="N47" i="51" s="1"/>
  <c r="L52" i="27"/>
  <c r="N52" i="27" s="1"/>
  <c r="J52" i="27"/>
  <c r="N25" i="82"/>
  <c r="J25" i="82"/>
  <c r="N19" i="109"/>
  <c r="L19" i="9"/>
  <c r="L47" i="76"/>
  <c r="N47" i="76" s="1"/>
  <c r="J47" i="76"/>
  <c r="N18" i="101"/>
  <c r="Z20" i="69"/>
  <c r="H123" i="39"/>
  <c r="H127" i="39" s="1"/>
  <c r="H130" i="39" s="1"/>
  <c r="J130" i="39" s="1"/>
  <c r="H49" i="82"/>
  <c r="X141" i="3"/>
  <c r="Z37" i="24"/>
  <c r="T123" i="39"/>
  <c r="T127" i="39" s="1"/>
  <c r="V127" i="39" s="1"/>
  <c r="H119" i="42"/>
  <c r="X19" i="56"/>
  <c r="Z19" i="56" s="1"/>
  <c r="Z18" i="61"/>
  <c r="X18" i="63"/>
  <c r="Z18" i="63" s="1"/>
  <c r="X20" i="69"/>
  <c r="N23" i="79"/>
  <c r="P70" i="80"/>
  <c r="Z21" i="87"/>
  <c r="L18" i="88"/>
  <c r="Z22" i="94"/>
  <c r="Z25" i="105"/>
  <c r="Z21" i="97"/>
  <c r="X30" i="39"/>
  <c r="N18" i="59"/>
  <c r="Z18" i="60"/>
  <c r="L21" i="72"/>
  <c r="Z18" i="101"/>
  <c r="X47" i="51"/>
  <c r="Z47" i="51" s="1"/>
  <c r="N19" i="57"/>
  <c r="X25" i="82"/>
  <c r="X21" i="93"/>
  <c r="Z21" i="93" s="1"/>
  <c r="L18" i="100"/>
  <c r="N18" i="100" s="1"/>
  <c r="Z27" i="42"/>
  <c r="N18" i="58"/>
  <c r="N28" i="75"/>
  <c r="H78" i="94"/>
  <c r="L110" i="15"/>
  <c r="L132" i="18"/>
  <c r="L26" i="21"/>
  <c r="X19" i="57"/>
  <c r="Z19" i="57" s="1"/>
  <c r="X51" i="70"/>
  <c r="Z51" i="70" s="1"/>
  <c r="X75" i="74"/>
  <c r="J28" i="75"/>
  <c r="X18" i="91"/>
  <c r="Z18" i="91" s="1"/>
  <c r="T78" i="94"/>
  <c r="T82" i="94" s="1"/>
  <c r="N18" i="61"/>
  <c r="N23" i="83"/>
  <c r="P32" i="88"/>
  <c r="L25" i="95"/>
  <c r="N25" i="95" s="1"/>
  <c r="H92" i="105"/>
  <c r="J92" i="105" s="1"/>
  <c r="Z110" i="15"/>
  <c r="N28" i="33"/>
  <c r="L18" i="60"/>
  <c r="N18" i="60" s="1"/>
  <c r="L21" i="87"/>
  <c r="N21" i="87" s="1"/>
  <c r="N22" i="94"/>
  <c r="X25" i="95"/>
  <c r="Z25" i="95" s="1"/>
  <c r="L25" i="105"/>
  <c r="N25" i="105" s="1"/>
  <c r="N141" i="3"/>
  <c r="N114" i="12"/>
  <c r="V110" i="15"/>
  <c r="L18" i="63"/>
  <c r="L20" i="69"/>
  <c r="J20" i="4"/>
  <c r="J18" i="4"/>
  <c r="J16" i="4"/>
  <c r="H18" i="4"/>
  <c r="J15" i="4"/>
  <c r="N12" i="4"/>
  <c r="J36" i="4"/>
  <c r="J34" i="4"/>
  <c r="J33" i="4"/>
  <c r="J31" i="4"/>
  <c r="J29" i="4"/>
  <c r="J27" i="4"/>
  <c r="J25" i="4"/>
  <c r="J24" i="4"/>
  <c r="J22" i="4"/>
  <c r="J21" i="4"/>
  <c r="X21" i="4"/>
  <c r="X20" i="5"/>
  <c r="Z16" i="13"/>
  <c r="Z29" i="5"/>
  <c r="Z34" i="5"/>
  <c r="N29" i="10"/>
  <c r="N22" i="11"/>
  <c r="N20" i="13"/>
  <c r="L16" i="5"/>
  <c r="N24" i="11"/>
  <c r="N13" i="4"/>
  <c r="N21" i="5"/>
  <c r="X13" i="4"/>
  <c r="F21" i="5"/>
  <c r="F20" i="5"/>
  <c r="F18" i="5"/>
  <c r="F16" i="5"/>
  <c r="L12" i="5"/>
  <c r="F36" i="5"/>
  <c r="F34" i="5"/>
  <c r="F33" i="5"/>
  <c r="F31" i="5"/>
  <c r="F29" i="5"/>
  <c r="F27" i="5"/>
  <c r="F25" i="5"/>
  <c r="F24" i="5"/>
  <c r="F15" i="5"/>
  <c r="F22" i="5"/>
  <c r="D18" i="5"/>
  <c r="X16" i="5"/>
  <c r="X16" i="7"/>
  <c r="X15" i="10"/>
  <c r="N34" i="10"/>
  <c r="L20" i="4"/>
  <c r="Z12" i="5"/>
  <c r="V21" i="5"/>
  <c r="V20" i="5"/>
  <c r="V18" i="5"/>
  <c r="V16" i="5"/>
  <c r="T18" i="5"/>
  <c r="V15" i="5"/>
  <c r="V33" i="5"/>
  <c r="V27" i="5"/>
  <c r="V22" i="5"/>
  <c r="V36" i="5"/>
  <c r="V31" i="5"/>
  <c r="V25" i="5"/>
  <c r="V34" i="5"/>
  <c r="V29" i="5"/>
  <c r="V24" i="5"/>
  <c r="Z25" i="5"/>
  <c r="Z29" i="8"/>
  <c r="L25" i="5"/>
  <c r="L16" i="7"/>
  <c r="N33" i="10"/>
  <c r="L24" i="13"/>
  <c r="N15" i="4"/>
  <c r="Z12" i="8"/>
  <c r="V36" i="8"/>
  <c r="V34" i="8"/>
  <c r="V33" i="8"/>
  <c r="V31" i="8"/>
  <c r="V29" i="8"/>
  <c r="V27" i="8"/>
  <c r="V25" i="8"/>
  <c r="V21" i="8"/>
  <c r="V20" i="8"/>
  <c r="V18" i="8"/>
  <c r="V16" i="8"/>
  <c r="T18" i="8"/>
  <c r="V15" i="8"/>
  <c r="V24" i="8"/>
  <c r="V22" i="8"/>
  <c r="N24" i="4"/>
  <c r="L13" i="5"/>
  <c r="L33" i="5"/>
  <c r="L20" i="7"/>
  <c r="L15" i="8"/>
  <c r="Z33" i="8"/>
  <c r="N13" i="11"/>
  <c r="N22" i="4"/>
  <c r="Z15" i="4"/>
  <c r="X20" i="7"/>
  <c r="Z34" i="8"/>
  <c r="L16" i="4"/>
  <c r="L15" i="5"/>
  <c r="Z33" i="5"/>
  <c r="Z25" i="8"/>
  <c r="L21" i="4"/>
  <c r="L20" i="5"/>
  <c r="L12" i="7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D18" i="7"/>
  <c r="F15" i="7"/>
  <c r="Z15" i="14"/>
  <c r="L29" i="5"/>
  <c r="L34" i="5"/>
  <c r="N25" i="10"/>
  <c r="Z21" i="7"/>
  <c r="X25" i="7"/>
  <c r="X29" i="7"/>
  <c r="X33" i="7"/>
  <c r="X34" i="7"/>
  <c r="Z13" i="8"/>
  <c r="Z16" i="8"/>
  <c r="Z20" i="8"/>
  <c r="X22" i="8"/>
  <c r="X24" i="8"/>
  <c r="N16" i="10"/>
  <c r="N20" i="10"/>
  <c r="L22" i="10"/>
  <c r="L24" i="10"/>
  <c r="N15" i="11"/>
  <c r="L21" i="11"/>
  <c r="N21" i="13"/>
  <c r="Z22" i="13"/>
  <c r="L25" i="13"/>
  <c r="N20" i="14"/>
  <c r="Z21" i="14"/>
  <c r="L24" i="14"/>
  <c r="X25" i="14"/>
  <c r="X15" i="4"/>
  <c r="N25" i="4"/>
  <c r="N29" i="4"/>
  <c r="N33" i="4"/>
  <c r="N34" i="4"/>
  <c r="N13" i="5"/>
  <c r="N22" i="5"/>
  <c r="N24" i="5"/>
  <c r="R21" i="7"/>
  <c r="R20" i="7"/>
  <c r="R18" i="7"/>
  <c r="R16" i="7"/>
  <c r="R36" i="7"/>
  <c r="R34" i="7"/>
  <c r="R33" i="7"/>
  <c r="R31" i="7"/>
  <c r="R29" i="7"/>
  <c r="R27" i="7"/>
  <c r="R25" i="7"/>
  <c r="R24" i="7"/>
  <c r="R22" i="7"/>
  <c r="X12" i="7"/>
  <c r="P18" i="7"/>
  <c r="R15" i="7"/>
  <c r="Z22" i="7"/>
  <c r="Z24" i="7"/>
  <c r="Z21" i="8"/>
  <c r="X25" i="8"/>
  <c r="X29" i="8"/>
  <c r="X33" i="8"/>
  <c r="X34" i="8"/>
  <c r="L13" i="10"/>
  <c r="N21" i="10"/>
  <c r="L25" i="10"/>
  <c r="L29" i="10"/>
  <c r="L33" i="10"/>
  <c r="L34" i="10"/>
  <c r="N16" i="11"/>
  <c r="N20" i="11"/>
  <c r="L22" i="11"/>
  <c r="L24" i="11"/>
  <c r="L15" i="13"/>
  <c r="Z33" i="13"/>
  <c r="R21" i="14"/>
  <c r="R16" i="14"/>
  <c r="R33" i="14"/>
  <c r="R27" i="14"/>
  <c r="R22" i="14"/>
  <c r="R18" i="14"/>
  <c r="P18" i="14"/>
  <c r="R34" i="14"/>
  <c r="R29" i="14"/>
  <c r="R24" i="14"/>
  <c r="R15" i="14"/>
  <c r="X12" i="14"/>
  <c r="R36" i="14"/>
  <c r="R31" i="14"/>
  <c r="R25" i="14"/>
  <c r="R20" i="14"/>
  <c r="L29" i="14"/>
  <c r="L34" i="14"/>
  <c r="F24" i="4"/>
  <c r="F22" i="4"/>
  <c r="F21" i="4"/>
  <c r="L12" i="4"/>
  <c r="F36" i="4"/>
  <c r="F31" i="4"/>
  <c r="F25" i="4"/>
  <c r="F16" i="4"/>
  <c r="F33" i="4"/>
  <c r="F34" i="4"/>
  <c r="F29" i="4"/>
  <c r="F20" i="4"/>
  <c r="F15" i="4"/>
  <c r="F27" i="4"/>
  <c r="F18" i="4"/>
  <c r="D18" i="4"/>
  <c r="X16" i="4"/>
  <c r="X20" i="4"/>
  <c r="X15" i="5"/>
  <c r="N25" i="5"/>
  <c r="N29" i="5"/>
  <c r="N33" i="5"/>
  <c r="N34" i="5"/>
  <c r="T18" i="7"/>
  <c r="V15" i="7"/>
  <c r="Z12" i="7"/>
  <c r="V24" i="7"/>
  <c r="V22" i="7"/>
  <c r="V21" i="7"/>
  <c r="V20" i="7"/>
  <c r="V18" i="7"/>
  <c r="V16" i="7"/>
  <c r="V31" i="7"/>
  <c r="V29" i="7"/>
  <c r="V27" i="7"/>
  <c r="V34" i="7"/>
  <c r="V36" i="7"/>
  <c r="V25" i="7"/>
  <c r="V33" i="7"/>
  <c r="L15" i="7"/>
  <c r="Z25" i="7"/>
  <c r="Z29" i="7"/>
  <c r="Z33" i="7"/>
  <c r="Z34" i="7"/>
  <c r="R20" i="8"/>
  <c r="R18" i="8"/>
  <c r="R16" i="8"/>
  <c r="P18" i="8"/>
  <c r="R15" i="8"/>
  <c r="X12" i="8"/>
  <c r="R36" i="8"/>
  <c r="R34" i="8"/>
  <c r="R33" i="8"/>
  <c r="R31" i="8"/>
  <c r="R29" i="8"/>
  <c r="R27" i="8"/>
  <c r="R25" i="8"/>
  <c r="R24" i="8"/>
  <c r="R22" i="8"/>
  <c r="R21" i="8"/>
  <c r="Z22" i="8"/>
  <c r="Z24" i="8"/>
  <c r="N13" i="10"/>
  <c r="N22" i="10"/>
  <c r="N24" i="10"/>
  <c r="L13" i="11"/>
  <c r="N21" i="11"/>
  <c r="L25" i="11"/>
  <c r="L29" i="11"/>
  <c r="L33" i="11"/>
  <c r="L34" i="11"/>
  <c r="N12" i="13"/>
  <c r="J36" i="13"/>
  <c r="J34" i="13"/>
  <c r="J33" i="13"/>
  <c r="J31" i="13"/>
  <c r="J29" i="13"/>
  <c r="J27" i="13"/>
  <c r="J25" i="13"/>
  <c r="J24" i="13"/>
  <c r="J22" i="13"/>
  <c r="J18" i="13"/>
  <c r="H18" i="13"/>
  <c r="J20" i="13"/>
  <c r="J21" i="13"/>
  <c r="J16" i="13"/>
  <c r="J15" i="13"/>
  <c r="N15" i="13"/>
  <c r="X21" i="13"/>
  <c r="X20" i="14"/>
  <c r="Z13" i="4"/>
  <c r="Z16" i="4"/>
  <c r="Z20" i="4"/>
  <c r="X22" i="4"/>
  <c r="X24" i="4"/>
  <c r="H18" i="5"/>
  <c r="J15" i="5"/>
  <c r="N12" i="5"/>
  <c r="J24" i="5"/>
  <c r="J22" i="5"/>
  <c r="J21" i="5"/>
  <c r="J20" i="5"/>
  <c r="J33" i="5"/>
  <c r="J27" i="5"/>
  <c r="J18" i="5"/>
  <c r="J16" i="5"/>
  <c r="J36" i="5"/>
  <c r="J31" i="5"/>
  <c r="J25" i="5"/>
  <c r="J34" i="5"/>
  <c r="J29" i="5"/>
  <c r="X13" i="5"/>
  <c r="Z15" i="5"/>
  <c r="X21" i="5"/>
  <c r="N15" i="7"/>
  <c r="L21" i="7"/>
  <c r="L16" i="8"/>
  <c r="L20" i="8"/>
  <c r="F20" i="10"/>
  <c r="F18" i="10"/>
  <c r="F16" i="10"/>
  <c r="D18" i="10"/>
  <c r="F15" i="10"/>
  <c r="L12" i="10"/>
  <c r="F36" i="10"/>
  <c r="F34" i="10"/>
  <c r="F33" i="10"/>
  <c r="F31" i="10"/>
  <c r="F29" i="10"/>
  <c r="F27" i="10"/>
  <c r="F25" i="10"/>
  <c r="F24" i="10"/>
  <c r="F22" i="10"/>
  <c r="F21" i="10"/>
  <c r="X16" i="10"/>
  <c r="X20" i="10"/>
  <c r="X15" i="11"/>
  <c r="N25" i="11"/>
  <c r="N29" i="11"/>
  <c r="N33" i="11"/>
  <c r="N34" i="11"/>
  <c r="R24" i="13"/>
  <c r="R22" i="13"/>
  <c r="P18" i="13"/>
  <c r="R15" i="13"/>
  <c r="X12" i="13"/>
  <c r="R18" i="13"/>
  <c r="R34" i="13"/>
  <c r="R29" i="13"/>
  <c r="R20" i="13"/>
  <c r="R36" i="13"/>
  <c r="R31" i="13"/>
  <c r="R25" i="13"/>
  <c r="R16" i="13"/>
  <c r="R33" i="13"/>
  <c r="R27" i="13"/>
  <c r="R21" i="13"/>
  <c r="L29" i="13"/>
  <c r="L34" i="13"/>
  <c r="L22" i="14"/>
  <c r="X29" i="14"/>
  <c r="X34" i="14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N12" i="10"/>
  <c r="J36" i="10"/>
  <c r="J34" i="10"/>
  <c r="J33" i="10"/>
  <c r="J31" i="10"/>
  <c r="J29" i="10"/>
  <c r="J27" i="10"/>
  <c r="J25" i="10"/>
  <c r="J21" i="10"/>
  <c r="J20" i="10"/>
  <c r="J18" i="10"/>
  <c r="J16" i="10"/>
  <c r="H18" i="10"/>
  <c r="J15" i="10"/>
  <c r="J24" i="10"/>
  <c r="J22" i="10"/>
  <c r="X13" i="10"/>
  <c r="Z15" i="10"/>
  <c r="X21" i="10"/>
  <c r="D18" i="11"/>
  <c r="F15" i="11"/>
  <c r="L12" i="11"/>
  <c r="F24" i="11"/>
  <c r="F22" i="11"/>
  <c r="F21" i="11"/>
  <c r="F20" i="11"/>
  <c r="F18" i="11"/>
  <c r="F16" i="11"/>
  <c r="F36" i="11"/>
  <c r="F34" i="11"/>
  <c r="F33" i="11"/>
  <c r="F31" i="11"/>
  <c r="F25" i="11"/>
  <c r="F29" i="11"/>
  <c r="F27" i="11"/>
  <c r="X16" i="11"/>
  <c r="X20" i="11"/>
  <c r="V20" i="13"/>
  <c r="V18" i="13"/>
  <c r="V16" i="13"/>
  <c r="V36" i="13"/>
  <c r="V34" i="13"/>
  <c r="V33" i="13"/>
  <c r="V31" i="13"/>
  <c r="V29" i="13"/>
  <c r="V27" i="13"/>
  <c r="V25" i="13"/>
  <c r="T18" i="13"/>
  <c r="V24" i="13"/>
  <c r="V15" i="13"/>
  <c r="Z12" i="13"/>
  <c r="V21" i="13"/>
  <c r="V22" i="13"/>
  <c r="N24" i="13"/>
  <c r="Z25" i="13"/>
  <c r="L13" i="14"/>
  <c r="Z24" i="14"/>
  <c r="L33" i="14"/>
  <c r="R36" i="4"/>
  <c r="R34" i="4"/>
  <c r="R33" i="4"/>
  <c r="R31" i="4"/>
  <c r="R29" i="4"/>
  <c r="R27" i="4"/>
  <c r="R25" i="4"/>
  <c r="R24" i="4"/>
  <c r="R22" i="4"/>
  <c r="R21" i="4"/>
  <c r="P18" i="4"/>
  <c r="R15" i="4"/>
  <c r="R20" i="4"/>
  <c r="R18" i="4"/>
  <c r="X12" i="4"/>
  <c r="R16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Z13" i="10"/>
  <c r="Z16" i="10"/>
  <c r="Z20" i="10"/>
  <c r="X22" i="10"/>
  <c r="X24" i="10"/>
  <c r="N12" i="11"/>
  <c r="J36" i="11"/>
  <c r="J34" i="11"/>
  <c r="J33" i="11"/>
  <c r="J31" i="11"/>
  <c r="J29" i="11"/>
  <c r="J27" i="11"/>
  <c r="J25" i="11"/>
  <c r="J24" i="11"/>
  <c r="J22" i="11"/>
  <c r="J20" i="11"/>
  <c r="J18" i="11"/>
  <c r="J16" i="11"/>
  <c r="H18" i="11"/>
  <c r="J15" i="11"/>
  <c r="J21" i="11"/>
  <c r="X13" i="11"/>
  <c r="Z15" i="11"/>
  <c r="X21" i="11"/>
  <c r="Z15" i="13"/>
  <c r="L16" i="14"/>
  <c r="V24" i="4"/>
  <c r="V22" i="4"/>
  <c r="V21" i="4"/>
  <c r="V20" i="4"/>
  <c r="V18" i="4"/>
  <c r="V16" i="4"/>
  <c r="T18" i="4"/>
  <c r="V15" i="4"/>
  <c r="V34" i="4"/>
  <c r="V29" i="4"/>
  <c r="V33" i="4"/>
  <c r="V27" i="4"/>
  <c r="Z12" i="4"/>
  <c r="V36" i="4"/>
  <c r="V31" i="4"/>
  <c r="V25" i="4"/>
  <c r="L15" i="4"/>
  <c r="Z25" i="4"/>
  <c r="Z29" i="4"/>
  <c r="Z33" i="4"/>
  <c r="Z34" i="4"/>
  <c r="R36" i="5"/>
  <c r="R34" i="5"/>
  <c r="R33" i="5"/>
  <c r="R31" i="5"/>
  <c r="R29" i="5"/>
  <c r="R27" i="5"/>
  <c r="R25" i="5"/>
  <c r="R24" i="5"/>
  <c r="R22" i="5"/>
  <c r="R21" i="5"/>
  <c r="R20" i="5"/>
  <c r="R18" i="5"/>
  <c r="R16" i="5"/>
  <c r="P18" i="5"/>
  <c r="X12" i="5"/>
  <c r="R15" i="5"/>
  <c r="Z22" i="5"/>
  <c r="Z24" i="5"/>
  <c r="N13" i="7"/>
  <c r="N22" i="7"/>
  <c r="N24" i="7"/>
  <c r="L13" i="8"/>
  <c r="N21" i="8"/>
  <c r="L25" i="8"/>
  <c r="L29" i="8"/>
  <c r="L33" i="8"/>
  <c r="L34" i="8"/>
  <c r="Z21" i="10"/>
  <c r="X25" i="10"/>
  <c r="X29" i="10"/>
  <c r="X33" i="10"/>
  <c r="X34" i="10"/>
  <c r="Z13" i="11"/>
  <c r="Z16" i="11"/>
  <c r="Z20" i="11"/>
  <c r="X22" i="11"/>
  <c r="X24" i="11"/>
  <c r="Z20" i="13"/>
  <c r="L22" i="13"/>
  <c r="X24" i="13"/>
  <c r="X13" i="14"/>
  <c r="L21" i="14"/>
  <c r="X15" i="7"/>
  <c r="N25" i="7"/>
  <c r="N29" i="7"/>
  <c r="N33" i="7"/>
  <c r="N34" i="7"/>
  <c r="N13" i="8"/>
  <c r="N22" i="8"/>
  <c r="N24" i="8"/>
  <c r="X12" i="10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Z22" i="10"/>
  <c r="Z24" i="10"/>
  <c r="Z21" i="11"/>
  <c r="X25" i="11"/>
  <c r="X29" i="11"/>
  <c r="X33" i="11"/>
  <c r="X34" i="11"/>
  <c r="L13" i="13"/>
  <c r="Z24" i="13"/>
  <c r="L33" i="13"/>
  <c r="N16" i="14"/>
  <c r="X33" i="14"/>
  <c r="X15" i="8"/>
  <c r="N25" i="8"/>
  <c r="N29" i="8"/>
  <c r="N33" i="8"/>
  <c r="N34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Z22" i="11"/>
  <c r="Z24" i="11"/>
  <c r="N13" i="13"/>
  <c r="N22" i="13"/>
  <c r="Z29" i="13"/>
  <c r="Z34" i="13"/>
  <c r="N21" i="14"/>
  <c r="Z22" i="14"/>
  <c r="L25" i="14"/>
  <c r="N16" i="4"/>
  <c r="N20" i="4"/>
  <c r="L22" i="4"/>
  <c r="L24" i="4"/>
  <c r="N15" i="5"/>
  <c r="L21" i="5"/>
  <c r="J24" i="7"/>
  <c r="J22" i="7"/>
  <c r="J21" i="7"/>
  <c r="J20" i="7"/>
  <c r="J18" i="7"/>
  <c r="J16" i="7"/>
  <c r="H18" i="7"/>
  <c r="J15" i="7"/>
  <c r="N12" i="7"/>
  <c r="J31" i="7"/>
  <c r="J29" i="7"/>
  <c r="J27" i="7"/>
  <c r="J36" i="7"/>
  <c r="J25" i="7"/>
  <c r="J34" i="7"/>
  <c r="J33" i="7"/>
  <c r="X13" i="7"/>
  <c r="Z15" i="7"/>
  <c r="X21" i="7"/>
  <c r="F36" i="8"/>
  <c r="F34" i="8"/>
  <c r="F33" i="8"/>
  <c r="F31" i="8"/>
  <c r="F29" i="8"/>
  <c r="F27" i="8"/>
  <c r="F25" i="8"/>
  <c r="F24" i="8"/>
  <c r="F22" i="8"/>
  <c r="F21" i="8"/>
  <c r="F20" i="8"/>
  <c r="F18" i="8"/>
  <c r="F16" i="8"/>
  <c r="D18" i="8"/>
  <c r="F15" i="8"/>
  <c r="L12" i="8"/>
  <c r="X16" i="8"/>
  <c r="X20" i="8"/>
  <c r="L16" i="10"/>
  <c r="L20" i="10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Z12" i="11"/>
  <c r="L15" i="11"/>
  <c r="Z25" i="11"/>
  <c r="Z29" i="11"/>
  <c r="Z33" i="11"/>
  <c r="Z34" i="11"/>
  <c r="X13" i="13"/>
  <c r="L21" i="13"/>
  <c r="L12" i="14"/>
  <c r="F36" i="14"/>
  <c r="F34" i="14"/>
  <c r="F33" i="14"/>
  <c r="F31" i="14"/>
  <c r="F29" i="14"/>
  <c r="F27" i="14"/>
  <c r="F25" i="14"/>
  <c r="F20" i="14"/>
  <c r="F15" i="14"/>
  <c r="F21" i="14"/>
  <c r="F16" i="14"/>
  <c r="F22" i="14"/>
  <c r="D18" i="14"/>
  <c r="F24" i="14"/>
  <c r="F18" i="14"/>
  <c r="X16" i="14"/>
  <c r="L20" i="14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J36" i="8"/>
  <c r="J34" i="8"/>
  <c r="J33" i="8"/>
  <c r="J31" i="8"/>
  <c r="J29" i="8"/>
  <c r="J27" i="8"/>
  <c r="J25" i="8"/>
  <c r="J24" i="8"/>
  <c r="J22" i="8"/>
  <c r="J21" i="8"/>
  <c r="J20" i="8"/>
  <c r="J18" i="8"/>
  <c r="J16" i="8"/>
  <c r="H18" i="8"/>
  <c r="J15" i="8"/>
  <c r="N12" i="8"/>
  <c r="X13" i="8"/>
  <c r="Z15" i="8"/>
  <c r="X21" i="8"/>
  <c r="N15" i="10"/>
  <c r="L21" i="10"/>
  <c r="L16" i="11"/>
  <c r="L20" i="11"/>
  <c r="Z13" i="13"/>
  <c r="N16" i="13"/>
  <c r="X22" i="13"/>
  <c r="J24" i="14"/>
  <c r="J22" i="14"/>
  <c r="J21" i="14"/>
  <c r="J36" i="14"/>
  <c r="J31" i="14"/>
  <c r="J25" i="14"/>
  <c r="J16" i="14"/>
  <c r="J33" i="14"/>
  <c r="J27" i="14"/>
  <c r="J18" i="14"/>
  <c r="H18" i="14"/>
  <c r="J34" i="14"/>
  <c r="J29" i="14"/>
  <c r="J20" i="14"/>
  <c r="J15" i="14"/>
  <c r="N12" i="14"/>
  <c r="N15" i="14"/>
  <c r="X21" i="14"/>
  <c r="X15" i="16"/>
  <c r="N25" i="16"/>
  <c r="N29" i="16"/>
  <c r="N33" i="16"/>
  <c r="N34" i="16"/>
  <c r="N13" i="17"/>
  <c r="N22" i="17"/>
  <c r="N24" i="17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L12" i="16"/>
  <c r="X16" i="16"/>
  <c r="X20" i="16"/>
  <c r="X15" i="17"/>
  <c r="N25" i="17"/>
  <c r="N29" i="17"/>
  <c r="N33" i="17"/>
  <c r="N34" i="17"/>
  <c r="L16" i="19"/>
  <c r="L16" i="13"/>
  <c r="L20" i="13"/>
  <c r="T18" i="14"/>
  <c r="V15" i="14"/>
  <c r="V24" i="14"/>
  <c r="V22" i="14"/>
  <c r="V33" i="14"/>
  <c r="V27" i="14"/>
  <c r="V18" i="14"/>
  <c r="V34" i="14"/>
  <c r="V29" i="14"/>
  <c r="V20" i="14"/>
  <c r="V36" i="14"/>
  <c r="V31" i="14"/>
  <c r="V25" i="14"/>
  <c r="V21" i="14"/>
  <c r="V16" i="14"/>
  <c r="Z12" i="14"/>
  <c r="L15" i="14"/>
  <c r="Z25" i="14"/>
  <c r="Z29" i="14"/>
  <c r="Z33" i="14"/>
  <c r="Z34" i="14"/>
  <c r="J21" i="16"/>
  <c r="J20" i="16"/>
  <c r="J18" i="16"/>
  <c r="J16" i="16"/>
  <c r="H18" i="16"/>
  <c r="J15" i="16"/>
  <c r="N12" i="16"/>
  <c r="J36" i="16"/>
  <c r="J34" i="16"/>
  <c r="J33" i="16"/>
  <c r="J31" i="16"/>
  <c r="J29" i="16"/>
  <c r="J27" i="16"/>
  <c r="J25" i="16"/>
  <c r="J24" i="16"/>
  <c r="J22" i="16"/>
  <c r="X13" i="16"/>
  <c r="Z15" i="16"/>
  <c r="X21" i="16"/>
  <c r="F24" i="17"/>
  <c r="F22" i="17"/>
  <c r="F21" i="17"/>
  <c r="F20" i="17"/>
  <c r="F18" i="17"/>
  <c r="F16" i="17"/>
  <c r="D18" i="17"/>
  <c r="F15" i="17"/>
  <c r="L12" i="17"/>
  <c r="F36" i="17"/>
  <c r="F34" i="17"/>
  <c r="F33" i="17"/>
  <c r="F31" i="17"/>
  <c r="F29" i="17"/>
  <c r="F27" i="17"/>
  <c r="F25" i="17"/>
  <c r="X16" i="17"/>
  <c r="X20" i="17"/>
  <c r="Z13" i="16"/>
  <c r="Z16" i="16"/>
  <c r="Z20" i="16"/>
  <c r="X22" i="16"/>
  <c r="X24" i="16"/>
  <c r="J20" i="17"/>
  <c r="J18" i="17"/>
  <c r="J16" i="17"/>
  <c r="H18" i="17"/>
  <c r="J15" i="17"/>
  <c r="N12" i="17"/>
  <c r="J36" i="17"/>
  <c r="J34" i="17"/>
  <c r="J33" i="17"/>
  <c r="J31" i="17"/>
  <c r="J29" i="17"/>
  <c r="J27" i="17"/>
  <c r="J25" i="17"/>
  <c r="J24" i="17"/>
  <c r="J22" i="17"/>
  <c r="J21" i="17"/>
  <c r="X13" i="17"/>
  <c r="Z15" i="17"/>
  <c r="X21" i="17"/>
  <c r="L20" i="19"/>
  <c r="V20" i="20"/>
  <c r="V18" i="20"/>
  <c r="V16" i="20"/>
  <c r="T18" i="20"/>
  <c r="V15" i="20"/>
  <c r="Z12" i="20"/>
  <c r="V36" i="20"/>
  <c r="V34" i="20"/>
  <c r="V33" i="20"/>
  <c r="V31" i="20"/>
  <c r="V29" i="20"/>
  <c r="V27" i="20"/>
  <c r="V25" i="20"/>
  <c r="V24" i="20"/>
  <c r="V22" i="20"/>
  <c r="V21" i="20"/>
  <c r="Z21" i="16"/>
  <c r="X25" i="16"/>
  <c r="X29" i="16"/>
  <c r="X33" i="16"/>
  <c r="X34" i="16"/>
  <c r="Z13" i="17"/>
  <c r="Z16" i="17"/>
  <c r="Z20" i="17"/>
  <c r="X22" i="17"/>
  <c r="X24" i="17"/>
  <c r="L15" i="20"/>
  <c r="X12" i="16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Z22" i="16"/>
  <c r="Z24" i="16"/>
  <c r="Z21" i="17"/>
  <c r="X25" i="17"/>
  <c r="X29" i="17"/>
  <c r="X33" i="17"/>
  <c r="X34" i="17"/>
  <c r="Z12" i="16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Z22" i="17"/>
  <c r="Z24" i="17"/>
  <c r="X15" i="13"/>
  <c r="N25" i="13"/>
  <c r="N29" i="13"/>
  <c r="N33" i="13"/>
  <c r="N34" i="13"/>
  <c r="N13" i="14"/>
  <c r="N22" i="14"/>
  <c r="N24" i="14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T18" i="17"/>
  <c r="V15" i="17"/>
  <c r="L15" i="17"/>
  <c r="Z25" i="17"/>
  <c r="Z29" i="17"/>
  <c r="Z33" i="17"/>
  <c r="Z34" i="17"/>
  <c r="D18" i="13"/>
  <c r="F15" i="13"/>
  <c r="F21" i="13"/>
  <c r="F16" i="13"/>
  <c r="F33" i="13"/>
  <c r="F27" i="13"/>
  <c r="F22" i="13"/>
  <c r="F18" i="13"/>
  <c r="F34" i="13"/>
  <c r="F29" i="13"/>
  <c r="F24" i="13"/>
  <c r="F20" i="13"/>
  <c r="F36" i="13"/>
  <c r="F31" i="13"/>
  <c r="F25" i="13"/>
  <c r="L12" i="13"/>
  <c r="X16" i="13"/>
  <c r="X20" i="13"/>
  <c r="X15" i="14"/>
  <c r="N25" i="14"/>
  <c r="N29" i="14"/>
  <c r="N33" i="14"/>
  <c r="N34" i="14"/>
  <c r="N15" i="16"/>
  <c r="L21" i="16"/>
  <c r="L16" i="17"/>
  <c r="L20" i="17"/>
  <c r="V21" i="19"/>
  <c r="V20" i="19"/>
  <c r="V18" i="19"/>
  <c r="V16" i="19"/>
  <c r="T18" i="19"/>
  <c r="V15" i="19"/>
  <c r="Z12" i="19"/>
  <c r="V24" i="19"/>
  <c r="V22" i="19"/>
  <c r="V31" i="19"/>
  <c r="V29" i="19"/>
  <c r="V27" i="19"/>
  <c r="V25" i="19"/>
  <c r="V36" i="19"/>
  <c r="V34" i="19"/>
  <c r="V33" i="19"/>
  <c r="N16" i="16"/>
  <c r="N20" i="16"/>
  <c r="L22" i="16"/>
  <c r="L24" i="16"/>
  <c r="N15" i="17"/>
  <c r="L21" i="17"/>
  <c r="L13" i="16"/>
  <c r="N21" i="16"/>
  <c r="L25" i="16"/>
  <c r="L29" i="16"/>
  <c r="L33" i="16"/>
  <c r="L34" i="16"/>
  <c r="N16" i="17"/>
  <c r="N20" i="17"/>
  <c r="L22" i="17"/>
  <c r="L24" i="17"/>
  <c r="L15" i="19"/>
  <c r="Z21" i="13"/>
  <c r="X25" i="13"/>
  <c r="X29" i="13"/>
  <c r="X33" i="13"/>
  <c r="X34" i="13"/>
  <c r="Z13" i="14"/>
  <c r="Z16" i="14"/>
  <c r="Z20" i="14"/>
  <c r="X22" i="14"/>
  <c r="X24" i="14"/>
  <c r="N13" i="16"/>
  <c r="N22" i="16"/>
  <c r="N24" i="16"/>
  <c r="L13" i="17"/>
  <c r="N21" i="17"/>
  <c r="L25" i="17"/>
  <c r="L29" i="17"/>
  <c r="L33" i="17"/>
  <c r="L34" i="17"/>
  <c r="Z25" i="19"/>
  <c r="Z29" i="19"/>
  <c r="Z33" i="19"/>
  <c r="Z34" i="19"/>
  <c r="R24" i="20"/>
  <c r="R22" i="20"/>
  <c r="R21" i="20"/>
  <c r="R20" i="20"/>
  <c r="R18" i="20"/>
  <c r="R16" i="20"/>
  <c r="P18" i="20"/>
  <c r="R15" i="20"/>
  <c r="X12" i="20"/>
  <c r="R36" i="20"/>
  <c r="R34" i="20"/>
  <c r="R33" i="20"/>
  <c r="R31" i="20"/>
  <c r="R29" i="20"/>
  <c r="R27" i="20"/>
  <c r="R25" i="20"/>
  <c r="Z22" i="20"/>
  <c r="Z24" i="20"/>
  <c r="Z13" i="22"/>
  <c r="Z16" i="22"/>
  <c r="Z20" i="22"/>
  <c r="X22" i="22"/>
  <c r="R20" i="23"/>
  <c r="R18" i="23"/>
  <c r="R16" i="23"/>
  <c r="P18" i="23"/>
  <c r="R15" i="23"/>
  <c r="X12" i="23"/>
  <c r="R21" i="23"/>
  <c r="R25" i="23"/>
  <c r="R34" i="23"/>
  <c r="R31" i="23"/>
  <c r="R22" i="23"/>
  <c r="R27" i="23"/>
  <c r="R36" i="23"/>
  <c r="R33" i="23"/>
  <c r="R24" i="23"/>
  <c r="R29" i="23"/>
  <c r="N20" i="23"/>
  <c r="Z21" i="23"/>
  <c r="N21" i="26"/>
  <c r="L34" i="26"/>
  <c r="Z25" i="20"/>
  <c r="Z29" i="20"/>
  <c r="Z33" i="20"/>
  <c r="Z34" i="20"/>
  <c r="Z21" i="22"/>
  <c r="Z24" i="22"/>
  <c r="Z25" i="22"/>
  <c r="N33" i="22"/>
  <c r="V36" i="23"/>
  <c r="V34" i="23"/>
  <c r="V33" i="23"/>
  <c r="V31" i="23"/>
  <c r="V29" i="23"/>
  <c r="V27" i="23"/>
  <c r="V25" i="23"/>
  <c r="V24" i="23"/>
  <c r="V22" i="23"/>
  <c r="V18" i="23"/>
  <c r="T18" i="23"/>
  <c r="V20" i="23"/>
  <c r="V15" i="23"/>
  <c r="V16" i="23"/>
  <c r="Z12" i="23"/>
  <c r="V21" i="23"/>
  <c r="Z16" i="23"/>
  <c r="X24" i="23"/>
  <c r="X33" i="23"/>
  <c r="Z21" i="26"/>
  <c r="X34" i="26"/>
  <c r="N15" i="19"/>
  <c r="L21" i="19"/>
  <c r="L16" i="20"/>
  <c r="L20" i="20"/>
  <c r="R27" i="22"/>
  <c r="R20" i="22"/>
  <c r="R18" i="22"/>
  <c r="R16" i="22"/>
  <c r="P18" i="22"/>
  <c r="R15" i="22"/>
  <c r="R29" i="22"/>
  <c r="R31" i="22"/>
  <c r="R33" i="22"/>
  <c r="X12" i="22"/>
  <c r="R34" i="22"/>
  <c r="R36" i="22"/>
  <c r="R22" i="22"/>
  <c r="R25" i="22"/>
  <c r="R24" i="22"/>
  <c r="R21" i="22"/>
  <c r="Z22" i="22"/>
  <c r="X34" i="22"/>
  <c r="L22" i="23"/>
  <c r="Z34" i="25"/>
  <c r="N16" i="19"/>
  <c r="N20" i="19"/>
  <c r="L22" i="19"/>
  <c r="L24" i="19"/>
  <c r="N15" i="20"/>
  <c r="L21" i="20"/>
  <c r="V29" i="22"/>
  <c r="V31" i="22"/>
  <c r="V33" i="22"/>
  <c r="V34" i="22"/>
  <c r="Z12" i="22"/>
  <c r="V36" i="22"/>
  <c r="V22" i="22"/>
  <c r="V25" i="22"/>
  <c r="V24" i="22"/>
  <c r="V21" i="22"/>
  <c r="V27" i="22"/>
  <c r="V20" i="22"/>
  <c r="V18" i="22"/>
  <c r="V16" i="22"/>
  <c r="T18" i="22"/>
  <c r="V15" i="22"/>
  <c r="L15" i="22"/>
  <c r="L29" i="22"/>
  <c r="X15" i="23"/>
  <c r="Z24" i="23"/>
  <c r="N22" i="25"/>
  <c r="L29" i="26"/>
  <c r="X13" i="29"/>
  <c r="L13" i="19"/>
  <c r="N21" i="19"/>
  <c r="L25" i="19"/>
  <c r="L29" i="19"/>
  <c r="L33" i="19"/>
  <c r="L34" i="19"/>
  <c r="N16" i="20"/>
  <c r="N20" i="20"/>
  <c r="L22" i="20"/>
  <c r="L24" i="20"/>
  <c r="L16" i="22"/>
  <c r="L20" i="22"/>
  <c r="X33" i="22"/>
  <c r="Z34" i="22"/>
  <c r="L13" i="23"/>
  <c r="Z15" i="23"/>
  <c r="Z20" i="23"/>
  <c r="N22" i="23"/>
  <c r="L34" i="23"/>
  <c r="Z22" i="25"/>
  <c r="X29" i="26"/>
  <c r="N13" i="19"/>
  <c r="N22" i="19"/>
  <c r="N24" i="19"/>
  <c r="L13" i="20"/>
  <c r="N21" i="20"/>
  <c r="L25" i="20"/>
  <c r="L29" i="20"/>
  <c r="L33" i="20"/>
  <c r="L34" i="20"/>
  <c r="N15" i="22"/>
  <c r="L21" i="22"/>
  <c r="L24" i="22"/>
  <c r="L25" i="22"/>
  <c r="N29" i="22"/>
  <c r="N13" i="23"/>
  <c r="L25" i="23"/>
  <c r="Z29" i="25"/>
  <c r="Z22" i="26"/>
  <c r="X15" i="19"/>
  <c r="N25" i="19"/>
  <c r="N29" i="19"/>
  <c r="N33" i="19"/>
  <c r="N34" i="19"/>
  <c r="N13" i="20"/>
  <c r="N22" i="20"/>
  <c r="N24" i="20"/>
  <c r="N16" i="22"/>
  <c r="N20" i="22"/>
  <c r="L22" i="22"/>
  <c r="Z33" i="22"/>
  <c r="X22" i="23"/>
  <c r="N34" i="23"/>
  <c r="N24" i="25"/>
  <c r="X33" i="32"/>
  <c r="L12" i="19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F15" i="19"/>
  <c r="D18" i="19"/>
  <c r="X16" i="19"/>
  <c r="X20" i="19"/>
  <c r="X15" i="20"/>
  <c r="N25" i="20"/>
  <c r="N29" i="20"/>
  <c r="N33" i="20"/>
  <c r="N34" i="20"/>
  <c r="L13" i="22"/>
  <c r="N21" i="22"/>
  <c r="N24" i="22"/>
  <c r="N25" i="22"/>
  <c r="X13" i="23"/>
  <c r="N25" i="23"/>
  <c r="L29" i="23"/>
  <c r="R24" i="25"/>
  <c r="R22" i="25"/>
  <c r="R21" i="25"/>
  <c r="R20" i="25"/>
  <c r="R18" i="25"/>
  <c r="R16" i="25"/>
  <c r="P18" i="25"/>
  <c r="R15" i="25"/>
  <c r="X12" i="25"/>
  <c r="R33" i="25"/>
  <c r="R25" i="25"/>
  <c r="R31" i="25"/>
  <c r="R36" i="25"/>
  <c r="R29" i="25"/>
  <c r="R34" i="25"/>
  <c r="R27" i="25"/>
  <c r="Z24" i="25"/>
  <c r="X24" i="28"/>
  <c r="N12" i="19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X13" i="19"/>
  <c r="Z15" i="19"/>
  <c r="X21" i="19"/>
  <c r="L12" i="20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X16" i="20"/>
  <c r="X20" i="20"/>
  <c r="N13" i="22"/>
  <c r="N22" i="22"/>
  <c r="X29" i="22"/>
  <c r="Z13" i="23"/>
  <c r="N21" i="23"/>
  <c r="Z22" i="23"/>
  <c r="X34" i="23"/>
  <c r="V20" i="25"/>
  <c r="V18" i="25"/>
  <c r="V16" i="25"/>
  <c r="T18" i="25"/>
  <c r="V15" i="25"/>
  <c r="Z12" i="25"/>
  <c r="V36" i="25"/>
  <c r="V34" i="25"/>
  <c r="V33" i="25"/>
  <c r="V31" i="25"/>
  <c r="V29" i="25"/>
  <c r="V27" i="25"/>
  <c r="V25" i="25"/>
  <c r="V24" i="25"/>
  <c r="V22" i="25"/>
  <c r="V21" i="25"/>
  <c r="R21" i="26"/>
  <c r="R20" i="26"/>
  <c r="R18" i="26"/>
  <c r="R16" i="26"/>
  <c r="P18" i="26"/>
  <c r="R15" i="26"/>
  <c r="X12" i="26"/>
  <c r="R33" i="26"/>
  <c r="R25" i="26"/>
  <c r="R31" i="26"/>
  <c r="R24" i="26"/>
  <c r="R36" i="26"/>
  <c r="R29" i="26"/>
  <c r="R22" i="26"/>
  <c r="R34" i="26"/>
  <c r="R27" i="26"/>
  <c r="Z24" i="26"/>
  <c r="X25" i="28"/>
  <c r="N24" i="29"/>
  <c r="Z13" i="19"/>
  <c r="Z16" i="19"/>
  <c r="Z20" i="19"/>
  <c r="X22" i="19"/>
  <c r="X24" i="19"/>
  <c r="N12" i="20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X13" i="20"/>
  <c r="Z15" i="20"/>
  <c r="X21" i="20"/>
  <c r="X15" i="22"/>
  <c r="L34" i="22"/>
  <c r="J36" i="23"/>
  <c r="J34" i="23"/>
  <c r="J33" i="23"/>
  <c r="J31" i="23"/>
  <c r="J29" i="23"/>
  <c r="J27" i="23"/>
  <c r="J25" i="23"/>
  <c r="N12" i="23"/>
  <c r="J16" i="23"/>
  <c r="J21" i="23"/>
  <c r="J18" i="23"/>
  <c r="J22" i="23"/>
  <c r="H18" i="23"/>
  <c r="J20" i="23"/>
  <c r="J24" i="23"/>
  <c r="J15" i="23"/>
  <c r="N16" i="23"/>
  <c r="L24" i="23"/>
  <c r="X25" i="23"/>
  <c r="N29" i="23"/>
  <c r="L33" i="23"/>
  <c r="N13" i="25"/>
  <c r="L13" i="26"/>
  <c r="L25" i="26"/>
  <c r="L33" i="26"/>
  <c r="Z21" i="19"/>
  <c r="X25" i="19"/>
  <c r="X29" i="19"/>
  <c r="X33" i="19"/>
  <c r="X34" i="19"/>
  <c r="Z13" i="20"/>
  <c r="Z16" i="20"/>
  <c r="Z20" i="20"/>
  <c r="X22" i="20"/>
  <c r="X24" i="20"/>
  <c r="F34" i="22"/>
  <c r="F36" i="22"/>
  <c r="F22" i="22"/>
  <c r="F25" i="22"/>
  <c r="F24" i="22"/>
  <c r="F21" i="22"/>
  <c r="F27" i="22"/>
  <c r="F20" i="22"/>
  <c r="F18" i="22"/>
  <c r="F16" i="22"/>
  <c r="F29" i="22"/>
  <c r="D18" i="22"/>
  <c r="F15" i="22"/>
  <c r="F31" i="22"/>
  <c r="F33" i="22"/>
  <c r="L12" i="22"/>
  <c r="X16" i="22"/>
  <c r="X20" i="22"/>
  <c r="Z29" i="22"/>
  <c r="X25" i="26"/>
  <c r="X33" i="26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X12" i="19"/>
  <c r="Z22" i="19"/>
  <c r="Z24" i="19"/>
  <c r="Z21" i="20"/>
  <c r="X25" i="20"/>
  <c r="X29" i="20"/>
  <c r="X33" i="20"/>
  <c r="X34" i="20"/>
  <c r="J36" i="22"/>
  <c r="J22" i="22"/>
  <c r="J25" i="22"/>
  <c r="J24" i="22"/>
  <c r="J21" i="22"/>
  <c r="J27" i="22"/>
  <c r="J20" i="22"/>
  <c r="J18" i="22"/>
  <c r="J16" i="22"/>
  <c r="J29" i="22"/>
  <c r="H18" i="22"/>
  <c r="J15" i="22"/>
  <c r="J31" i="22"/>
  <c r="J33" i="22"/>
  <c r="N12" i="22"/>
  <c r="J34" i="22"/>
  <c r="X13" i="22"/>
  <c r="Z15" i="22"/>
  <c r="X21" i="22"/>
  <c r="X24" i="22"/>
  <c r="X25" i="22"/>
  <c r="L33" i="22"/>
  <c r="N34" i="22"/>
  <c r="N15" i="23"/>
  <c r="N24" i="23"/>
  <c r="X29" i="23"/>
  <c r="N33" i="23"/>
  <c r="L15" i="25"/>
  <c r="Z25" i="25"/>
  <c r="Z33" i="25"/>
  <c r="X20" i="28"/>
  <c r="X21" i="28"/>
  <c r="X22" i="28"/>
  <c r="L34" i="28"/>
  <c r="Z13" i="29"/>
  <c r="L16" i="29"/>
  <c r="Z20" i="29"/>
  <c r="X34" i="32"/>
  <c r="L16" i="25"/>
  <c r="L20" i="25"/>
  <c r="T18" i="26"/>
  <c r="V15" i="26"/>
  <c r="Z12" i="26"/>
  <c r="V36" i="26"/>
  <c r="V34" i="26"/>
  <c r="V33" i="26"/>
  <c r="V31" i="26"/>
  <c r="V29" i="26"/>
  <c r="V27" i="26"/>
  <c r="V25" i="26"/>
  <c r="V24" i="26"/>
  <c r="V22" i="26"/>
  <c r="V20" i="26"/>
  <c r="V18" i="26"/>
  <c r="V16" i="26"/>
  <c r="V21" i="26"/>
  <c r="L15" i="26"/>
  <c r="Z25" i="26"/>
  <c r="Z29" i="26"/>
  <c r="Z33" i="26"/>
  <c r="Z34" i="26"/>
  <c r="L13" i="28"/>
  <c r="Z24" i="28"/>
  <c r="L33" i="28"/>
  <c r="F36" i="29"/>
  <c r="F34" i="29"/>
  <c r="F33" i="29"/>
  <c r="F31" i="29"/>
  <c r="F29" i="29"/>
  <c r="F24" i="29"/>
  <c r="F22" i="29"/>
  <c r="F21" i="29"/>
  <c r="F18" i="29"/>
  <c r="D18" i="29"/>
  <c r="F25" i="29"/>
  <c r="F20" i="29"/>
  <c r="F27" i="29"/>
  <c r="F15" i="29"/>
  <c r="L12" i="29"/>
  <c r="F16" i="29"/>
  <c r="X25" i="29"/>
  <c r="Z22" i="31"/>
  <c r="L15" i="23"/>
  <c r="Z25" i="23"/>
  <c r="Z29" i="23"/>
  <c r="Z33" i="23"/>
  <c r="Z34" i="23"/>
  <c r="N15" i="25"/>
  <c r="L21" i="25"/>
  <c r="L16" i="26"/>
  <c r="L20" i="26"/>
  <c r="N13" i="28"/>
  <c r="X15" i="28"/>
  <c r="X16" i="28"/>
  <c r="Z20" i="28"/>
  <c r="Z21" i="28"/>
  <c r="Z22" i="28"/>
  <c r="N34" i="28"/>
  <c r="J20" i="29"/>
  <c r="J18" i="29"/>
  <c r="J16" i="29"/>
  <c r="H18" i="29"/>
  <c r="J15" i="29"/>
  <c r="J25" i="29"/>
  <c r="J34" i="29"/>
  <c r="J31" i="29"/>
  <c r="J27" i="29"/>
  <c r="J21" i="29"/>
  <c r="N12" i="29"/>
  <c r="J22" i="29"/>
  <c r="J24" i="29"/>
  <c r="J33" i="29"/>
  <c r="J29" i="29"/>
  <c r="J36" i="29"/>
  <c r="L15" i="29"/>
  <c r="N22" i="29"/>
  <c r="Z25" i="29"/>
  <c r="X29" i="29"/>
  <c r="X33" i="29"/>
  <c r="Z24" i="31"/>
  <c r="L16" i="23"/>
  <c r="L20" i="23"/>
  <c r="N16" i="25"/>
  <c r="N20" i="25"/>
  <c r="L22" i="25"/>
  <c r="L24" i="25"/>
  <c r="N15" i="26"/>
  <c r="L21" i="26"/>
  <c r="L29" i="28"/>
  <c r="N33" i="28"/>
  <c r="X24" i="29"/>
  <c r="Z29" i="29"/>
  <c r="Z33" i="29"/>
  <c r="L21" i="23"/>
  <c r="L13" i="25"/>
  <c r="N21" i="25"/>
  <c r="L25" i="25"/>
  <c r="L29" i="25"/>
  <c r="L33" i="25"/>
  <c r="L34" i="25"/>
  <c r="N16" i="26"/>
  <c r="N20" i="26"/>
  <c r="L22" i="26"/>
  <c r="L24" i="26"/>
  <c r="Z15" i="28"/>
  <c r="Z16" i="28"/>
  <c r="N15" i="29"/>
  <c r="X16" i="29"/>
  <c r="L21" i="29"/>
  <c r="Z21" i="32"/>
  <c r="F16" i="28"/>
  <c r="F15" i="28"/>
  <c r="F18" i="28"/>
  <c r="F22" i="28"/>
  <c r="F21" i="28"/>
  <c r="F20" i="28"/>
  <c r="D18" i="28"/>
  <c r="L12" i="28"/>
  <c r="F25" i="28"/>
  <c r="F24" i="28"/>
  <c r="F27" i="28"/>
  <c r="F29" i="28"/>
  <c r="F31" i="28"/>
  <c r="F33" i="28"/>
  <c r="F34" i="28"/>
  <c r="F36" i="28"/>
  <c r="X13" i="28"/>
  <c r="L24" i="28"/>
  <c r="L25" i="28"/>
  <c r="N29" i="28"/>
  <c r="V36" i="29"/>
  <c r="V34" i="29"/>
  <c r="V33" i="29"/>
  <c r="V31" i="29"/>
  <c r="V29" i="29"/>
  <c r="V27" i="29"/>
  <c r="V25" i="29"/>
  <c r="V21" i="29"/>
  <c r="V15" i="29"/>
  <c r="V22" i="29"/>
  <c r="V16" i="29"/>
  <c r="Z12" i="29"/>
  <c r="V24" i="29"/>
  <c r="V18" i="29"/>
  <c r="T18" i="29"/>
  <c r="V20" i="29"/>
  <c r="R24" i="34"/>
  <c r="R22" i="34"/>
  <c r="R21" i="34"/>
  <c r="P18" i="34"/>
  <c r="R15" i="34"/>
  <c r="R16" i="34"/>
  <c r="R33" i="34"/>
  <c r="R27" i="34"/>
  <c r="R18" i="34"/>
  <c r="R34" i="34"/>
  <c r="R29" i="34"/>
  <c r="R20" i="34"/>
  <c r="X12" i="34"/>
  <c r="R36" i="34"/>
  <c r="R31" i="34"/>
  <c r="R25" i="34"/>
  <c r="X15" i="25"/>
  <c r="N25" i="25"/>
  <c r="N29" i="25"/>
  <c r="N33" i="25"/>
  <c r="N34" i="25"/>
  <c r="N13" i="26"/>
  <c r="N22" i="26"/>
  <c r="N24" i="26"/>
  <c r="J18" i="28"/>
  <c r="J22" i="28"/>
  <c r="J21" i="28"/>
  <c r="J20" i="28"/>
  <c r="H18" i="28"/>
  <c r="J25" i="28"/>
  <c r="J24" i="28"/>
  <c r="N12" i="28"/>
  <c r="J27" i="28"/>
  <c r="J29" i="28"/>
  <c r="J31" i="28"/>
  <c r="J33" i="28"/>
  <c r="J34" i="28"/>
  <c r="J36" i="28"/>
  <c r="J16" i="28"/>
  <c r="J15" i="28"/>
  <c r="Z13" i="28"/>
  <c r="L20" i="28"/>
  <c r="L21" i="28"/>
  <c r="L22" i="28"/>
  <c r="X34" i="28"/>
  <c r="X15" i="29"/>
  <c r="Z16" i="29"/>
  <c r="L20" i="29"/>
  <c r="X22" i="29"/>
  <c r="R24" i="31"/>
  <c r="R22" i="31"/>
  <c r="R21" i="31"/>
  <c r="R20" i="31"/>
  <c r="R18" i="31"/>
  <c r="R16" i="31"/>
  <c r="P18" i="31"/>
  <c r="R15" i="31"/>
  <c r="X12" i="31"/>
  <c r="R36" i="31"/>
  <c r="R34" i="31"/>
  <c r="R33" i="31"/>
  <c r="R31" i="31"/>
  <c r="R29" i="31"/>
  <c r="R27" i="31"/>
  <c r="R25" i="31"/>
  <c r="L12" i="25"/>
  <c r="F24" i="25"/>
  <c r="F22" i="25"/>
  <c r="F21" i="25"/>
  <c r="F20" i="25"/>
  <c r="F18" i="25"/>
  <c r="F16" i="25"/>
  <c r="D18" i="25"/>
  <c r="F15" i="25"/>
  <c r="F33" i="25"/>
  <c r="F25" i="25"/>
  <c r="F31" i="25"/>
  <c r="F36" i="25"/>
  <c r="F29" i="25"/>
  <c r="F34" i="25"/>
  <c r="F27" i="25"/>
  <c r="X16" i="25"/>
  <c r="X20" i="25"/>
  <c r="X15" i="26"/>
  <c r="N25" i="26"/>
  <c r="N29" i="26"/>
  <c r="N33" i="26"/>
  <c r="N34" i="26"/>
  <c r="N24" i="28"/>
  <c r="N25" i="28"/>
  <c r="X33" i="28"/>
  <c r="X25" i="32"/>
  <c r="N12" i="25"/>
  <c r="J36" i="25"/>
  <c r="J34" i="25"/>
  <c r="J33" i="25"/>
  <c r="J31" i="25"/>
  <c r="J29" i="25"/>
  <c r="J27" i="25"/>
  <c r="J25" i="25"/>
  <c r="J24" i="25"/>
  <c r="J22" i="25"/>
  <c r="J20" i="25"/>
  <c r="J18" i="25"/>
  <c r="J16" i="25"/>
  <c r="H18" i="25"/>
  <c r="J15" i="25"/>
  <c r="J21" i="25"/>
  <c r="X13" i="25"/>
  <c r="Z15" i="25"/>
  <c r="X21" i="25"/>
  <c r="L12" i="26"/>
  <c r="F36" i="26"/>
  <c r="F34" i="26"/>
  <c r="F33" i="26"/>
  <c r="F31" i="26"/>
  <c r="F29" i="26"/>
  <c r="F27" i="26"/>
  <c r="F25" i="26"/>
  <c r="F21" i="26"/>
  <c r="F20" i="26"/>
  <c r="F18" i="26"/>
  <c r="F16" i="26"/>
  <c r="D18" i="26"/>
  <c r="F15" i="26"/>
  <c r="F24" i="26"/>
  <c r="F22" i="26"/>
  <c r="X16" i="26"/>
  <c r="X20" i="26"/>
  <c r="L16" i="28"/>
  <c r="N20" i="28"/>
  <c r="N21" i="28"/>
  <c r="N22" i="28"/>
  <c r="N13" i="29"/>
  <c r="Z15" i="29"/>
  <c r="X21" i="29"/>
  <c r="X34" i="29"/>
  <c r="N20" i="34"/>
  <c r="F20" i="23"/>
  <c r="D18" i="23"/>
  <c r="F15" i="23"/>
  <c r="F33" i="23"/>
  <c r="F24" i="23"/>
  <c r="L12" i="23"/>
  <c r="F29" i="23"/>
  <c r="F16" i="23"/>
  <c r="F21" i="23"/>
  <c r="F25" i="23"/>
  <c r="F34" i="23"/>
  <c r="F18" i="23"/>
  <c r="F31" i="23"/>
  <c r="F22" i="23"/>
  <c r="F27" i="23"/>
  <c r="F36" i="23"/>
  <c r="X16" i="23"/>
  <c r="X20" i="23"/>
  <c r="Z13" i="25"/>
  <c r="Z16" i="25"/>
  <c r="Z20" i="25"/>
  <c r="X22" i="25"/>
  <c r="X24" i="25"/>
  <c r="J36" i="26"/>
  <c r="J34" i="26"/>
  <c r="J33" i="26"/>
  <c r="J31" i="26"/>
  <c r="J29" i="26"/>
  <c r="J27" i="26"/>
  <c r="J25" i="26"/>
  <c r="J24" i="26"/>
  <c r="J22" i="26"/>
  <c r="J21" i="26"/>
  <c r="H18" i="26"/>
  <c r="J15" i="26"/>
  <c r="J20" i="26"/>
  <c r="N12" i="26"/>
  <c r="J18" i="26"/>
  <c r="J16" i="26"/>
  <c r="X13" i="26"/>
  <c r="Z15" i="26"/>
  <c r="X21" i="26"/>
  <c r="R29" i="28"/>
  <c r="X12" i="28"/>
  <c r="R31" i="28"/>
  <c r="R33" i="28"/>
  <c r="R34" i="28"/>
  <c r="R36" i="28"/>
  <c r="R16" i="28"/>
  <c r="R15" i="28"/>
  <c r="R18" i="28"/>
  <c r="R22" i="28"/>
  <c r="R21" i="28"/>
  <c r="R20" i="28"/>
  <c r="P18" i="28"/>
  <c r="R25" i="28"/>
  <c r="R24" i="28"/>
  <c r="R27" i="28"/>
  <c r="X29" i="28"/>
  <c r="N25" i="29"/>
  <c r="Z34" i="29"/>
  <c r="X29" i="32"/>
  <c r="X21" i="23"/>
  <c r="Z21" i="25"/>
  <c r="X25" i="25"/>
  <c r="X29" i="25"/>
  <c r="X33" i="25"/>
  <c r="X34" i="25"/>
  <c r="Z13" i="26"/>
  <c r="Z16" i="26"/>
  <c r="Z20" i="26"/>
  <c r="X22" i="26"/>
  <c r="X24" i="26"/>
  <c r="N15" i="28"/>
  <c r="N16" i="28"/>
  <c r="X20" i="29"/>
  <c r="Z21" i="29"/>
  <c r="L24" i="34"/>
  <c r="V20" i="31"/>
  <c r="V18" i="31"/>
  <c r="V16" i="31"/>
  <c r="T18" i="31"/>
  <c r="V15" i="31"/>
  <c r="Z12" i="31"/>
  <c r="V36" i="31"/>
  <c r="V34" i="31"/>
  <c r="V33" i="31"/>
  <c r="V31" i="31"/>
  <c r="V29" i="31"/>
  <c r="V27" i="31"/>
  <c r="V25" i="31"/>
  <c r="V24" i="31"/>
  <c r="V22" i="31"/>
  <c r="V21" i="31"/>
  <c r="L15" i="31"/>
  <c r="Z25" i="31"/>
  <c r="Z29" i="31"/>
  <c r="Z33" i="31"/>
  <c r="Z34" i="31"/>
  <c r="R21" i="32"/>
  <c r="R20" i="32"/>
  <c r="R18" i="32"/>
  <c r="R16" i="32"/>
  <c r="P18" i="32"/>
  <c r="R15" i="32"/>
  <c r="X12" i="32"/>
  <c r="R36" i="32"/>
  <c r="R34" i="32"/>
  <c r="R33" i="32"/>
  <c r="R31" i="32"/>
  <c r="R29" i="32"/>
  <c r="R27" i="32"/>
  <c r="R25" i="32"/>
  <c r="R24" i="32"/>
  <c r="R22" i="32"/>
  <c r="Z22" i="32"/>
  <c r="Z24" i="32"/>
  <c r="V20" i="34"/>
  <c r="V18" i="34"/>
  <c r="V16" i="34"/>
  <c r="T18" i="34"/>
  <c r="V15" i="34"/>
  <c r="V33" i="34"/>
  <c r="V27" i="34"/>
  <c r="V22" i="34"/>
  <c r="V34" i="34"/>
  <c r="V29" i="34"/>
  <c r="V24" i="34"/>
  <c r="Z12" i="34"/>
  <c r="V36" i="34"/>
  <c r="V31" i="34"/>
  <c r="V25" i="34"/>
  <c r="V21" i="34"/>
  <c r="Z25" i="34"/>
  <c r="L29" i="34"/>
  <c r="L34" i="34"/>
  <c r="Z22" i="35"/>
  <c r="X25" i="35"/>
  <c r="X29" i="35"/>
  <c r="X33" i="35"/>
  <c r="L33" i="37"/>
  <c r="N16" i="38"/>
  <c r="L16" i="31"/>
  <c r="L20" i="31"/>
  <c r="T18" i="32"/>
  <c r="V15" i="32"/>
  <c r="Z12" i="32"/>
  <c r="V36" i="32"/>
  <c r="V34" i="32"/>
  <c r="V33" i="32"/>
  <c r="V31" i="32"/>
  <c r="V29" i="32"/>
  <c r="V27" i="32"/>
  <c r="V25" i="32"/>
  <c r="V24" i="32"/>
  <c r="V22" i="32"/>
  <c r="V21" i="32"/>
  <c r="V20" i="32"/>
  <c r="V18" i="32"/>
  <c r="V16" i="32"/>
  <c r="L15" i="32"/>
  <c r="Z25" i="32"/>
  <c r="Z29" i="32"/>
  <c r="Z33" i="32"/>
  <c r="Z34" i="32"/>
  <c r="N24" i="34"/>
  <c r="L13" i="35"/>
  <c r="L21" i="35"/>
  <c r="Z33" i="37"/>
  <c r="N15" i="41"/>
  <c r="N15" i="31"/>
  <c r="L21" i="31"/>
  <c r="L16" i="32"/>
  <c r="L20" i="32"/>
  <c r="Z15" i="34"/>
  <c r="L16" i="35"/>
  <c r="N21" i="35"/>
  <c r="Z25" i="35"/>
  <c r="Z29" i="35"/>
  <c r="Z33" i="35"/>
  <c r="L34" i="37"/>
  <c r="V24" i="28"/>
  <c r="V22" i="28"/>
  <c r="V31" i="28"/>
  <c r="V33" i="28"/>
  <c r="V34" i="28"/>
  <c r="V36" i="28"/>
  <c r="V16" i="28"/>
  <c r="V15" i="28"/>
  <c r="V18" i="28"/>
  <c r="V21" i="28"/>
  <c r="V20" i="28"/>
  <c r="T18" i="28"/>
  <c r="V25" i="28"/>
  <c r="V27" i="28"/>
  <c r="V29" i="28"/>
  <c r="Z12" i="28"/>
  <c r="L15" i="28"/>
  <c r="Z25" i="28"/>
  <c r="Z29" i="28"/>
  <c r="Z33" i="28"/>
  <c r="Z34" i="28"/>
  <c r="R36" i="29"/>
  <c r="R34" i="29"/>
  <c r="R33" i="29"/>
  <c r="R31" i="29"/>
  <c r="R29" i="29"/>
  <c r="R27" i="29"/>
  <c r="R25" i="29"/>
  <c r="R21" i="29"/>
  <c r="R22" i="29"/>
  <c r="R15" i="29"/>
  <c r="X12" i="29"/>
  <c r="R16" i="29"/>
  <c r="R24" i="29"/>
  <c r="R18" i="29"/>
  <c r="P18" i="29"/>
  <c r="R20" i="29"/>
  <c r="Z22" i="29"/>
  <c r="Z24" i="29"/>
  <c r="N16" i="31"/>
  <c r="N20" i="31"/>
  <c r="L22" i="31"/>
  <c r="L24" i="31"/>
  <c r="N15" i="32"/>
  <c r="L21" i="32"/>
  <c r="L22" i="34"/>
  <c r="Z24" i="34"/>
  <c r="Z34" i="37"/>
  <c r="L13" i="31"/>
  <c r="N21" i="31"/>
  <c r="L25" i="31"/>
  <c r="L29" i="31"/>
  <c r="L33" i="31"/>
  <c r="L34" i="31"/>
  <c r="N16" i="32"/>
  <c r="N20" i="32"/>
  <c r="L22" i="32"/>
  <c r="L24" i="32"/>
  <c r="L13" i="34"/>
  <c r="Z29" i="34"/>
  <c r="L33" i="34"/>
  <c r="Z34" i="34"/>
  <c r="N16" i="35"/>
  <c r="Z21" i="35"/>
  <c r="L34" i="35"/>
  <c r="L25" i="37"/>
  <c r="N20" i="38"/>
  <c r="N13" i="31"/>
  <c r="N22" i="31"/>
  <c r="N24" i="31"/>
  <c r="L13" i="32"/>
  <c r="N21" i="32"/>
  <c r="L25" i="32"/>
  <c r="L29" i="32"/>
  <c r="L33" i="32"/>
  <c r="L34" i="32"/>
  <c r="N13" i="34"/>
  <c r="L16" i="34"/>
  <c r="N22" i="34"/>
  <c r="L15" i="35"/>
  <c r="L20" i="35"/>
  <c r="Z25" i="37"/>
  <c r="X12" i="43"/>
  <c r="R24" i="43"/>
  <c r="R22" i="43"/>
  <c r="R21" i="43"/>
  <c r="R20" i="43"/>
  <c r="R18" i="43"/>
  <c r="R16" i="43"/>
  <c r="P18" i="43"/>
  <c r="R15" i="43"/>
  <c r="R29" i="43"/>
  <c r="R27" i="43"/>
  <c r="R36" i="43"/>
  <c r="R25" i="43"/>
  <c r="R34" i="43"/>
  <c r="R33" i="43"/>
  <c r="R31" i="43"/>
  <c r="X15" i="31"/>
  <c r="N25" i="31"/>
  <c r="N29" i="31"/>
  <c r="N33" i="31"/>
  <c r="N34" i="31"/>
  <c r="N13" i="32"/>
  <c r="N22" i="32"/>
  <c r="N24" i="32"/>
  <c r="X13" i="34"/>
  <c r="L21" i="34"/>
  <c r="L12" i="35"/>
  <c r="F36" i="35"/>
  <c r="F34" i="35"/>
  <c r="F33" i="35"/>
  <c r="F31" i="35"/>
  <c r="F29" i="35"/>
  <c r="F27" i="35"/>
  <c r="F25" i="35"/>
  <c r="F21" i="35"/>
  <c r="D18" i="35"/>
  <c r="F22" i="35"/>
  <c r="F20" i="35"/>
  <c r="F15" i="35"/>
  <c r="F24" i="35"/>
  <c r="F16" i="35"/>
  <c r="F18" i="35"/>
  <c r="X16" i="35"/>
  <c r="X34" i="35"/>
  <c r="V36" i="37"/>
  <c r="V34" i="37"/>
  <c r="V33" i="37"/>
  <c r="V31" i="37"/>
  <c r="V29" i="37"/>
  <c r="V27" i="37"/>
  <c r="V25" i="37"/>
  <c r="V21" i="37"/>
  <c r="V20" i="37"/>
  <c r="V18" i="37"/>
  <c r="V16" i="37"/>
  <c r="T18" i="37"/>
  <c r="V15" i="37"/>
  <c r="Z12" i="37"/>
  <c r="V24" i="37"/>
  <c r="V22" i="37"/>
  <c r="L22" i="38"/>
  <c r="N16" i="29"/>
  <c r="N20" i="29"/>
  <c r="L22" i="29"/>
  <c r="L24" i="29"/>
  <c r="L12" i="31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D18" i="31"/>
  <c r="F15" i="31"/>
  <c r="X16" i="31"/>
  <c r="X20" i="31"/>
  <c r="X15" i="32"/>
  <c r="N25" i="32"/>
  <c r="N29" i="32"/>
  <c r="N33" i="32"/>
  <c r="N34" i="32"/>
  <c r="N16" i="34"/>
  <c r="Z22" i="34"/>
  <c r="N15" i="35"/>
  <c r="Z24" i="35"/>
  <c r="X12" i="38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L24" i="38"/>
  <c r="L13" i="29"/>
  <c r="N21" i="29"/>
  <c r="L25" i="29"/>
  <c r="L29" i="29"/>
  <c r="L33" i="29"/>
  <c r="L34" i="29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X13" i="31"/>
  <c r="Z15" i="31"/>
  <c r="X21" i="31"/>
  <c r="L12" i="32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X16" i="32"/>
  <c r="X20" i="32"/>
  <c r="L15" i="34"/>
  <c r="N21" i="34"/>
  <c r="L25" i="34"/>
  <c r="Z33" i="34"/>
  <c r="R21" i="35"/>
  <c r="R20" i="35"/>
  <c r="R18" i="35"/>
  <c r="R16" i="35"/>
  <c r="R15" i="35"/>
  <c r="X12" i="35"/>
  <c r="R34" i="35"/>
  <c r="R31" i="35"/>
  <c r="R27" i="35"/>
  <c r="R24" i="35"/>
  <c r="R36" i="35"/>
  <c r="R33" i="35"/>
  <c r="R29" i="35"/>
  <c r="R25" i="35"/>
  <c r="P18" i="35"/>
  <c r="R22" i="35"/>
  <c r="X20" i="35"/>
  <c r="Z34" i="35"/>
  <c r="L13" i="37"/>
  <c r="L29" i="37"/>
  <c r="X16" i="44"/>
  <c r="Z13" i="31"/>
  <c r="Z16" i="31"/>
  <c r="Z20" i="31"/>
  <c r="X22" i="31"/>
  <c r="X24" i="31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N12" i="32"/>
  <c r="X13" i="32"/>
  <c r="Z15" i="32"/>
  <c r="X21" i="32"/>
  <c r="L20" i="34"/>
  <c r="V36" i="35"/>
  <c r="V34" i="35"/>
  <c r="V33" i="35"/>
  <c r="V31" i="35"/>
  <c r="V29" i="35"/>
  <c r="V27" i="35"/>
  <c r="V25" i="35"/>
  <c r="T18" i="35"/>
  <c r="V15" i="35"/>
  <c r="V20" i="35"/>
  <c r="V24" i="35"/>
  <c r="V16" i="35"/>
  <c r="V21" i="35"/>
  <c r="V18" i="35"/>
  <c r="V22" i="35"/>
  <c r="Z12" i="35"/>
  <c r="L15" i="37"/>
  <c r="Z29" i="37"/>
  <c r="N29" i="29"/>
  <c r="N33" i="29"/>
  <c r="N34" i="29"/>
  <c r="Z21" i="31"/>
  <c r="X25" i="31"/>
  <c r="X29" i="31"/>
  <c r="X33" i="31"/>
  <c r="X34" i="31"/>
  <c r="Z13" i="32"/>
  <c r="Z16" i="32"/>
  <c r="Z20" i="32"/>
  <c r="X22" i="32"/>
  <c r="X24" i="32"/>
  <c r="N12" i="34"/>
  <c r="J36" i="34"/>
  <c r="J34" i="34"/>
  <c r="J33" i="34"/>
  <c r="J31" i="34"/>
  <c r="J29" i="34"/>
  <c r="J27" i="34"/>
  <c r="J25" i="34"/>
  <c r="J24" i="34"/>
  <c r="J22" i="34"/>
  <c r="J21" i="34"/>
  <c r="J16" i="34"/>
  <c r="J18" i="34"/>
  <c r="H18" i="34"/>
  <c r="J20" i="34"/>
  <c r="J15" i="34"/>
  <c r="N15" i="34"/>
  <c r="X21" i="34"/>
  <c r="L25" i="35"/>
  <c r="L29" i="35"/>
  <c r="L33" i="35"/>
  <c r="N15" i="37"/>
  <c r="N21" i="37"/>
  <c r="N20" i="35"/>
  <c r="L22" i="35"/>
  <c r="L24" i="35"/>
  <c r="N13" i="37"/>
  <c r="N22" i="37"/>
  <c r="N24" i="37"/>
  <c r="L13" i="38"/>
  <c r="N21" i="38"/>
  <c r="L25" i="38"/>
  <c r="L29" i="38"/>
  <c r="L33" i="38"/>
  <c r="L34" i="38"/>
  <c r="X13" i="40"/>
  <c r="X15" i="41"/>
  <c r="N34" i="41"/>
  <c r="L22" i="43"/>
  <c r="X15" i="37"/>
  <c r="N25" i="37"/>
  <c r="N29" i="37"/>
  <c r="N33" i="37"/>
  <c r="N34" i="37"/>
  <c r="N13" i="38"/>
  <c r="N22" i="38"/>
  <c r="N24" i="38"/>
  <c r="L22" i="40"/>
  <c r="Z22" i="43"/>
  <c r="X15" i="34"/>
  <c r="N25" i="34"/>
  <c r="N29" i="34"/>
  <c r="N33" i="34"/>
  <c r="N34" i="34"/>
  <c r="N13" i="35"/>
  <c r="N22" i="35"/>
  <c r="N24" i="35"/>
  <c r="F21" i="37"/>
  <c r="D18" i="37"/>
  <c r="F15" i="37"/>
  <c r="L12" i="37"/>
  <c r="F36" i="37"/>
  <c r="F34" i="37"/>
  <c r="F33" i="37"/>
  <c r="F31" i="37"/>
  <c r="F29" i="37"/>
  <c r="F27" i="37"/>
  <c r="F25" i="37"/>
  <c r="F20" i="37"/>
  <c r="F18" i="37"/>
  <c r="F24" i="37"/>
  <c r="F16" i="37"/>
  <c r="F22" i="37"/>
  <c r="X16" i="37"/>
  <c r="X20" i="37"/>
  <c r="X15" i="38"/>
  <c r="N25" i="38"/>
  <c r="N29" i="38"/>
  <c r="N33" i="38"/>
  <c r="N34" i="38"/>
  <c r="N25" i="41"/>
  <c r="L24" i="43"/>
  <c r="N34" i="44"/>
  <c r="L12" i="34"/>
  <c r="F20" i="34"/>
  <c r="F36" i="34"/>
  <c r="F31" i="34"/>
  <c r="F25" i="34"/>
  <c r="F15" i="34"/>
  <c r="F21" i="34"/>
  <c r="F16" i="34"/>
  <c r="F33" i="34"/>
  <c r="F27" i="34"/>
  <c r="F22" i="34"/>
  <c r="F18" i="34"/>
  <c r="F34" i="34"/>
  <c r="F29" i="34"/>
  <c r="D18" i="34"/>
  <c r="F24" i="34"/>
  <c r="X16" i="34"/>
  <c r="X20" i="34"/>
  <c r="X15" i="35"/>
  <c r="N25" i="35"/>
  <c r="N29" i="35"/>
  <c r="N33" i="35"/>
  <c r="N34" i="35"/>
  <c r="H18" i="37"/>
  <c r="J15" i="37"/>
  <c r="N12" i="37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X13" i="37"/>
  <c r="Z15" i="37"/>
  <c r="X21" i="37"/>
  <c r="F20" i="38"/>
  <c r="F18" i="38"/>
  <c r="F16" i="38"/>
  <c r="D18" i="38"/>
  <c r="F15" i="38"/>
  <c r="L12" i="38"/>
  <c r="F36" i="38"/>
  <c r="F34" i="38"/>
  <c r="F33" i="38"/>
  <c r="F31" i="38"/>
  <c r="F29" i="38"/>
  <c r="F27" i="38"/>
  <c r="F25" i="38"/>
  <c r="F24" i="38"/>
  <c r="F22" i="38"/>
  <c r="F21" i="38"/>
  <c r="X16" i="38"/>
  <c r="X20" i="38"/>
  <c r="Z15" i="40"/>
  <c r="L24" i="40"/>
  <c r="Z24" i="43"/>
  <c r="Z13" i="37"/>
  <c r="Z16" i="37"/>
  <c r="Z20" i="37"/>
  <c r="X22" i="37"/>
  <c r="X24" i="37"/>
  <c r="N12" i="38"/>
  <c r="J36" i="38"/>
  <c r="J34" i="38"/>
  <c r="J33" i="38"/>
  <c r="J31" i="38"/>
  <c r="J29" i="38"/>
  <c r="J27" i="38"/>
  <c r="J25" i="38"/>
  <c r="J24" i="38"/>
  <c r="J22" i="38"/>
  <c r="J21" i="38"/>
  <c r="J20" i="38"/>
  <c r="J18" i="38"/>
  <c r="J16" i="38"/>
  <c r="J15" i="38"/>
  <c r="H18" i="38"/>
  <c r="X13" i="38"/>
  <c r="Z15" i="38"/>
  <c r="X21" i="38"/>
  <c r="N16" i="40"/>
  <c r="N16" i="43"/>
  <c r="Z13" i="34"/>
  <c r="Z16" i="34"/>
  <c r="Z20" i="34"/>
  <c r="X22" i="34"/>
  <c r="X24" i="34"/>
  <c r="J24" i="35"/>
  <c r="J22" i="35"/>
  <c r="J21" i="35"/>
  <c r="H18" i="35"/>
  <c r="J15" i="35"/>
  <c r="J20" i="35"/>
  <c r="N12" i="35"/>
  <c r="J34" i="35"/>
  <c r="J31" i="35"/>
  <c r="J27" i="35"/>
  <c r="J16" i="35"/>
  <c r="J18" i="35"/>
  <c r="J29" i="35"/>
  <c r="J25" i="35"/>
  <c r="J36" i="35"/>
  <c r="J33" i="35"/>
  <c r="X13" i="35"/>
  <c r="Z15" i="35"/>
  <c r="X21" i="35"/>
  <c r="Z21" i="37"/>
  <c r="X25" i="37"/>
  <c r="X29" i="37"/>
  <c r="X33" i="37"/>
  <c r="X34" i="37"/>
  <c r="Z13" i="38"/>
  <c r="Z16" i="38"/>
  <c r="Z20" i="38"/>
  <c r="X22" i="38"/>
  <c r="X24" i="38"/>
  <c r="X16" i="40"/>
  <c r="Z22" i="44"/>
  <c r="Z21" i="34"/>
  <c r="X25" i="34"/>
  <c r="X29" i="34"/>
  <c r="X33" i="34"/>
  <c r="X34" i="34"/>
  <c r="Z13" i="35"/>
  <c r="Z16" i="35"/>
  <c r="Z20" i="35"/>
  <c r="X22" i="35"/>
  <c r="X24" i="35"/>
  <c r="X12" i="37"/>
  <c r="R36" i="37"/>
  <c r="R34" i="37"/>
  <c r="R33" i="37"/>
  <c r="R31" i="37"/>
  <c r="R29" i="37"/>
  <c r="R27" i="37"/>
  <c r="R25" i="37"/>
  <c r="R24" i="37"/>
  <c r="R22" i="37"/>
  <c r="R21" i="37"/>
  <c r="R20" i="37"/>
  <c r="R18" i="37"/>
  <c r="R16" i="37"/>
  <c r="P18" i="37"/>
  <c r="R15" i="37"/>
  <c r="Z22" i="37"/>
  <c r="Z24" i="37"/>
  <c r="Z21" i="38"/>
  <c r="X25" i="38"/>
  <c r="X29" i="38"/>
  <c r="X33" i="38"/>
  <c r="X34" i="38"/>
  <c r="N29" i="41"/>
  <c r="Z22" i="38"/>
  <c r="Z24" i="38"/>
  <c r="L21" i="41"/>
  <c r="N25" i="44"/>
  <c r="L16" i="37"/>
  <c r="L20" i="37"/>
  <c r="Z12" i="38"/>
  <c r="V36" i="38"/>
  <c r="V34" i="38"/>
  <c r="V33" i="38"/>
  <c r="V31" i="38"/>
  <c r="V29" i="38"/>
  <c r="V27" i="38"/>
  <c r="V25" i="38"/>
  <c r="V24" i="38"/>
  <c r="V22" i="38"/>
  <c r="V21" i="38"/>
  <c r="V20" i="38"/>
  <c r="V18" i="38"/>
  <c r="V16" i="38"/>
  <c r="T18" i="38"/>
  <c r="V15" i="38"/>
  <c r="L15" i="38"/>
  <c r="Z25" i="38"/>
  <c r="Z29" i="38"/>
  <c r="Z33" i="38"/>
  <c r="Z34" i="38"/>
  <c r="F36" i="40"/>
  <c r="F34" i="40"/>
  <c r="F33" i="40"/>
  <c r="F31" i="40"/>
  <c r="F29" i="40"/>
  <c r="F27" i="40"/>
  <c r="F25" i="40"/>
  <c r="F24" i="40"/>
  <c r="F22" i="40"/>
  <c r="F20" i="40"/>
  <c r="F18" i="40"/>
  <c r="F16" i="40"/>
  <c r="D18" i="40"/>
  <c r="F15" i="40"/>
  <c r="L12" i="40"/>
  <c r="F21" i="40"/>
  <c r="N20" i="43"/>
  <c r="N13" i="44"/>
  <c r="L21" i="37"/>
  <c r="L16" i="38"/>
  <c r="L20" i="38"/>
  <c r="J24" i="40"/>
  <c r="J22" i="40"/>
  <c r="J21" i="40"/>
  <c r="J20" i="40"/>
  <c r="J18" i="40"/>
  <c r="J16" i="40"/>
  <c r="N12" i="40"/>
  <c r="J29" i="40"/>
  <c r="J27" i="40"/>
  <c r="H18" i="40"/>
  <c r="J36" i="40"/>
  <c r="J25" i="40"/>
  <c r="J34" i="40"/>
  <c r="J33" i="40"/>
  <c r="J15" i="40"/>
  <c r="J31" i="40"/>
  <c r="N20" i="40"/>
  <c r="N16" i="37"/>
  <c r="N20" i="37"/>
  <c r="L22" i="37"/>
  <c r="L24" i="37"/>
  <c r="N15" i="38"/>
  <c r="L21" i="38"/>
  <c r="X20" i="40"/>
  <c r="N33" i="41"/>
  <c r="Z15" i="44"/>
  <c r="N29" i="44"/>
  <c r="Z29" i="47"/>
  <c r="Z25" i="50"/>
  <c r="X13" i="52"/>
  <c r="X21" i="40"/>
  <c r="F36" i="41"/>
  <c r="F34" i="41"/>
  <c r="F33" i="41"/>
  <c r="F31" i="41"/>
  <c r="F29" i="41"/>
  <c r="F27" i="41"/>
  <c r="F25" i="41"/>
  <c r="F24" i="41"/>
  <c r="F22" i="41"/>
  <c r="F21" i="41"/>
  <c r="D18" i="41"/>
  <c r="F15" i="41"/>
  <c r="L12" i="41"/>
  <c r="F20" i="41"/>
  <c r="F18" i="41"/>
  <c r="F16" i="41"/>
  <c r="X16" i="41"/>
  <c r="X20" i="41"/>
  <c r="L13" i="43"/>
  <c r="N21" i="43"/>
  <c r="L25" i="43"/>
  <c r="L29" i="43"/>
  <c r="L33" i="43"/>
  <c r="L34" i="43"/>
  <c r="X20" i="44"/>
  <c r="Z25" i="44"/>
  <c r="L20" i="46"/>
  <c r="V21" i="47"/>
  <c r="V20" i="47"/>
  <c r="V18" i="47"/>
  <c r="V16" i="47"/>
  <c r="T18" i="47"/>
  <c r="V15" i="47"/>
  <c r="Z12" i="47"/>
  <c r="V36" i="47"/>
  <c r="V34" i="47"/>
  <c r="V33" i="47"/>
  <c r="V31" i="47"/>
  <c r="V29" i="47"/>
  <c r="V27" i="47"/>
  <c r="V25" i="47"/>
  <c r="V24" i="47"/>
  <c r="V22" i="47"/>
  <c r="Z13" i="40"/>
  <c r="Z16" i="40"/>
  <c r="Z20" i="40"/>
  <c r="X22" i="40"/>
  <c r="X24" i="40"/>
  <c r="J21" i="41"/>
  <c r="J20" i="41"/>
  <c r="J18" i="41"/>
  <c r="J16" i="41"/>
  <c r="H18" i="41"/>
  <c r="J15" i="41"/>
  <c r="N12" i="41"/>
  <c r="J36" i="41"/>
  <c r="J34" i="41"/>
  <c r="J33" i="41"/>
  <c r="J31" i="41"/>
  <c r="J29" i="41"/>
  <c r="J27" i="41"/>
  <c r="J25" i="41"/>
  <c r="J22" i="41"/>
  <c r="J24" i="41"/>
  <c r="X13" i="41"/>
  <c r="Z15" i="41"/>
  <c r="X21" i="41"/>
  <c r="N13" i="43"/>
  <c r="N22" i="43"/>
  <c r="N24" i="43"/>
  <c r="Z20" i="44"/>
  <c r="X24" i="44"/>
  <c r="L33" i="44"/>
  <c r="L15" i="47"/>
  <c r="Z33" i="47"/>
  <c r="N29" i="49"/>
  <c r="Z21" i="40"/>
  <c r="X25" i="40"/>
  <c r="X29" i="40"/>
  <c r="X33" i="40"/>
  <c r="X34" i="40"/>
  <c r="Z13" i="41"/>
  <c r="Z16" i="41"/>
  <c r="Z20" i="41"/>
  <c r="X22" i="41"/>
  <c r="X24" i="41"/>
  <c r="X15" i="43"/>
  <c r="N25" i="43"/>
  <c r="N29" i="43"/>
  <c r="N33" i="43"/>
  <c r="N34" i="43"/>
  <c r="X13" i="44"/>
  <c r="N22" i="44"/>
  <c r="X29" i="44"/>
  <c r="X34" i="44"/>
  <c r="Z34" i="47"/>
  <c r="X12" i="40"/>
  <c r="R36" i="40"/>
  <c r="R34" i="40"/>
  <c r="R33" i="40"/>
  <c r="R31" i="40"/>
  <c r="R29" i="40"/>
  <c r="R27" i="40"/>
  <c r="R25" i="40"/>
  <c r="R24" i="40"/>
  <c r="R22" i="40"/>
  <c r="R21" i="40"/>
  <c r="R20" i="40"/>
  <c r="R18" i="40"/>
  <c r="P18" i="40"/>
  <c r="R16" i="40"/>
  <c r="R15" i="40"/>
  <c r="Z22" i="40"/>
  <c r="Z24" i="40"/>
  <c r="Z21" i="41"/>
  <c r="X25" i="41"/>
  <c r="X29" i="41"/>
  <c r="X33" i="41"/>
  <c r="X34" i="41"/>
  <c r="F20" i="43"/>
  <c r="F18" i="43"/>
  <c r="F16" i="43"/>
  <c r="D18" i="43"/>
  <c r="F15" i="43"/>
  <c r="L12" i="43"/>
  <c r="F36" i="43"/>
  <c r="F34" i="43"/>
  <c r="F33" i="43"/>
  <c r="F31" i="43"/>
  <c r="F29" i="43"/>
  <c r="F27" i="43"/>
  <c r="F25" i="43"/>
  <c r="F24" i="43"/>
  <c r="F22" i="43"/>
  <c r="F21" i="43"/>
  <c r="X16" i="43"/>
  <c r="X20" i="43"/>
  <c r="Z13" i="44"/>
  <c r="Z24" i="44"/>
  <c r="N33" i="44"/>
  <c r="Z12" i="40"/>
  <c r="V36" i="40"/>
  <c r="V34" i="40"/>
  <c r="V33" i="40"/>
  <c r="V31" i="40"/>
  <c r="V29" i="40"/>
  <c r="V27" i="40"/>
  <c r="V25" i="40"/>
  <c r="V24" i="40"/>
  <c r="V22" i="40"/>
  <c r="V21" i="40"/>
  <c r="V20" i="40"/>
  <c r="V18" i="40"/>
  <c r="V16" i="40"/>
  <c r="T18" i="40"/>
  <c r="V15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21" i="41"/>
  <c r="R20" i="41"/>
  <c r="R18" i="41"/>
  <c r="R16" i="41"/>
  <c r="P18" i="41"/>
  <c r="R15" i="41"/>
  <c r="Z22" i="41"/>
  <c r="Z24" i="41"/>
  <c r="N12" i="43"/>
  <c r="J36" i="43"/>
  <c r="J34" i="43"/>
  <c r="J33" i="43"/>
  <c r="J31" i="43"/>
  <c r="J29" i="43"/>
  <c r="J27" i="43"/>
  <c r="J25" i="43"/>
  <c r="J24" i="43"/>
  <c r="J22" i="43"/>
  <c r="J21" i="43"/>
  <c r="J20" i="43"/>
  <c r="J18" i="43"/>
  <c r="J16" i="43"/>
  <c r="H18" i="43"/>
  <c r="J15" i="43"/>
  <c r="X13" i="43"/>
  <c r="Z15" i="43"/>
  <c r="X21" i="43"/>
  <c r="F21" i="44"/>
  <c r="F20" i="44"/>
  <c r="F18" i="44"/>
  <c r="F16" i="44"/>
  <c r="D18" i="44"/>
  <c r="F15" i="44"/>
  <c r="F34" i="44"/>
  <c r="F29" i="44"/>
  <c r="F24" i="44"/>
  <c r="F36" i="44"/>
  <c r="F31" i="44"/>
  <c r="F25" i="44"/>
  <c r="L12" i="44"/>
  <c r="F33" i="44"/>
  <c r="F27" i="44"/>
  <c r="F22" i="44"/>
  <c r="Z29" i="44"/>
  <c r="Z34" i="44"/>
  <c r="D18" i="53"/>
  <c r="F15" i="53"/>
  <c r="F36" i="53"/>
  <c r="F34" i="53"/>
  <c r="F33" i="53"/>
  <c r="F31" i="53"/>
  <c r="F29" i="53"/>
  <c r="F27" i="53"/>
  <c r="F25" i="53"/>
  <c r="F24" i="53"/>
  <c r="F22" i="53"/>
  <c r="F21" i="53"/>
  <c r="F16" i="53"/>
  <c r="F20" i="53"/>
  <c r="F18" i="53"/>
  <c r="L12" i="53"/>
  <c r="L16" i="40"/>
  <c r="L20" i="40"/>
  <c r="V36" i="41"/>
  <c r="V34" i="41"/>
  <c r="V33" i="41"/>
  <c r="V31" i="41"/>
  <c r="V29" i="41"/>
  <c r="V27" i="41"/>
  <c r="V25" i="41"/>
  <c r="V24" i="41"/>
  <c r="V22" i="41"/>
  <c r="V21" i="41"/>
  <c r="V20" i="41"/>
  <c r="V18" i="41"/>
  <c r="V16" i="41"/>
  <c r="T18" i="41"/>
  <c r="V15" i="41"/>
  <c r="Z12" i="41"/>
  <c r="L15" i="41"/>
  <c r="Z25" i="41"/>
  <c r="Z29" i="41"/>
  <c r="Z33" i="41"/>
  <c r="Z34" i="41"/>
  <c r="Z13" i="43"/>
  <c r="Z16" i="43"/>
  <c r="Z20" i="43"/>
  <c r="X22" i="43"/>
  <c r="X24" i="43"/>
  <c r="H18" i="44"/>
  <c r="J15" i="44"/>
  <c r="J20" i="44"/>
  <c r="J36" i="44"/>
  <c r="J31" i="44"/>
  <c r="J25" i="44"/>
  <c r="J21" i="44"/>
  <c r="J33" i="44"/>
  <c r="J27" i="44"/>
  <c r="J16" i="44"/>
  <c r="J22" i="44"/>
  <c r="J18" i="44"/>
  <c r="J34" i="44"/>
  <c r="J29" i="44"/>
  <c r="N12" i="44"/>
  <c r="J24" i="44"/>
  <c r="N21" i="44"/>
  <c r="X22" i="44"/>
  <c r="L25" i="44"/>
  <c r="L15" i="49"/>
  <c r="V20" i="50"/>
  <c r="V18" i="50"/>
  <c r="V16" i="50"/>
  <c r="V21" i="50"/>
  <c r="V33" i="50"/>
  <c r="V27" i="50"/>
  <c r="V22" i="50"/>
  <c r="T18" i="50"/>
  <c r="V34" i="50"/>
  <c r="V29" i="50"/>
  <c r="V24" i="50"/>
  <c r="V15" i="50"/>
  <c r="Z12" i="50"/>
  <c r="V36" i="50"/>
  <c r="V31" i="50"/>
  <c r="V25" i="50"/>
  <c r="X16" i="53"/>
  <c r="N15" i="40"/>
  <c r="L21" i="40"/>
  <c r="L16" i="41"/>
  <c r="L20" i="41"/>
  <c r="Z21" i="43"/>
  <c r="X25" i="43"/>
  <c r="X29" i="43"/>
  <c r="X33" i="43"/>
  <c r="X34" i="43"/>
  <c r="L15" i="44"/>
  <c r="X33" i="44"/>
  <c r="L13" i="40"/>
  <c r="N21" i="40"/>
  <c r="L25" i="40"/>
  <c r="L29" i="40"/>
  <c r="L33" i="40"/>
  <c r="L34" i="40"/>
  <c r="N16" i="41"/>
  <c r="N20" i="41"/>
  <c r="L22" i="41"/>
  <c r="L24" i="41"/>
  <c r="Z12" i="43"/>
  <c r="V36" i="43"/>
  <c r="V34" i="43"/>
  <c r="V33" i="43"/>
  <c r="V31" i="43"/>
  <c r="V29" i="43"/>
  <c r="V27" i="43"/>
  <c r="V25" i="43"/>
  <c r="V24" i="43"/>
  <c r="V22" i="43"/>
  <c r="V20" i="43"/>
  <c r="V18" i="43"/>
  <c r="V16" i="43"/>
  <c r="T18" i="43"/>
  <c r="V15" i="43"/>
  <c r="V21" i="43"/>
  <c r="L15" i="43"/>
  <c r="Z25" i="43"/>
  <c r="Z29" i="43"/>
  <c r="Z33" i="43"/>
  <c r="Z34" i="43"/>
  <c r="R20" i="44"/>
  <c r="R18" i="44"/>
  <c r="X12" i="44"/>
  <c r="R15" i="44"/>
  <c r="R21" i="44"/>
  <c r="R16" i="44"/>
  <c r="R22" i="44"/>
  <c r="P18" i="44"/>
  <c r="R34" i="44"/>
  <c r="R29" i="44"/>
  <c r="R24" i="44"/>
  <c r="R27" i="44"/>
  <c r="R25" i="44"/>
  <c r="R36" i="44"/>
  <c r="R33" i="44"/>
  <c r="R31" i="44"/>
  <c r="Z33" i="44"/>
  <c r="N13" i="40"/>
  <c r="N22" i="40"/>
  <c r="N24" i="40"/>
  <c r="L13" i="41"/>
  <c r="N21" i="41"/>
  <c r="L25" i="41"/>
  <c r="L29" i="41"/>
  <c r="L33" i="41"/>
  <c r="L34" i="41"/>
  <c r="L16" i="43"/>
  <c r="L20" i="43"/>
  <c r="Z12" i="44"/>
  <c r="V36" i="44"/>
  <c r="V34" i="44"/>
  <c r="V33" i="44"/>
  <c r="V31" i="44"/>
  <c r="V29" i="44"/>
  <c r="V27" i="44"/>
  <c r="V25" i="44"/>
  <c r="V16" i="44"/>
  <c r="V22" i="44"/>
  <c r="V18" i="44"/>
  <c r="T18" i="44"/>
  <c r="V24" i="44"/>
  <c r="V20" i="44"/>
  <c r="V15" i="44"/>
  <c r="V21" i="44"/>
  <c r="X15" i="44"/>
  <c r="Z16" i="44"/>
  <c r="L29" i="44"/>
  <c r="L34" i="44"/>
  <c r="Z25" i="47"/>
  <c r="X15" i="40"/>
  <c r="N25" i="40"/>
  <c r="N29" i="40"/>
  <c r="N33" i="40"/>
  <c r="N34" i="40"/>
  <c r="N13" i="41"/>
  <c r="N22" i="41"/>
  <c r="N24" i="41"/>
  <c r="N15" i="43"/>
  <c r="L21" i="43"/>
  <c r="L13" i="44"/>
  <c r="Z21" i="44"/>
  <c r="N24" i="44"/>
  <c r="X25" i="44"/>
  <c r="L16" i="46"/>
  <c r="N24" i="50"/>
  <c r="N15" i="46"/>
  <c r="L21" i="46"/>
  <c r="L16" i="47"/>
  <c r="L20" i="47"/>
  <c r="N16" i="49"/>
  <c r="X20" i="49"/>
  <c r="Z21" i="49"/>
  <c r="X15" i="50"/>
  <c r="N29" i="50"/>
  <c r="N34" i="50"/>
  <c r="Z13" i="52"/>
  <c r="X22" i="52"/>
  <c r="N12" i="53"/>
  <c r="J24" i="53"/>
  <c r="J22" i="53"/>
  <c r="J21" i="53"/>
  <c r="J20" i="53"/>
  <c r="J18" i="53"/>
  <c r="J16" i="53"/>
  <c r="H18" i="53"/>
  <c r="J15" i="53"/>
  <c r="J31" i="53"/>
  <c r="J36" i="53"/>
  <c r="J29" i="53"/>
  <c r="J34" i="53"/>
  <c r="J27" i="53"/>
  <c r="J33" i="53"/>
  <c r="J25" i="53"/>
  <c r="X21" i="53"/>
  <c r="L16" i="44"/>
  <c r="L20" i="44"/>
  <c r="N16" i="46"/>
  <c r="N20" i="46"/>
  <c r="L22" i="46"/>
  <c r="L24" i="46"/>
  <c r="N15" i="47"/>
  <c r="L21" i="47"/>
  <c r="V21" i="49"/>
  <c r="V33" i="49"/>
  <c r="V24" i="49"/>
  <c r="V25" i="49"/>
  <c r="V34" i="49"/>
  <c r="V15" i="49"/>
  <c r="V27" i="49"/>
  <c r="V16" i="49"/>
  <c r="V29" i="49"/>
  <c r="V18" i="49"/>
  <c r="V36" i="49"/>
  <c r="T18" i="49"/>
  <c r="Z12" i="49"/>
  <c r="V20" i="49"/>
  <c r="V31" i="49"/>
  <c r="V22" i="49"/>
  <c r="N15" i="49"/>
  <c r="Z20" i="49"/>
  <c r="L25" i="49"/>
  <c r="L34" i="49"/>
  <c r="Z20" i="50"/>
  <c r="X24" i="50"/>
  <c r="X33" i="52"/>
  <c r="Z16" i="53"/>
  <c r="N15" i="44"/>
  <c r="L21" i="44"/>
  <c r="L13" i="46"/>
  <c r="N21" i="46"/>
  <c r="L25" i="46"/>
  <c r="L29" i="46"/>
  <c r="L33" i="46"/>
  <c r="L34" i="46"/>
  <c r="N16" i="47"/>
  <c r="N20" i="47"/>
  <c r="L22" i="47"/>
  <c r="L24" i="47"/>
  <c r="L24" i="49"/>
  <c r="X29" i="49"/>
  <c r="L13" i="50"/>
  <c r="Z24" i="50"/>
  <c r="L33" i="50"/>
  <c r="N20" i="52"/>
  <c r="L24" i="52"/>
  <c r="N16" i="44"/>
  <c r="N20" i="44"/>
  <c r="L22" i="44"/>
  <c r="L24" i="44"/>
  <c r="N13" i="46"/>
  <c r="N22" i="46"/>
  <c r="N24" i="46"/>
  <c r="L13" i="47"/>
  <c r="N21" i="47"/>
  <c r="L25" i="47"/>
  <c r="L29" i="47"/>
  <c r="L33" i="47"/>
  <c r="L34" i="47"/>
  <c r="N25" i="49"/>
  <c r="Z29" i="49"/>
  <c r="N34" i="49"/>
  <c r="N13" i="50"/>
  <c r="N22" i="50"/>
  <c r="Z29" i="50"/>
  <c r="Z34" i="50"/>
  <c r="Z15" i="52"/>
  <c r="X15" i="46"/>
  <c r="N25" i="46"/>
  <c r="N29" i="46"/>
  <c r="N33" i="46"/>
  <c r="N34" i="46"/>
  <c r="N13" i="47"/>
  <c r="N22" i="47"/>
  <c r="N24" i="47"/>
  <c r="X16" i="49"/>
  <c r="L22" i="49"/>
  <c r="N24" i="49"/>
  <c r="L33" i="49"/>
  <c r="L16" i="50"/>
  <c r="N33" i="50"/>
  <c r="Z20" i="52"/>
  <c r="X24" i="52"/>
  <c r="X13" i="53"/>
  <c r="L12" i="46"/>
  <c r="F36" i="46"/>
  <c r="F34" i="46"/>
  <c r="F33" i="46"/>
  <c r="F31" i="46"/>
  <c r="F29" i="46"/>
  <c r="F27" i="46"/>
  <c r="F25" i="46"/>
  <c r="F24" i="46"/>
  <c r="F22" i="46"/>
  <c r="F21" i="46"/>
  <c r="F20" i="46"/>
  <c r="F18" i="46"/>
  <c r="F16" i="46"/>
  <c r="F15" i="46"/>
  <c r="D18" i="46"/>
  <c r="X16" i="46"/>
  <c r="X20" i="46"/>
  <c r="X15" i="47"/>
  <c r="N25" i="47"/>
  <c r="N29" i="47"/>
  <c r="N33" i="47"/>
  <c r="N34" i="47"/>
  <c r="L13" i="49"/>
  <c r="X15" i="49"/>
  <c r="Z16" i="49"/>
  <c r="L21" i="49"/>
  <c r="X34" i="49"/>
  <c r="Z13" i="50"/>
  <c r="L21" i="50"/>
  <c r="X22" i="50"/>
  <c r="X29" i="52"/>
  <c r="X34" i="52"/>
  <c r="Z13" i="53"/>
  <c r="X22" i="53"/>
  <c r="N12" i="46"/>
  <c r="J36" i="46"/>
  <c r="J34" i="46"/>
  <c r="J33" i="46"/>
  <c r="J31" i="46"/>
  <c r="J29" i="46"/>
  <c r="J27" i="46"/>
  <c r="J25" i="46"/>
  <c r="J24" i="46"/>
  <c r="J22" i="46"/>
  <c r="J21" i="46"/>
  <c r="J20" i="46"/>
  <c r="J18" i="46"/>
  <c r="J16" i="46"/>
  <c r="H18" i="46"/>
  <c r="J15" i="46"/>
  <c r="X13" i="46"/>
  <c r="Z15" i="46"/>
  <c r="X21" i="46"/>
  <c r="L12" i="47"/>
  <c r="F36" i="47"/>
  <c r="F34" i="47"/>
  <c r="F33" i="47"/>
  <c r="F31" i="47"/>
  <c r="F29" i="47"/>
  <c r="F27" i="47"/>
  <c r="F25" i="47"/>
  <c r="F24" i="47"/>
  <c r="F22" i="47"/>
  <c r="F21" i="47"/>
  <c r="F20" i="47"/>
  <c r="F18" i="47"/>
  <c r="F16" i="47"/>
  <c r="D18" i="47"/>
  <c r="F15" i="47"/>
  <c r="X16" i="47"/>
  <c r="X20" i="47"/>
  <c r="N13" i="49"/>
  <c r="L20" i="49"/>
  <c r="N22" i="49"/>
  <c r="X25" i="49"/>
  <c r="N33" i="49"/>
  <c r="Z34" i="49"/>
  <c r="N21" i="50"/>
  <c r="Z22" i="50"/>
  <c r="L25" i="50"/>
  <c r="N16" i="52"/>
  <c r="N15" i="53"/>
  <c r="Z13" i="46"/>
  <c r="Z16" i="46"/>
  <c r="Z20" i="46"/>
  <c r="X22" i="46"/>
  <c r="X24" i="46"/>
  <c r="N12" i="47"/>
  <c r="J36" i="47"/>
  <c r="J34" i="47"/>
  <c r="J33" i="47"/>
  <c r="J31" i="47"/>
  <c r="J29" i="47"/>
  <c r="J27" i="47"/>
  <c r="J25" i="47"/>
  <c r="J24" i="47"/>
  <c r="J22" i="47"/>
  <c r="J21" i="47"/>
  <c r="J20" i="47"/>
  <c r="J18" i="47"/>
  <c r="J16" i="47"/>
  <c r="H18" i="47"/>
  <c r="J15" i="47"/>
  <c r="X13" i="47"/>
  <c r="Z15" i="47"/>
  <c r="X21" i="47"/>
  <c r="N21" i="49"/>
  <c r="X24" i="49"/>
  <c r="Z25" i="49"/>
  <c r="L15" i="50"/>
  <c r="Z33" i="50"/>
  <c r="J36" i="52"/>
  <c r="J34" i="52"/>
  <c r="J33" i="52"/>
  <c r="J31" i="52"/>
  <c r="J29" i="52"/>
  <c r="J27" i="52"/>
  <c r="J25" i="52"/>
  <c r="J24" i="52"/>
  <c r="J22" i="52"/>
  <c r="J21" i="52"/>
  <c r="J20" i="52"/>
  <c r="J18" i="52"/>
  <c r="J16" i="52"/>
  <c r="H18" i="52"/>
  <c r="N12" i="52"/>
  <c r="J15" i="52"/>
  <c r="X21" i="52"/>
  <c r="X20" i="53"/>
  <c r="X21" i="44"/>
  <c r="Z21" i="46"/>
  <c r="X25" i="46"/>
  <c r="X29" i="46"/>
  <c r="X33" i="46"/>
  <c r="X34" i="46"/>
  <c r="Z13" i="47"/>
  <c r="Z16" i="47"/>
  <c r="Z20" i="47"/>
  <c r="X22" i="47"/>
  <c r="X24" i="47"/>
  <c r="N20" i="49"/>
  <c r="X33" i="49"/>
  <c r="L20" i="50"/>
  <c r="N25" i="50"/>
  <c r="Z16" i="52"/>
  <c r="Z15" i="53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X12" i="46"/>
  <c r="Z22" i="46"/>
  <c r="Z24" i="46"/>
  <c r="Z21" i="47"/>
  <c r="X25" i="47"/>
  <c r="X29" i="47"/>
  <c r="X33" i="47"/>
  <c r="X34" i="47"/>
  <c r="Z13" i="49"/>
  <c r="X22" i="49"/>
  <c r="L29" i="49"/>
  <c r="Z33" i="49"/>
  <c r="N15" i="50"/>
  <c r="Z16" i="50"/>
  <c r="Z21" i="52"/>
  <c r="X25" i="52"/>
  <c r="Z20" i="53"/>
  <c r="X24" i="53"/>
  <c r="V24" i="46"/>
  <c r="V22" i="46"/>
  <c r="V21" i="46"/>
  <c r="V20" i="46"/>
  <c r="V18" i="46"/>
  <c r="V16" i="46"/>
  <c r="T18" i="46"/>
  <c r="V15" i="46"/>
  <c r="Z12" i="46"/>
  <c r="V34" i="46"/>
  <c r="V33" i="46"/>
  <c r="V31" i="46"/>
  <c r="V27" i="46"/>
  <c r="V25" i="46"/>
  <c r="V36" i="46"/>
  <c r="V29" i="46"/>
  <c r="L15" i="46"/>
  <c r="Z25" i="46"/>
  <c r="Z29" i="46"/>
  <c r="Z33" i="46"/>
  <c r="Z34" i="46"/>
  <c r="R36" i="47"/>
  <c r="R34" i="47"/>
  <c r="R33" i="47"/>
  <c r="R31" i="47"/>
  <c r="R29" i="47"/>
  <c r="R27" i="47"/>
  <c r="R25" i="47"/>
  <c r="R24" i="47"/>
  <c r="R22" i="47"/>
  <c r="R21" i="47"/>
  <c r="R20" i="47"/>
  <c r="R18" i="47"/>
  <c r="R16" i="47"/>
  <c r="P18" i="47"/>
  <c r="R15" i="47"/>
  <c r="X12" i="47"/>
  <c r="Z22" i="47"/>
  <c r="Z24" i="47"/>
  <c r="F36" i="49"/>
  <c r="F29" i="49"/>
  <c r="F18" i="49"/>
  <c r="F31" i="49"/>
  <c r="D18" i="49"/>
  <c r="F20" i="49"/>
  <c r="F21" i="49"/>
  <c r="F33" i="49"/>
  <c r="F22" i="49"/>
  <c r="F24" i="49"/>
  <c r="F34" i="49"/>
  <c r="F25" i="49"/>
  <c r="F27" i="49"/>
  <c r="F15" i="49"/>
  <c r="F16" i="49"/>
  <c r="L12" i="49"/>
  <c r="L16" i="49"/>
  <c r="R24" i="50"/>
  <c r="R22" i="50"/>
  <c r="R20" i="50"/>
  <c r="R18" i="50"/>
  <c r="R16" i="50"/>
  <c r="P18" i="50"/>
  <c r="R15" i="50"/>
  <c r="R36" i="50"/>
  <c r="R31" i="50"/>
  <c r="R25" i="50"/>
  <c r="R21" i="50"/>
  <c r="R33" i="50"/>
  <c r="R27" i="50"/>
  <c r="R34" i="50"/>
  <c r="R29" i="50"/>
  <c r="X12" i="50"/>
  <c r="L29" i="50"/>
  <c r="L34" i="50"/>
  <c r="L22" i="52"/>
  <c r="L21" i="53"/>
  <c r="L13" i="52"/>
  <c r="N21" i="52"/>
  <c r="L25" i="52"/>
  <c r="L29" i="52"/>
  <c r="L33" i="52"/>
  <c r="L34" i="52"/>
  <c r="N16" i="53"/>
  <c r="N20" i="53"/>
  <c r="L22" i="53"/>
  <c r="L24" i="53"/>
  <c r="N13" i="52"/>
  <c r="N22" i="52"/>
  <c r="N24" i="52"/>
  <c r="L13" i="53"/>
  <c r="N21" i="53"/>
  <c r="L25" i="53"/>
  <c r="L29" i="53"/>
  <c r="L33" i="53"/>
  <c r="L34" i="53"/>
  <c r="X15" i="52"/>
  <c r="N25" i="52"/>
  <c r="N29" i="52"/>
  <c r="N33" i="52"/>
  <c r="N34" i="52"/>
  <c r="N13" i="53"/>
  <c r="N22" i="53"/>
  <c r="N24" i="53"/>
  <c r="N16" i="50"/>
  <c r="N20" i="50"/>
  <c r="L22" i="50"/>
  <c r="L24" i="50"/>
  <c r="F20" i="52"/>
  <c r="F18" i="52"/>
  <c r="F16" i="52"/>
  <c r="D18" i="52"/>
  <c r="F15" i="52"/>
  <c r="F36" i="52"/>
  <c r="F34" i="52"/>
  <c r="F33" i="52"/>
  <c r="F31" i="52"/>
  <c r="F29" i="52"/>
  <c r="F27" i="52"/>
  <c r="F25" i="52"/>
  <c r="F24" i="52"/>
  <c r="F22" i="52"/>
  <c r="L12" i="52"/>
  <c r="F21" i="52"/>
  <c r="X16" i="52"/>
  <c r="X20" i="52"/>
  <c r="X15" i="53"/>
  <c r="N25" i="53"/>
  <c r="N29" i="53"/>
  <c r="N33" i="53"/>
  <c r="N34" i="53"/>
  <c r="J31" i="49"/>
  <c r="H18" i="49"/>
  <c r="J20" i="49"/>
  <c r="J21" i="49"/>
  <c r="J33" i="49"/>
  <c r="J22" i="49"/>
  <c r="J24" i="49"/>
  <c r="J34" i="49"/>
  <c r="J25" i="49"/>
  <c r="J27" i="49"/>
  <c r="J15" i="49"/>
  <c r="J16" i="49"/>
  <c r="J36" i="49"/>
  <c r="J29" i="49"/>
  <c r="N12" i="49"/>
  <c r="J18" i="49"/>
  <c r="X13" i="49"/>
  <c r="Z15" i="49"/>
  <c r="X21" i="49"/>
  <c r="F21" i="50"/>
  <c r="F24" i="50"/>
  <c r="F20" i="50"/>
  <c r="L12" i="50"/>
  <c r="F15" i="50"/>
  <c r="F36" i="50"/>
  <c r="F31" i="50"/>
  <c r="F25" i="50"/>
  <c r="F16" i="50"/>
  <c r="F33" i="50"/>
  <c r="F27" i="50"/>
  <c r="F22" i="50"/>
  <c r="F18" i="50"/>
  <c r="D18" i="50"/>
  <c r="F34" i="50"/>
  <c r="F29" i="50"/>
  <c r="X16" i="50"/>
  <c r="X20" i="50"/>
  <c r="X12" i="52"/>
  <c r="R36" i="52"/>
  <c r="R34" i="52"/>
  <c r="R33" i="52"/>
  <c r="R31" i="52"/>
  <c r="R29" i="52"/>
  <c r="R27" i="52"/>
  <c r="R25" i="52"/>
  <c r="P18" i="52"/>
  <c r="R15" i="52"/>
  <c r="R21" i="52"/>
  <c r="R16" i="52"/>
  <c r="R24" i="52"/>
  <c r="R20" i="52"/>
  <c r="R22" i="52"/>
  <c r="R18" i="52"/>
  <c r="Z22" i="52"/>
  <c r="Z24" i="52"/>
  <c r="Z21" i="53"/>
  <c r="X25" i="53"/>
  <c r="X29" i="53"/>
  <c r="X33" i="53"/>
  <c r="X34" i="53"/>
  <c r="N12" i="50"/>
  <c r="J36" i="50"/>
  <c r="J34" i="50"/>
  <c r="J33" i="50"/>
  <c r="J31" i="50"/>
  <c r="J29" i="50"/>
  <c r="J27" i="50"/>
  <c r="J25" i="50"/>
  <c r="H18" i="50"/>
  <c r="J15" i="50"/>
  <c r="J20" i="50"/>
  <c r="J21" i="50"/>
  <c r="J16" i="50"/>
  <c r="J22" i="50"/>
  <c r="J18" i="50"/>
  <c r="J24" i="50"/>
  <c r="X13" i="50"/>
  <c r="Z15" i="50"/>
  <c r="X21" i="50"/>
  <c r="Z12" i="52"/>
  <c r="V36" i="52"/>
  <c r="V34" i="52"/>
  <c r="V33" i="52"/>
  <c r="V31" i="52"/>
  <c r="V29" i="52"/>
  <c r="V27" i="52"/>
  <c r="V25" i="52"/>
  <c r="V24" i="52"/>
  <c r="V22" i="52"/>
  <c r="V21" i="52"/>
  <c r="V16" i="52"/>
  <c r="V20" i="52"/>
  <c r="V15" i="52"/>
  <c r="V18" i="52"/>
  <c r="T18" i="52"/>
  <c r="L15" i="52"/>
  <c r="Z25" i="52"/>
  <c r="Z29" i="52"/>
  <c r="Z33" i="52"/>
  <c r="Z34" i="52"/>
  <c r="X12" i="53"/>
  <c r="R36" i="53"/>
  <c r="R34" i="53"/>
  <c r="R33" i="53"/>
  <c r="R31" i="53"/>
  <c r="R29" i="53"/>
  <c r="R27" i="53"/>
  <c r="R25" i="53"/>
  <c r="R24" i="53"/>
  <c r="R22" i="53"/>
  <c r="R20" i="53"/>
  <c r="R15" i="53"/>
  <c r="R18" i="53"/>
  <c r="P18" i="53"/>
  <c r="R21" i="53"/>
  <c r="R16" i="53"/>
  <c r="Z22" i="53"/>
  <c r="Z24" i="53"/>
  <c r="L16" i="52"/>
  <c r="L20" i="52"/>
  <c r="V36" i="53"/>
  <c r="V34" i="53"/>
  <c r="V33" i="53"/>
  <c r="V31" i="53"/>
  <c r="V29" i="53"/>
  <c r="V27" i="53"/>
  <c r="V25" i="53"/>
  <c r="V24" i="53"/>
  <c r="V22" i="53"/>
  <c r="V21" i="53"/>
  <c r="V20" i="53"/>
  <c r="V18" i="53"/>
  <c r="V16" i="53"/>
  <c r="V15" i="53"/>
  <c r="T18" i="53"/>
  <c r="Z12" i="53"/>
  <c r="L15" i="53"/>
  <c r="Z25" i="53"/>
  <c r="Z29" i="53"/>
  <c r="Z33" i="53"/>
  <c r="Z34" i="53"/>
  <c r="R36" i="49"/>
  <c r="R34" i="49"/>
  <c r="R33" i="49"/>
  <c r="R31" i="49"/>
  <c r="R29" i="49"/>
  <c r="R27" i="49"/>
  <c r="R25" i="49"/>
  <c r="R20" i="49"/>
  <c r="R18" i="49"/>
  <c r="R16" i="49"/>
  <c r="R22" i="49"/>
  <c r="R24" i="49"/>
  <c r="R15" i="49"/>
  <c r="P18" i="49"/>
  <c r="X12" i="49"/>
  <c r="R21" i="49"/>
  <c r="Z22" i="49"/>
  <c r="Z24" i="49"/>
  <c r="Z21" i="50"/>
  <c r="X25" i="50"/>
  <c r="X29" i="50"/>
  <c r="X33" i="50"/>
  <c r="X34" i="50"/>
  <c r="N15" i="52"/>
  <c r="L21" i="52"/>
  <c r="L16" i="53"/>
  <c r="L20" i="53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N25" i="112"/>
  <c r="Z21" i="110"/>
  <c r="Z15" i="111"/>
  <c r="N29" i="112"/>
  <c r="X25" i="110"/>
  <c r="N33" i="112"/>
  <c r="X21" i="111"/>
  <c r="X15" i="112"/>
  <c r="N34" i="112"/>
  <c r="X29" i="110"/>
  <c r="R21" i="110"/>
  <c r="R20" i="110"/>
  <c r="R18" i="110"/>
  <c r="R16" i="110"/>
  <c r="P18" i="110"/>
  <c r="R15" i="110"/>
  <c r="X12" i="110"/>
  <c r="R36" i="110"/>
  <c r="R34" i="110"/>
  <c r="R33" i="110"/>
  <c r="R31" i="110"/>
  <c r="R29" i="110"/>
  <c r="R27" i="110"/>
  <c r="R25" i="110"/>
  <c r="R24" i="110"/>
  <c r="R22" i="110"/>
  <c r="Z22" i="110"/>
  <c r="Z24" i="110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T18" i="110"/>
  <c r="V15" i="110"/>
  <c r="Z12" i="110"/>
  <c r="V36" i="110"/>
  <c r="V34" i="110"/>
  <c r="V33" i="110"/>
  <c r="V31" i="110"/>
  <c r="V29" i="110"/>
  <c r="V27" i="110"/>
  <c r="V25" i="110"/>
  <c r="V24" i="110"/>
  <c r="V22" i="110"/>
  <c r="V21" i="110"/>
  <c r="V20" i="110"/>
  <c r="V18" i="110"/>
  <c r="V16" i="110"/>
  <c r="L15" i="110"/>
  <c r="Z25" i="110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36" i="112"/>
  <c r="J34" i="112"/>
  <c r="J33" i="112"/>
  <c r="J31" i="112"/>
  <c r="J29" i="112"/>
  <c r="J27" i="112"/>
  <c r="J25" i="112"/>
  <c r="J24" i="112"/>
  <c r="J22" i="112"/>
  <c r="X13" i="112"/>
  <c r="Z15" i="112"/>
  <c r="X21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1" i="111"/>
  <c r="R20" i="111"/>
  <c r="R18" i="111"/>
  <c r="R16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P18" i="112"/>
  <c r="R15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R221" i="3"/>
  <c r="R205" i="3"/>
  <c r="R263" i="3"/>
  <c r="R262" i="3"/>
  <c r="R248" i="3"/>
  <c r="R232" i="3"/>
  <c r="R228" i="3"/>
  <c r="R224" i="3"/>
  <c r="R212" i="3"/>
  <c r="R249" i="3"/>
  <c r="R240" i="3"/>
  <c r="R239" i="3"/>
  <c r="R250" i="3"/>
  <c r="R218" i="3"/>
  <c r="R252" i="3"/>
  <c r="R253" i="3"/>
  <c r="R236" i="3"/>
  <c r="R199" i="3"/>
  <c r="R161" i="3"/>
  <c r="R157" i="3"/>
  <c r="R242" i="3"/>
  <c r="R233" i="3"/>
  <c r="R230" i="3"/>
  <c r="R225" i="3"/>
  <c r="R200" i="3"/>
  <c r="R185" i="3"/>
  <c r="R184" i="3"/>
  <c r="R176" i="3"/>
  <c r="R169" i="3"/>
  <c r="R168" i="3"/>
  <c r="R153" i="3"/>
  <c r="R152" i="3"/>
  <c r="R148" i="3"/>
  <c r="R144" i="3"/>
  <c r="X12" i="3"/>
  <c r="R166" i="3"/>
  <c r="R142" i="3"/>
  <c r="R251" i="3"/>
  <c r="R245" i="3"/>
  <c r="R222" i="3"/>
  <c r="R206" i="3"/>
  <c r="R192" i="3"/>
  <c r="R191" i="3"/>
  <c r="R135" i="3"/>
  <c r="R131" i="3"/>
  <c r="R127" i="3"/>
  <c r="R123" i="3"/>
  <c r="R119" i="3"/>
  <c r="R115" i="3"/>
  <c r="R111" i="3"/>
  <c r="R107" i="3"/>
  <c r="R103" i="3"/>
  <c r="R99" i="3"/>
  <c r="R254" i="3"/>
  <c r="R216" i="3"/>
  <c r="R186" i="3"/>
  <c r="R171" i="3"/>
  <c r="R170" i="3"/>
  <c r="R162" i="3"/>
  <c r="R158" i="3"/>
  <c r="R154" i="3"/>
  <c r="R125" i="3"/>
  <c r="R258" i="3"/>
  <c r="R219" i="3"/>
  <c r="R213" i="3"/>
  <c r="R210" i="3"/>
  <c r="R201" i="3"/>
  <c r="R194" i="3"/>
  <c r="R193" i="3"/>
  <c r="R178" i="3"/>
  <c r="R177" i="3"/>
  <c r="R149" i="3"/>
  <c r="R145" i="3"/>
  <c r="R117" i="3"/>
  <c r="R109" i="3"/>
  <c r="R231" i="3"/>
  <c r="R223" i="3"/>
  <c r="R202" i="3"/>
  <c r="R172" i="3"/>
  <c r="R136" i="3"/>
  <c r="R132" i="3"/>
  <c r="R128" i="3"/>
  <c r="R124" i="3"/>
  <c r="R120" i="3"/>
  <c r="R116" i="3"/>
  <c r="R112" i="3"/>
  <c r="R108" i="3"/>
  <c r="R104" i="3"/>
  <c r="R100" i="3"/>
  <c r="R189" i="3"/>
  <c r="R173" i="3"/>
  <c r="R165" i="3"/>
  <c r="R243" i="3"/>
  <c r="R237" i="3"/>
  <c r="R220" i="3"/>
  <c r="R207" i="3"/>
  <c r="R196" i="3"/>
  <c r="R195" i="3"/>
  <c r="R188" i="3"/>
  <c r="R187" i="3"/>
  <c r="R179" i="3"/>
  <c r="R164" i="3"/>
  <c r="R163" i="3"/>
  <c r="R159" i="3"/>
  <c r="R155" i="3"/>
  <c r="R96" i="3"/>
  <c r="R105" i="3"/>
  <c r="R241" i="3"/>
  <c r="R234" i="3"/>
  <c r="R229" i="3"/>
  <c r="R226" i="3"/>
  <c r="R214" i="3"/>
  <c r="R203" i="3"/>
  <c r="R150" i="3"/>
  <c r="R146" i="3"/>
  <c r="R238" i="3"/>
  <c r="R133" i="3"/>
  <c r="R244" i="3"/>
  <c r="R217" i="3"/>
  <c r="R198" i="3"/>
  <c r="R197" i="3"/>
  <c r="R181" i="3"/>
  <c r="R180" i="3"/>
  <c r="R160" i="3"/>
  <c r="R156" i="3"/>
  <c r="R141" i="3"/>
  <c r="R139" i="3"/>
  <c r="R211" i="3"/>
  <c r="R137" i="3"/>
  <c r="R215" i="3"/>
  <c r="R208" i="3"/>
  <c r="R167" i="3"/>
  <c r="R151" i="3"/>
  <c r="R147" i="3"/>
  <c r="R143" i="3"/>
  <c r="P139" i="3"/>
  <c r="R235" i="3"/>
  <c r="R204" i="3"/>
  <c r="R129" i="3"/>
  <c r="R121" i="3"/>
  <c r="R113" i="3"/>
  <c r="R97" i="3"/>
  <c r="R227" i="3"/>
  <c r="R209" i="3"/>
  <c r="R190" i="3"/>
  <c r="R183" i="3"/>
  <c r="R182" i="3"/>
  <c r="R175" i="3"/>
  <c r="R174" i="3"/>
  <c r="R134" i="3"/>
  <c r="R130" i="3"/>
  <c r="R126" i="3"/>
  <c r="R122" i="3"/>
  <c r="R118" i="3"/>
  <c r="R114" i="3"/>
  <c r="R110" i="3"/>
  <c r="R106" i="3"/>
  <c r="R102" i="3"/>
  <c r="R98" i="3"/>
  <c r="R101" i="3"/>
  <c r="F250" i="3"/>
  <c r="F241" i="3"/>
  <c r="F240" i="3"/>
  <c r="F233" i="3"/>
  <c r="F229" i="3"/>
  <c r="F225" i="3"/>
  <c r="F213" i="3"/>
  <c r="F201" i="3"/>
  <c r="F200" i="3"/>
  <c r="F251" i="3"/>
  <c r="F254" i="3"/>
  <c r="F236" i="3"/>
  <c r="F235" i="3"/>
  <c r="F216" i="3"/>
  <c r="F243" i="3"/>
  <c r="F258" i="3"/>
  <c r="F222" i="3"/>
  <c r="F263" i="3"/>
  <c r="F238" i="3"/>
  <c r="F232" i="3"/>
  <c r="F224" i="3"/>
  <c r="F214" i="3"/>
  <c r="F196" i="3"/>
  <c r="F189" i="3"/>
  <c r="F188" i="3"/>
  <c r="F173" i="3"/>
  <c r="F165" i="3"/>
  <c r="F164" i="3"/>
  <c r="F137" i="3"/>
  <c r="F133" i="3"/>
  <c r="F129" i="3"/>
  <c r="F125" i="3"/>
  <c r="F121" i="3"/>
  <c r="F117" i="3"/>
  <c r="F113" i="3"/>
  <c r="F109" i="3"/>
  <c r="F105" i="3"/>
  <c r="F101" i="3"/>
  <c r="F97" i="3"/>
  <c r="F96" i="3"/>
  <c r="F244" i="3"/>
  <c r="F221" i="3"/>
  <c r="F208" i="3"/>
  <c r="F204" i="3"/>
  <c r="F197" i="3"/>
  <c r="F180" i="3"/>
  <c r="F160" i="3"/>
  <c r="F156" i="3"/>
  <c r="F149" i="3"/>
  <c r="F227" i="3"/>
  <c r="F215" i="3"/>
  <c r="F205" i="3"/>
  <c r="F167" i="3"/>
  <c r="F166" i="3"/>
  <c r="F151" i="3"/>
  <c r="F147" i="3"/>
  <c r="F143" i="3"/>
  <c r="F142" i="3"/>
  <c r="F248" i="3"/>
  <c r="F239" i="3"/>
  <c r="F212" i="3"/>
  <c r="F198" i="3"/>
  <c r="F190" i="3"/>
  <c r="F182" i="3"/>
  <c r="F181" i="3"/>
  <c r="F174" i="3"/>
  <c r="F141" i="3"/>
  <c r="F134" i="3"/>
  <c r="F130" i="3"/>
  <c r="F126" i="3"/>
  <c r="F122" i="3"/>
  <c r="F118" i="3"/>
  <c r="F114" i="3"/>
  <c r="F110" i="3"/>
  <c r="F106" i="3"/>
  <c r="F102" i="3"/>
  <c r="F98" i="3"/>
  <c r="F253" i="3"/>
  <c r="F245" i="3"/>
  <c r="F242" i="3"/>
  <c r="F230" i="3"/>
  <c r="F218" i="3"/>
  <c r="F209" i="3"/>
  <c r="F199" i="3"/>
  <c r="F161" i="3"/>
  <c r="F157" i="3"/>
  <c r="D139" i="3"/>
  <c r="F139" i="3" s="1"/>
  <c r="F184" i="3"/>
  <c r="F183" i="3"/>
  <c r="F176" i="3"/>
  <c r="F175" i="3"/>
  <c r="F168" i="3"/>
  <c r="F152" i="3"/>
  <c r="F148" i="3"/>
  <c r="F144" i="3"/>
  <c r="L12" i="3"/>
  <c r="N12" i="3" s="1"/>
  <c r="F237" i="3"/>
  <c r="F193" i="3"/>
  <c r="F228" i="3"/>
  <c r="F206" i="3"/>
  <c r="F191" i="3"/>
  <c r="F135" i="3"/>
  <c r="F131" i="3"/>
  <c r="F127" i="3"/>
  <c r="F123" i="3"/>
  <c r="F119" i="3"/>
  <c r="F115" i="3"/>
  <c r="F111" i="3"/>
  <c r="F107" i="3"/>
  <c r="F103" i="3"/>
  <c r="F99" i="3"/>
  <c r="F145" i="3"/>
  <c r="F262" i="3"/>
  <c r="F249" i="3"/>
  <c r="F210" i="3"/>
  <c r="F186" i="3"/>
  <c r="F185" i="3"/>
  <c r="F170" i="3"/>
  <c r="F169" i="3"/>
  <c r="F162" i="3"/>
  <c r="F158" i="3"/>
  <c r="F154" i="3"/>
  <c r="F153" i="3"/>
  <c r="F219" i="3"/>
  <c r="F223" i="3"/>
  <c r="F172" i="3"/>
  <c r="F171" i="3"/>
  <c r="F136" i="3"/>
  <c r="F132" i="3"/>
  <c r="F128" i="3"/>
  <c r="F124" i="3"/>
  <c r="F120" i="3"/>
  <c r="F116" i="3"/>
  <c r="F112" i="3"/>
  <c r="F108" i="3"/>
  <c r="F104" i="3"/>
  <c r="F100" i="3"/>
  <c r="F231" i="3"/>
  <c r="F192" i="3"/>
  <c r="F252" i="3"/>
  <c r="F234" i="3"/>
  <c r="F226" i="3"/>
  <c r="F207" i="3"/>
  <c r="F202" i="3"/>
  <c r="F195" i="3"/>
  <c r="F194" i="3"/>
  <c r="F187" i="3"/>
  <c r="F179" i="3"/>
  <c r="F178" i="3"/>
  <c r="F163" i="3"/>
  <c r="F159" i="3"/>
  <c r="F155" i="3"/>
  <c r="F177" i="3"/>
  <c r="F247" i="3"/>
  <c r="F220" i="3"/>
  <c r="F217" i="3"/>
  <c r="F211" i="3"/>
  <c r="F203" i="3"/>
  <c r="F150" i="3"/>
  <c r="F146" i="3"/>
  <c r="N235" i="3"/>
  <c r="N166" i="3"/>
  <c r="Z185" i="3"/>
  <c r="Z169" i="3"/>
  <c r="Z200" i="3"/>
  <c r="Z153" i="3"/>
  <c r="Z141" i="3"/>
  <c r="V111" i="3"/>
  <c r="V127" i="3"/>
  <c r="J97" i="3"/>
  <c r="J101" i="3"/>
  <c r="J105" i="3"/>
  <c r="J109" i="3"/>
  <c r="J113" i="3"/>
  <c r="J117" i="3"/>
  <c r="J121" i="3"/>
  <c r="J125" i="3"/>
  <c r="J129" i="3"/>
  <c r="J133" i="3"/>
  <c r="J137" i="3"/>
  <c r="V153" i="3"/>
  <c r="V157" i="3"/>
  <c r="V161" i="3"/>
  <c r="J165" i="3"/>
  <c r="V169" i="3"/>
  <c r="Z171" i="3"/>
  <c r="J173" i="3"/>
  <c r="N181" i="3"/>
  <c r="V185" i="3"/>
  <c r="J189" i="3"/>
  <c r="N198" i="3"/>
  <c r="V199" i="3"/>
  <c r="V200" i="3"/>
  <c r="J204" i="3"/>
  <c r="V212" i="3"/>
  <c r="J224" i="3"/>
  <c r="J232" i="3"/>
  <c r="L235" i="3"/>
  <c r="N238" i="3"/>
  <c r="N263" i="3"/>
  <c r="X114" i="12"/>
  <c r="Z114" i="12" s="1"/>
  <c r="N155" i="12"/>
  <c r="X174" i="12"/>
  <c r="Z174" i="12" s="1"/>
  <c r="L13" i="15"/>
  <c r="N13" i="15" s="1"/>
  <c r="D12" i="15"/>
  <c r="V115" i="3"/>
  <c r="J96" i="3"/>
  <c r="V98" i="3"/>
  <c r="V102" i="3"/>
  <c r="V106" i="3"/>
  <c r="V110" i="3"/>
  <c r="V114" i="3"/>
  <c r="V118" i="3"/>
  <c r="V122" i="3"/>
  <c r="V126" i="3"/>
  <c r="V130" i="3"/>
  <c r="V134" i="3"/>
  <c r="J146" i="3"/>
  <c r="J150" i="3"/>
  <c r="J164" i="3"/>
  <c r="V174" i="3"/>
  <c r="V182" i="3"/>
  <c r="J188" i="3"/>
  <c r="V190" i="3"/>
  <c r="J196" i="3"/>
  <c r="J203" i="3"/>
  <c r="V205" i="3"/>
  <c r="Z209" i="3"/>
  <c r="N220" i="3"/>
  <c r="J229" i="3"/>
  <c r="J238" i="3"/>
  <c r="J241" i="3"/>
  <c r="J250" i="3"/>
  <c r="J263" i="3"/>
  <c r="Z12" i="6"/>
  <c r="T16" i="6"/>
  <c r="V31" i="6"/>
  <c r="V29" i="6"/>
  <c r="V28" i="6"/>
  <c r="V26" i="6"/>
  <c r="V24" i="6"/>
  <c r="Z28" i="6"/>
  <c r="Z20" i="9"/>
  <c r="Z63" i="9"/>
  <c r="N184" i="12"/>
  <c r="V244" i="3"/>
  <c r="V236" i="3"/>
  <c r="V216" i="3"/>
  <c r="V196" i="3"/>
  <c r="V243" i="3"/>
  <c r="V248" i="3"/>
  <c r="V249" i="3"/>
  <c r="V239" i="3"/>
  <c r="V250" i="3"/>
  <c r="V251" i="3"/>
  <c r="V241" i="3"/>
  <c r="V233" i="3"/>
  <c r="V229" i="3"/>
  <c r="V225" i="3"/>
  <c r="V213" i="3"/>
  <c r="V209" i="3"/>
  <c r="V253" i="3"/>
  <c r="V99" i="3"/>
  <c r="V103" i="3"/>
  <c r="V107" i="3"/>
  <c r="V131" i="3"/>
  <c r="Z12" i="3"/>
  <c r="L13" i="3"/>
  <c r="N13" i="3" s="1"/>
  <c r="V143" i="3"/>
  <c r="V147" i="3"/>
  <c r="V151" i="3"/>
  <c r="J155" i="3"/>
  <c r="J159" i="3"/>
  <c r="J163" i="3"/>
  <c r="V167" i="3"/>
  <c r="V175" i="3"/>
  <c r="J179" i="3"/>
  <c r="V183" i="3"/>
  <c r="J187" i="3"/>
  <c r="J195" i="3"/>
  <c r="J207" i="3"/>
  <c r="V208" i="3"/>
  <c r="V215" i="3"/>
  <c r="J220" i="3"/>
  <c r="V221" i="3"/>
  <c r="J226" i="3"/>
  <c r="J234" i="3"/>
  <c r="T256" i="3"/>
  <c r="X12" i="6"/>
  <c r="V16" i="6"/>
  <c r="L29" i="6"/>
  <c r="H17" i="9"/>
  <c r="L43" i="9"/>
  <c r="Z52" i="9"/>
  <c r="L144" i="12"/>
  <c r="N144" i="12" s="1"/>
  <c r="N168" i="12"/>
  <c r="L168" i="12"/>
  <c r="N29" i="6"/>
  <c r="V109" i="9"/>
  <c r="V106" i="9"/>
  <c r="V104" i="9"/>
  <c r="V92" i="9"/>
  <c r="V80" i="9"/>
  <c r="V68" i="9"/>
  <c r="V60" i="9"/>
  <c r="V52" i="9"/>
  <c r="V28" i="9"/>
  <c r="V24" i="9"/>
  <c r="V20" i="9"/>
  <c r="V63" i="9"/>
  <c r="V51" i="9"/>
  <c r="V43" i="9"/>
  <c r="V19" i="9"/>
  <c r="V17" i="9"/>
  <c r="V15" i="9"/>
  <c r="V94" i="9"/>
  <c r="V86" i="9"/>
  <c r="V82" i="9"/>
  <c r="V74" i="9"/>
  <c r="V62" i="9"/>
  <c r="V54" i="9"/>
  <c r="V42" i="9"/>
  <c r="V38" i="9"/>
  <c r="V34" i="9"/>
  <c r="T17" i="9"/>
  <c r="V81" i="9"/>
  <c r="V69" i="9"/>
  <c r="V53" i="9"/>
  <c r="V45" i="9"/>
  <c r="V29" i="9"/>
  <c r="V25" i="9"/>
  <c r="V21" i="9"/>
  <c r="V88" i="9"/>
  <c r="V76" i="9"/>
  <c r="V64" i="9"/>
  <c r="V56" i="9"/>
  <c r="V44" i="9"/>
  <c r="V97" i="9"/>
  <c r="V95" i="9"/>
  <c r="V87" i="9"/>
  <c r="V83" i="9"/>
  <c r="V75" i="9"/>
  <c r="V71" i="9"/>
  <c r="V55" i="9"/>
  <c r="V47" i="9"/>
  <c r="V39" i="9"/>
  <c r="V35" i="9"/>
  <c r="V98" i="9"/>
  <c r="V70" i="9"/>
  <c r="V66" i="9"/>
  <c r="V58" i="9"/>
  <c r="V46" i="9"/>
  <c r="V30" i="9"/>
  <c r="V26" i="9"/>
  <c r="V22" i="9"/>
  <c r="Z12" i="9"/>
  <c r="V99" i="9"/>
  <c r="V89" i="9"/>
  <c r="V77" i="9"/>
  <c r="V65" i="9"/>
  <c r="V57" i="9"/>
  <c r="V49" i="9"/>
  <c r="V91" i="9"/>
  <c r="V79" i="9"/>
  <c r="V67" i="9"/>
  <c r="V59" i="9"/>
  <c r="V31" i="9"/>
  <c r="V27" i="9"/>
  <c r="V23" i="9"/>
  <c r="V90" i="9"/>
  <c r="V78" i="9"/>
  <c r="V50" i="9"/>
  <c r="V93" i="9"/>
  <c r="V85" i="9"/>
  <c r="V73" i="9"/>
  <c r="V61" i="9"/>
  <c r="V41" i="9"/>
  <c r="V37" i="9"/>
  <c r="V33" i="9"/>
  <c r="F211" i="12"/>
  <c r="F199" i="12"/>
  <c r="F195" i="12"/>
  <c r="F183" i="12"/>
  <c r="F218" i="12"/>
  <c r="F209" i="12"/>
  <c r="F208" i="12"/>
  <c r="F201" i="12"/>
  <c r="F197" i="12"/>
  <c r="F181" i="12"/>
  <c r="F212" i="12"/>
  <c r="F204" i="12"/>
  <c r="F203" i="12"/>
  <c r="F186" i="12"/>
  <c r="F182" i="12"/>
  <c r="F178" i="12"/>
  <c r="F162" i="12"/>
  <c r="F154" i="12"/>
  <c r="F153" i="12"/>
  <c r="F146" i="12"/>
  <c r="F138" i="12"/>
  <c r="F137" i="12"/>
  <c r="F110" i="12"/>
  <c r="F106" i="12"/>
  <c r="F102" i="12"/>
  <c r="F98" i="12"/>
  <c r="F94" i="12"/>
  <c r="F90" i="12"/>
  <c r="F86" i="12"/>
  <c r="F82" i="12"/>
  <c r="F78" i="12"/>
  <c r="F77" i="12"/>
  <c r="F200" i="12"/>
  <c r="F194" i="12"/>
  <c r="F190" i="12"/>
  <c r="F173" i="12"/>
  <c r="F172" i="12"/>
  <c r="F133" i="12"/>
  <c r="F129" i="12"/>
  <c r="F213" i="12"/>
  <c r="F179" i="12"/>
  <c r="F156" i="12"/>
  <c r="F155" i="12"/>
  <c r="F148" i="12"/>
  <c r="F147" i="12"/>
  <c r="F140" i="12"/>
  <c r="F139" i="12"/>
  <c r="F124" i="12"/>
  <c r="F120" i="12"/>
  <c r="F116" i="12"/>
  <c r="F115" i="12"/>
  <c r="F219" i="12"/>
  <c r="F191" i="12"/>
  <c r="F175" i="12"/>
  <c r="F174" i="12"/>
  <c r="F163" i="12"/>
  <c r="F114" i="12"/>
  <c r="F107" i="12"/>
  <c r="F103" i="12"/>
  <c r="F99" i="12"/>
  <c r="F95" i="12"/>
  <c r="F91" i="12"/>
  <c r="F87" i="12"/>
  <c r="F83" i="12"/>
  <c r="F79" i="12"/>
  <c r="F205" i="12"/>
  <c r="F187" i="12"/>
  <c r="F180" i="12"/>
  <c r="F158" i="12"/>
  <c r="F157" i="12"/>
  <c r="F134" i="12"/>
  <c r="F130" i="12"/>
  <c r="D112" i="12"/>
  <c r="F112" i="12" s="1"/>
  <c r="L12" i="12"/>
  <c r="N12" i="12" s="1"/>
  <c r="F210" i="12"/>
  <c r="F198" i="12"/>
  <c r="F165" i="12"/>
  <c r="F164" i="12"/>
  <c r="F149" i="12"/>
  <c r="F141" i="12"/>
  <c r="F125" i="12"/>
  <c r="F121" i="12"/>
  <c r="F117" i="12"/>
  <c r="F206" i="12"/>
  <c r="F176" i="12"/>
  <c r="F108" i="12"/>
  <c r="F104" i="12"/>
  <c r="F100" i="12"/>
  <c r="F96" i="12"/>
  <c r="F92" i="12"/>
  <c r="F88" i="12"/>
  <c r="F84" i="12"/>
  <c r="F80" i="12"/>
  <c r="F192" i="12"/>
  <c r="F188" i="12"/>
  <c r="F184" i="12"/>
  <c r="F167" i="12"/>
  <c r="F166" i="12"/>
  <c r="F159" i="12"/>
  <c r="F151" i="12"/>
  <c r="F150" i="12"/>
  <c r="F143" i="12"/>
  <c r="F142" i="12"/>
  <c r="F135" i="12"/>
  <c r="F131" i="12"/>
  <c r="F127" i="12"/>
  <c r="F126" i="12"/>
  <c r="F217" i="12"/>
  <c r="F202" i="12"/>
  <c r="F196" i="12"/>
  <c r="F185" i="12"/>
  <c r="F177" i="12"/>
  <c r="F169" i="12"/>
  <c r="F168" i="12"/>
  <c r="F161" i="12"/>
  <c r="F160" i="12"/>
  <c r="F145" i="12"/>
  <c r="F144" i="12"/>
  <c r="F109" i="12"/>
  <c r="F105" i="12"/>
  <c r="F101" i="12"/>
  <c r="F97" i="12"/>
  <c r="F93" i="12"/>
  <c r="F89" i="12"/>
  <c r="F85" i="12"/>
  <c r="F81" i="12"/>
  <c r="F152" i="12"/>
  <c r="F136" i="12"/>
  <c r="F132" i="12"/>
  <c r="F128" i="12"/>
  <c r="F223" i="12"/>
  <c r="F193" i="12"/>
  <c r="F189" i="12"/>
  <c r="F171" i="12"/>
  <c r="F170" i="12"/>
  <c r="F123" i="12"/>
  <c r="F119" i="12"/>
  <c r="F216" i="12"/>
  <c r="V97" i="3"/>
  <c r="V101" i="3"/>
  <c r="V105" i="3"/>
  <c r="V109" i="3"/>
  <c r="V113" i="3"/>
  <c r="V117" i="3"/>
  <c r="V121" i="3"/>
  <c r="V125" i="3"/>
  <c r="V129" i="3"/>
  <c r="V133" i="3"/>
  <c r="V137" i="3"/>
  <c r="V139" i="3"/>
  <c r="V141" i="3"/>
  <c r="J145" i="3"/>
  <c r="J149" i="3"/>
  <c r="V165" i="3"/>
  <c r="J171" i="3"/>
  <c r="V173" i="3"/>
  <c r="J177" i="3"/>
  <c r="V181" i="3"/>
  <c r="V189" i="3"/>
  <c r="J193" i="3"/>
  <c r="V198" i="3"/>
  <c r="J201" i="3"/>
  <c r="V211" i="3"/>
  <c r="J213" i="3"/>
  <c r="J219" i="3"/>
  <c r="J240" i="3"/>
  <c r="V247" i="3"/>
  <c r="V252" i="3"/>
  <c r="V263" i="3"/>
  <c r="N19" i="9"/>
  <c r="V100" i="9"/>
  <c r="Z144" i="12"/>
  <c r="Z168" i="12"/>
  <c r="J251" i="3"/>
  <c r="J214" i="3"/>
  <c r="J208" i="3"/>
  <c r="J202" i="3"/>
  <c r="J252" i="3"/>
  <c r="J243" i="3"/>
  <c r="J231" i="3"/>
  <c r="J227" i="3"/>
  <c r="J211" i="3"/>
  <c r="J258" i="3"/>
  <c r="J244" i="3"/>
  <c r="J245" i="3"/>
  <c r="J237" i="3"/>
  <c r="J223" i="3"/>
  <c r="J217" i="3"/>
  <c r="J248" i="3"/>
  <c r="J247" i="3"/>
  <c r="V142" i="3"/>
  <c r="V146" i="3"/>
  <c r="V150" i="3"/>
  <c r="J154" i="3"/>
  <c r="J158" i="3"/>
  <c r="J162" i="3"/>
  <c r="V166" i="3"/>
  <c r="J170" i="3"/>
  <c r="L171" i="3"/>
  <c r="N171" i="3" s="1"/>
  <c r="X181" i="3"/>
  <c r="Z181" i="3" s="1"/>
  <c r="J186" i="3"/>
  <c r="J192" i="3"/>
  <c r="X198" i="3"/>
  <c r="Z198" i="3" s="1"/>
  <c r="V203" i="3"/>
  <c r="V204" i="3"/>
  <c r="J210" i="3"/>
  <c r="J216" i="3"/>
  <c r="V226" i="3"/>
  <c r="V234" i="3"/>
  <c r="V235" i="3"/>
  <c r="V238" i="3"/>
  <c r="L240" i="3"/>
  <c r="N240" i="3" s="1"/>
  <c r="J249" i="3"/>
  <c r="N262" i="3"/>
  <c r="N49" i="9"/>
  <c r="N223" i="3"/>
  <c r="X250" i="3"/>
  <c r="Z250" i="3" s="1"/>
  <c r="P247" i="3"/>
  <c r="X247" i="3" s="1"/>
  <c r="Z247" i="3" s="1"/>
  <c r="Z263" i="3"/>
  <c r="X263" i="3"/>
  <c r="N43" i="9"/>
  <c r="F118" i="12"/>
  <c r="X18" i="3"/>
  <c r="J99" i="3"/>
  <c r="J103" i="3"/>
  <c r="J107" i="3"/>
  <c r="J111" i="3"/>
  <c r="J115" i="3"/>
  <c r="J119" i="3"/>
  <c r="J123" i="3"/>
  <c r="J127" i="3"/>
  <c r="J131" i="3"/>
  <c r="J135" i="3"/>
  <c r="J153" i="3"/>
  <c r="V155" i="3"/>
  <c r="V159" i="3"/>
  <c r="V163" i="3"/>
  <c r="J169" i="3"/>
  <c r="V179" i="3"/>
  <c r="J185" i="3"/>
  <c r="V187" i="3"/>
  <c r="J191" i="3"/>
  <c r="V195" i="3"/>
  <c r="J200" i="3"/>
  <c r="J206" i="3"/>
  <c r="V207" i="3"/>
  <c r="L209" i="3"/>
  <c r="N209" i="3" s="1"/>
  <c r="V214" i="3"/>
  <c r="J222" i="3"/>
  <c r="J228" i="3"/>
  <c r="X235" i="3"/>
  <c r="Z235" i="3" s="1"/>
  <c r="V237" i="3"/>
  <c r="X238" i="3"/>
  <c r="Z238" i="3" s="1"/>
  <c r="J262" i="3"/>
  <c r="V20" i="6"/>
  <c r="Z29" i="6"/>
  <c r="Z19" i="9"/>
  <c r="N147" i="12"/>
  <c r="V96" i="3"/>
  <c r="V100" i="3"/>
  <c r="V104" i="3"/>
  <c r="V108" i="3"/>
  <c r="V112" i="3"/>
  <c r="V116" i="3"/>
  <c r="V120" i="3"/>
  <c r="V124" i="3"/>
  <c r="V128" i="3"/>
  <c r="V132" i="3"/>
  <c r="V136" i="3"/>
  <c r="J144" i="3"/>
  <c r="J148" i="3"/>
  <c r="J152" i="3"/>
  <c r="V164" i="3"/>
  <c r="J168" i="3"/>
  <c r="V172" i="3"/>
  <c r="J176" i="3"/>
  <c r="J184" i="3"/>
  <c r="V188" i="3"/>
  <c r="V220" i="3"/>
  <c r="J225" i="3"/>
  <c r="V231" i="3"/>
  <c r="J233" i="3"/>
  <c r="D247" i="3"/>
  <c r="L247" i="3" s="1"/>
  <c r="N247" i="3" s="1"/>
  <c r="X49" i="9"/>
  <c r="V102" i="9"/>
  <c r="H225" i="12"/>
  <c r="V145" i="3"/>
  <c r="V149" i="3"/>
  <c r="J157" i="3"/>
  <c r="J161" i="3"/>
  <c r="J175" i="3"/>
  <c r="V177" i="3"/>
  <c r="J183" i="3"/>
  <c r="V193" i="3"/>
  <c r="J199" i="3"/>
  <c r="V201" i="3"/>
  <c r="V202" i="3"/>
  <c r="V210" i="3"/>
  <c r="J218" i="3"/>
  <c r="V219" i="3"/>
  <c r="V223" i="3"/>
  <c r="J230" i="3"/>
  <c r="J236" i="3"/>
  <c r="J242" i="3"/>
  <c r="J253" i="3"/>
  <c r="V258" i="3"/>
  <c r="Z262" i="3"/>
  <c r="X262" i="3"/>
  <c r="V32" i="9"/>
  <c r="Z49" i="9"/>
  <c r="V72" i="9"/>
  <c r="V84" i="9"/>
  <c r="T221" i="12"/>
  <c r="V221" i="12" s="1"/>
  <c r="F122" i="12"/>
  <c r="J118" i="3"/>
  <c r="J122" i="3"/>
  <c r="J126" i="3"/>
  <c r="J130" i="3"/>
  <c r="J134" i="3"/>
  <c r="H139" i="3"/>
  <c r="V154" i="3"/>
  <c r="V158" i="3"/>
  <c r="V162" i="3"/>
  <c r="V170" i="3"/>
  <c r="J174" i="3"/>
  <c r="V178" i="3"/>
  <c r="J182" i="3"/>
  <c r="V186" i="3"/>
  <c r="J190" i="3"/>
  <c r="V194" i="3"/>
  <c r="J209" i="3"/>
  <c r="J212" i="3"/>
  <c r="V228" i="3"/>
  <c r="J239" i="3"/>
  <c r="V240" i="3"/>
  <c r="V254" i="3"/>
  <c r="V262" i="3"/>
  <c r="F24" i="6"/>
  <c r="D16" i="6"/>
  <c r="F31" i="6"/>
  <c r="F29" i="6"/>
  <c r="F28" i="6"/>
  <c r="F26" i="6"/>
  <c r="L12" i="6"/>
  <c r="F22" i="6"/>
  <c r="F20" i="6"/>
  <c r="F18" i="6"/>
  <c r="F16" i="6"/>
  <c r="L28" i="6"/>
  <c r="V119" i="3"/>
  <c r="V123" i="3"/>
  <c r="V135" i="3"/>
  <c r="J167" i="3"/>
  <c r="V171" i="3"/>
  <c r="J181" i="3"/>
  <c r="V191" i="3"/>
  <c r="J198" i="3"/>
  <c r="J205" i="3"/>
  <c r="V206" i="3"/>
  <c r="J215" i="3"/>
  <c r="V222" i="3"/>
  <c r="V245" i="3"/>
  <c r="N28" i="6"/>
  <c r="V40" i="9"/>
  <c r="J142" i="3"/>
  <c r="V144" i="3"/>
  <c r="V148" i="3"/>
  <c r="V152" i="3"/>
  <c r="J156" i="3"/>
  <c r="J160" i="3"/>
  <c r="J166" i="3"/>
  <c r="V168" i="3"/>
  <c r="V176" i="3"/>
  <c r="J180" i="3"/>
  <c r="V184" i="3"/>
  <c r="V192" i="3"/>
  <c r="J197" i="3"/>
  <c r="N204" i="3"/>
  <c r="V218" i="3"/>
  <c r="J221" i="3"/>
  <c r="V230" i="3"/>
  <c r="J235" i="3"/>
  <c r="V242" i="3"/>
  <c r="V48" i="9"/>
  <c r="N58" i="9"/>
  <c r="N63" i="9"/>
  <c r="L160" i="12"/>
  <c r="N160" i="12" s="1"/>
  <c r="F70" i="9"/>
  <c r="V126" i="12"/>
  <c r="V130" i="12"/>
  <c r="V134" i="12"/>
  <c r="J138" i="12"/>
  <c r="V142" i="12"/>
  <c r="J146" i="12"/>
  <c r="V150" i="12"/>
  <c r="J154" i="12"/>
  <c r="V158" i="12"/>
  <c r="J162" i="12"/>
  <c r="V166" i="12"/>
  <c r="J172" i="12"/>
  <c r="J178" i="12"/>
  <c r="J182" i="12"/>
  <c r="J186" i="12"/>
  <c r="V187" i="12"/>
  <c r="J190" i="12"/>
  <c r="V191" i="12"/>
  <c r="J204" i="12"/>
  <c r="V205" i="12"/>
  <c r="V206" i="12"/>
  <c r="Z155" i="18"/>
  <c r="H16" i="6"/>
  <c r="D17" i="9"/>
  <c r="F35" i="9"/>
  <c r="F39" i="9"/>
  <c r="F54" i="9"/>
  <c r="F55" i="9"/>
  <c r="F75" i="9"/>
  <c r="J76" i="9"/>
  <c r="F82" i="9"/>
  <c r="F83" i="9"/>
  <c r="F87" i="9"/>
  <c r="J88" i="9"/>
  <c r="F95" i="9"/>
  <c r="V79" i="12"/>
  <c r="V83" i="12"/>
  <c r="V87" i="12"/>
  <c r="V91" i="12"/>
  <c r="V95" i="12"/>
  <c r="V99" i="12"/>
  <c r="V103" i="12"/>
  <c r="V107" i="12"/>
  <c r="J119" i="12"/>
  <c r="J123" i="12"/>
  <c r="J137" i="12"/>
  <c r="J153" i="12"/>
  <c r="V163" i="12"/>
  <c r="J171" i="12"/>
  <c r="V175" i="12"/>
  <c r="X179" i="12"/>
  <c r="Z179" i="12" s="1"/>
  <c r="J189" i="12"/>
  <c r="J203" i="12"/>
  <c r="J208" i="12"/>
  <c r="V219" i="12"/>
  <c r="J83" i="15"/>
  <c r="J103" i="15"/>
  <c r="N135" i="15"/>
  <c r="R26" i="6"/>
  <c r="R28" i="6"/>
  <c r="R29" i="6"/>
  <c r="R31" i="6"/>
  <c r="P12" i="9"/>
  <c r="F15" i="9"/>
  <c r="F17" i="9"/>
  <c r="F19" i="9"/>
  <c r="F43" i="9"/>
  <c r="F44" i="9"/>
  <c r="F63" i="9"/>
  <c r="F64" i="9"/>
  <c r="J75" i="9"/>
  <c r="J83" i="9"/>
  <c r="J87" i="9"/>
  <c r="J95" i="9"/>
  <c r="V116" i="12"/>
  <c r="V120" i="12"/>
  <c r="V124" i="12"/>
  <c r="J128" i="12"/>
  <c r="J132" i="12"/>
  <c r="J136" i="12"/>
  <c r="V140" i="12"/>
  <c r="V148" i="12"/>
  <c r="J152" i="12"/>
  <c r="V156" i="12"/>
  <c r="V164" i="12"/>
  <c r="J170" i="12"/>
  <c r="J193" i="12"/>
  <c r="V194" i="12"/>
  <c r="V197" i="12"/>
  <c r="J199" i="12"/>
  <c r="V200" i="12"/>
  <c r="V209" i="12"/>
  <c r="J211" i="12"/>
  <c r="D215" i="12"/>
  <c r="L215" i="12" s="1"/>
  <c r="N215" i="12" s="1"/>
  <c r="H108" i="15"/>
  <c r="Z208" i="15"/>
  <c r="J15" i="9"/>
  <c r="J17" i="9"/>
  <c r="J19" i="9"/>
  <c r="J21" i="9"/>
  <c r="J25" i="9"/>
  <c r="J29" i="9"/>
  <c r="F34" i="9"/>
  <c r="F38" i="9"/>
  <c r="F42" i="9"/>
  <c r="J43" i="9"/>
  <c r="J53" i="9"/>
  <c r="F61" i="9"/>
  <c r="F62" i="9"/>
  <c r="J63" i="9"/>
  <c r="J69" i="9"/>
  <c r="F74" i="9"/>
  <c r="J81" i="9"/>
  <c r="F86" i="9"/>
  <c r="F93" i="9"/>
  <c r="F94" i="9"/>
  <c r="V78" i="12"/>
  <c r="V82" i="12"/>
  <c r="V86" i="12"/>
  <c r="V90" i="12"/>
  <c r="V94" i="12"/>
  <c r="V98" i="12"/>
  <c r="V102" i="12"/>
  <c r="V106" i="12"/>
  <c r="V110" i="12"/>
  <c r="V112" i="12"/>
  <c r="V114" i="12"/>
  <c r="J118" i="12"/>
  <c r="J122" i="12"/>
  <c r="V138" i="12"/>
  <c r="J144" i="12"/>
  <c r="V146" i="12"/>
  <c r="V154" i="12"/>
  <c r="J160" i="12"/>
  <c r="V162" i="12"/>
  <c r="J168" i="12"/>
  <c r="V174" i="12"/>
  <c r="V178" i="12"/>
  <c r="V179" i="12"/>
  <c r="Z190" i="12"/>
  <c r="X193" i="12"/>
  <c r="Z193" i="12" s="1"/>
  <c r="J207" i="12"/>
  <c r="J216" i="12"/>
  <c r="J87" i="15"/>
  <c r="N110" i="15"/>
  <c r="N132" i="18"/>
  <c r="P16" i="6"/>
  <c r="F51" i="9"/>
  <c r="J74" i="9"/>
  <c r="J86" i="9"/>
  <c r="J94" i="9"/>
  <c r="J106" i="9"/>
  <c r="J109" i="9"/>
  <c r="V115" i="12"/>
  <c r="V119" i="12"/>
  <c r="V123" i="12"/>
  <c r="J127" i="12"/>
  <c r="J131" i="12"/>
  <c r="J135" i="12"/>
  <c r="V139" i="12"/>
  <c r="J143" i="12"/>
  <c r="V147" i="12"/>
  <c r="J151" i="12"/>
  <c r="V155" i="12"/>
  <c r="J159" i="12"/>
  <c r="J167" i="12"/>
  <c r="V171" i="12"/>
  <c r="J188" i="12"/>
  <c r="V189" i="12"/>
  <c r="V190" i="12"/>
  <c r="J221" i="12"/>
  <c r="R14" i="6"/>
  <c r="R16" i="6"/>
  <c r="R18" i="6"/>
  <c r="R20" i="6"/>
  <c r="F24" i="9"/>
  <c r="F28" i="9"/>
  <c r="J51" i="9"/>
  <c r="F60" i="9"/>
  <c r="J61" i="9"/>
  <c r="F68" i="9"/>
  <c r="F79" i="9"/>
  <c r="F80" i="9"/>
  <c r="F91" i="9"/>
  <c r="F92" i="9"/>
  <c r="J93" i="9"/>
  <c r="F104" i="9"/>
  <c r="J223" i="12"/>
  <c r="J212" i="12"/>
  <c r="J184" i="12"/>
  <c r="J219" i="12"/>
  <c r="J192" i="12"/>
  <c r="J80" i="12"/>
  <c r="J84" i="12"/>
  <c r="J88" i="12"/>
  <c r="J92" i="12"/>
  <c r="J96" i="12"/>
  <c r="J100" i="12"/>
  <c r="J104" i="12"/>
  <c r="J108" i="12"/>
  <c r="J126" i="12"/>
  <c r="V128" i="12"/>
  <c r="V132" i="12"/>
  <c r="V136" i="12"/>
  <c r="J142" i="12"/>
  <c r="J150" i="12"/>
  <c r="V152" i="12"/>
  <c r="J166" i="12"/>
  <c r="V172" i="12"/>
  <c r="J176" i="12"/>
  <c r="J195" i="12"/>
  <c r="V196" i="12"/>
  <c r="V199" i="12"/>
  <c r="J201" i="12"/>
  <c r="V202" i="12"/>
  <c r="N206" i="12"/>
  <c r="V208" i="12"/>
  <c r="V211" i="12"/>
  <c r="J215" i="12"/>
  <c r="P215" i="12"/>
  <c r="X215" i="12" s="1"/>
  <c r="Z215" i="12" s="1"/>
  <c r="Z140" i="15"/>
  <c r="N143" i="15"/>
  <c r="F32" i="9"/>
  <c r="F33" i="9"/>
  <c r="F37" i="9"/>
  <c r="F41" i="9"/>
  <c r="J60" i="9"/>
  <c r="J68" i="9"/>
  <c r="F73" i="9"/>
  <c r="J80" i="9"/>
  <c r="F85" i="9"/>
  <c r="J92" i="9"/>
  <c r="F102" i="9"/>
  <c r="J104" i="9"/>
  <c r="V77" i="12"/>
  <c r="V81" i="12"/>
  <c r="V85" i="12"/>
  <c r="V89" i="12"/>
  <c r="V93" i="12"/>
  <c r="V97" i="12"/>
  <c r="V101" i="12"/>
  <c r="V105" i="12"/>
  <c r="V109" i="12"/>
  <c r="J117" i="12"/>
  <c r="J121" i="12"/>
  <c r="J125" i="12"/>
  <c r="V137" i="12"/>
  <c r="J141" i="12"/>
  <c r="V145" i="12"/>
  <c r="J149" i="12"/>
  <c r="V153" i="12"/>
  <c r="V161" i="12"/>
  <c r="J165" i="12"/>
  <c r="V169" i="12"/>
  <c r="V177" i="12"/>
  <c r="V181" i="12"/>
  <c r="J183" i="12"/>
  <c r="V185" i="12"/>
  <c r="V193" i="12"/>
  <c r="J198" i="12"/>
  <c r="V203" i="12"/>
  <c r="J206" i="12"/>
  <c r="V207" i="12"/>
  <c r="J210" i="12"/>
  <c r="V217" i="12"/>
  <c r="Z156" i="15"/>
  <c r="N186" i="15"/>
  <c r="R193" i="18"/>
  <c r="R186" i="18"/>
  <c r="R185" i="18"/>
  <c r="R178" i="18"/>
  <c r="R177" i="18"/>
  <c r="R169" i="18"/>
  <c r="R162" i="18"/>
  <c r="R161" i="18"/>
  <c r="R153" i="18"/>
  <c r="R149" i="18"/>
  <c r="R145" i="18"/>
  <c r="R228" i="18"/>
  <c r="R221" i="18"/>
  <c r="R220" i="18"/>
  <c r="R205" i="18"/>
  <c r="R204" i="18"/>
  <c r="R232" i="18"/>
  <c r="R223" i="18"/>
  <c r="R222" i="18"/>
  <c r="R206" i="18"/>
  <c r="R195" i="18"/>
  <c r="R194" i="18"/>
  <c r="R171" i="18"/>
  <c r="R170" i="18"/>
  <c r="R155" i="18"/>
  <c r="R154" i="18"/>
  <c r="R150" i="18"/>
  <c r="R146" i="18"/>
  <c r="R233" i="18"/>
  <c r="R234" i="18"/>
  <c r="R224" i="18"/>
  <c r="R216" i="18"/>
  <c r="R212" i="18"/>
  <c r="R196" i="18"/>
  <c r="R235" i="18"/>
  <c r="R208" i="18"/>
  <c r="R207" i="18"/>
  <c r="R191" i="18"/>
  <c r="R151" i="18"/>
  <c r="R147" i="18"/>
  <c r="R202" i="18"/>
  <c r="R225" i="18"/>
  <c r="R218" i="18"/>
  <c r="R217" i="18"/>
  <c r="R213" i="18"/>
  <c r="R209" i="18"/>
  <c r="R197" i="18"/>
  <c r="R182" i="18"/>
  <c r="R181" i="18"/>
  <c r="R192" i="18"/>
  <c r="R176" i="18"/>
  <c r="R152" i="18"/>
  <c r="R148" i="18"/>
  <c r="R174" i="18"/>
  <c r="R160" i="18"/>
  <c r="R157" i="18"/>
  <c r="R203" i="18"/>
  <c r="R189" i="18"/>
  <c r="R166" i="18"/>
  <c r="R143" i="18"/>
  <c r="R136" i="18"/>
  <c r="R219" i="18"/>
  <c r="R215" i="18"/>
  <c r="R201" i="18"/>
  <c r="R179" i="18"/>
  <c r="R163" i="18"/>
  <c r="R127" i="18"/>
  <c r="R123" i="18"/>
  <c r="R119" i="18"/>
  <c r="R115" i="18"/>
  <c r="R111" i="18"/>
  <c r="R107" i="18"/>
  <c r="R103" i="18"/>
  <c r="R99" i="18"/>
  <c r="R95" i="18"/>
  <c r="R91" i="18"/>
  <c r="R175" i="18"/>
  <c r="R144" i="18"/>
  <c r="R140" i="18"/>
  <c r="X12" i="18"/>
  <c r="R158" i="18"/>
  <c r="R137" i="18"/>
  <c r="R210" i="18"/>
  <c r="R199" i="18"/>
  <c r="R190" i="18"/>
  <c r="R187" i="18"/>
  <c r="R133" i="18"/>
  <c r="R128" i="18"/>
  <c r="R124" i="18"/>
  <c r="R120" i="18"/>
  <c r="R116" i="18"/>
  <c r="R112" i="18"/>
  <c r="R108" i="18"/>
  <c r="R104" i="18"/>
  <c r="R100" i="18"/>
  <c r="R96" i="18"/>
  <c r="R92" i="18"/>
  <c r="R231" i="18"/>
  <c r="R172" i="18"/>
  <c r="R167" i="18"/>
  <c r="R141" i="18"/>
  <c r="R132" i="18"/>
  <c r="R130" i="18"/>
  <c r="R138" i="18"/>
  <c r="R134" i="18"/>
  <c r="P130" i="18"/>
  <c r="R226" i="18"/>
  <c r="R214" i="18"/>
  <c r="R183" i="18"/>
  <c r="R180" i="18"/>
  <c r="R173" i="18"/>
  <c r="R164" i="18"/>
  <c r="R125" i="18"/>
  <c r="R121" i="18"/>
  <c r="R117" i="18"/>
  <c r="R113" i="18"/>
  <c r="R109" i="18"/>
  <c r="R105" i="18"/>
  <c r="R101" i="18"/>
  <c r="R97" i="18"/>
  <c r="R93" i="18"/>
  <c r="R200" i="18"/>
  <c r="R188" i="18"/>
  <c r="R168" i="18"/>
  <c r="R165" i="18"/>
  <c r="R159" i="18"/>
  <c r="R142" i="18"/>
  <c r="R89" i="18"/>
  <c r="R239" i="18"/>
  <c r="R135" i="18"/>
  <c r="R227" i="18"/>
  <c r="R211" i="18"/>
  <c r="R198" i="18"/>
  <c r="R184" i="18"/>
  <c r="R156" i="18"/>
  <c r="R139" i="18"/>
  <c r="R126" i="18"/>
  <c r="R122" i="18"/>
  <c r="R118" i="18"/>
  <c r="R114" i="18"/>
  <c r="R110" i="18"/>
  <c r="R106" i="18"/>
  <c r="R102" i="18"/>
  <c r="R98" i="18"/>
  <c r="R94" i="18"/>
  <c r="R90" i="18"/>
  <c r="F78" i="9"/>
  <c r="F90" i="9"/>
  <c r="V118" i="12"/>
  <c r="V122" i="12"/>
  <c r="J158" i="12"/>
  <c r="J164" i="12"/>
  <c r="V170" i="12"/>
  <c r="J180" i="12"/>
  <c r="J187" i="12"/>
  <c r="V192" i="12"/>
  <c r="J205" i="12"/>
  <c r="J199" i="15"/>
  <c r="J193" i="15"/>
  <c r="J189" i="15"/>
  <c r="J183" i="15"/>
  <c r="J177" i="15"/>
  <c r="J165" i="15"/>
  <c r="J157" i="15"/>
  <c r="J141" i="15"/>
  <c r="J105" i="15"/>
  <c r="J101" i="15"/>
  <c r="J97" i="15"/>
  <c r="J93" i="15"/>
  <c r="J89" i="15"/>
  <c r="J85" i="15"/>
  <c r="J81" i="15"/>
  <c r="J77" i="15"/>
  <c r="J209" i="15"/>
  <c r="J208" i="15"/>
  <c r="J200" i="15"/>
  <c r="J184" i="15"/>
  <c r="J178" i="15"/>
  <c r="J172" i="15"/>
  <c r="J166" i="15"/>
  <c r="J148" i="15"/>
  <c r="J132" i="15"/>
  <c r="J128" i="15"/>
  <c r="J124" i="15"/>
  <c r="J210" i="15"/>
  <c r="J201" i="15"/>
  <c r="J179" i="15"/>
  <c r="J173" i="15"/>
  <c r="J167" i="15"/>
  <c r="J149" i="15"/>
  <c r="J133" i="15"/>
  <c r="J119" i="15"/>
  <c r="J115" i="15"/>
  <c r="J211" i="15"/>
  <c r="J202" i="15"/>
  <c r="J194" i="15"/>
  <c r="J190" i="15"/>
  <c r="J174" i="15"/>
  <c r="J168" i="15"/>
  <c r="J158" i="15"/>
  <c r="J150" i="15"/>
  <c r="J142" i="15"/>
  <c r="J134" i="15"/>
  <c r="J106" i="15"/>
  <c r="J102" i="15"/>
  <c r="J98" i="15"/>
  <c r="J94" i="15"/>
  <c r="J90" i="15"/>
  <c r="J86" i="15"/>
  <c r="J82" i="15"/>
  <c r="J78" i="15"/>
  <c r="J212" i="15"/>
  <c r="J185" i="15"/>
  <c r="J169" i="15"/>
  <c r="J151" i="15"/>
  <c r="J143" i="15"/>
  <c r="J135" i="15"/>
  <c r="J129" i="15"/>
  <c r="J125" i="15"/>
  <c r="J111" i="15"/>
  <c r="J186" i="15"/>
  <c r="J180" i="15"/>
  <c r="J152" i="15"/>
  <c r="J144" i="15"/>
  <c r="J136" i="15"/>
  <c r="J120" i="15"/>
  <c r="J116" i="15"/>
  <c r="J112" i="15"/>
  <c r="J110" i="15"/>
  <c r="J108" i="15"/>
  <c r="J203" i="15"/>
  <c r="J195" i="15"/>
  <c r="J191" i="15"/>
  <c r="J187" i="15"/>
  <c r="J175" i="15"/>
  <c r="J159" i="15"/>
  <c r="J153" i="15"/>
  <c r="J216" i="15"/>
  <c r="J196" i="15"/>
  <c r="J170" i="15"/>
  <c r="J160" i="15"/>
  <c r="J154" i="15"/>
  <c r="J130" i="15"/>
  <c r="J126" i="15"/>
  <c r="J197" i="15"/>
  <c r="J181" i="15"/>
  <c r="J161" i="15"/>
  <c r="J145" i="15"/>
  <c r="J137" i="15"/>
  <c r="J121" i="15"/>
  <c r="J117" i="15"/>
  <c r="J113" i="15"/>
  <c r="J204" i="15"/>
  <c r="J192" i="15"/>
  <c r="J188" i="15"/>
  <c r="J176" i="15"/>
  <c r="J162" i="15"/>
  <c r="J146" i="15"/>
  <c r="J138" i="15"/>
  <c r="J122" i="15"/>
  <c r="J104" i="15"/>
  <c r="J100" i="15"/>
  <c r="J96" i="15"/>
  <c r="J92" i="15"/>
  <c r="J88" i="15"/>
  <c r="J84" i="15"/>
  <c r="J80" i="15"/>
  <c r="J76" i="15"/>
  <c r="J205" i="15"/>
  <c r="J171" i="15"/>
  <c r="J163" i="15"/>
  <c r="J155" i="15"/>
  <c r="J147" i="15"/>
  <c r="J139" i="15"/>
  <c r="J131" i="15"/>
  <c r="J127" i="15"/>
  <c r="J123" i="15"/>
  <c r="J206" i="15"/>
  <c r="J198" i="15"/>
  <c r="J182" i="15"/>
  <c r="J164" i="15"/>
  <c r="J156" i="15"/>
  <c r="J140" i="15"/>
  <c r="J118" i="15"/>
  <c r="J114" i="15"/>
  <c r="J75" i="15"/>
  <c r="F58" i="9"/>
  <c r="F59" i="9"/>
  <c r="F66" i="9"/>
  <c r="F67" i="9"/>
  <c r="D97" i="9"/>
  <c r="L97" i="9" s="1"/>
  <c r="F100" i="9"/>
  <c r="P12" i="12"/>
  <c r="V127" i="12"/>
  <c r="V131" i="12"/>
  <c r="V135" i="12"/>
  <c r="V143" i="12"/>
  <c r="V151" i="12"/>
  <c r="J157" i="12"/>
  <c r="V159" i="12"/>
  <c r="J163" i="12"/>
  <c r="V167" i="12"/>
  <c r="J175" i="12"/>
  <c r="J191" i="12"/>
  <c r="V216" i="12"/>
  <c r="J95" i="15"/>
  <c r="L32" i="9"/>
  <c r="N32" i="9" s="1"/>
  <c r="F36" i="9"/>
  <c r="F40" i="9"/>
  <c r="F47" i="9"/>
  <c r="F48" i="9"/>
  <c r="X54" i="9"/>
  <c r="Z54" i="9" s="1"/>
  <c r="F71" i="9"/>
  <c r="F72" i="9"/>
  <c r="X82" i="9"/>
  <c r="Z82" i="9" s="1"/>
  <c r="F84" i="9"/>
  <c r="F97" i="9"/>
  <c r="F99" i="9"/>
  <c r="J100" i="9"/>
  <c r="V215" i="12"/>
  <c r="V213" i="12"/>
  <c r="V218" i="12"/>
  <c r="V186" i="12"/>
  <c r="V212" i="12"/>
  <c r="V204" i="12"/>
  <c r="V188" i="12"/>
  <c r="V184" i="12"/>
  <c r="V80" i="12"/>
  <c r="V84" i="12"/>
  <c r="V88" i="12"/>
  <c r="V92" i="12"/>
  <c r="V96" i="12"/>
  <c r="V100" i="12"/>
  <c r="V104" i="12"/>
  <c r="V108" i="12"/>
  <c r="J112" i="12"/>
  <c r="J114" i="12"/>
  <c r="J116" i="12"/>
  <c r="J120" i="12"/>
  <c r="J124" i="12"/>
  <c r="J140" i="12"/>
  <c r="V144" i="12"/>
  <c r="J148" i="12"/>
  <c r="J156" i="12"/>
  <c r="L157" i="12"/>
  <c r="N157" i="12" s="1"/>
  <c r="V160" i="12"/>
  <c r="V168" i="12"/>
  <c r="J174" i="12"/>
  <c r="V176" i="12"/>
  <c r="V195" i="12"/>
  <c r="J197" i="12"/>
  <c r="V198" i="12"/>
  <c r="V201" i="12"/>
  <c r="J209" i="12"/>
  <c r="V210" i="12"/>
  <c r="J213" i="12"/>
  <c r="P12" i="15"/>
  <c r="J79" i="15"/>
  <c r="F225" i="18"/>
  <c r="F217" i="18"/>
  <c r="F213" i="18"/>
  <c r="F209" i="18"/>
  <c r="F208" i="18"/>
  <c r="F197" i="18"/>
  <c r="F181" i="18"/>
  <c r="F192" i="18"/>
  <c r="F176" i="18"/>
  <c r="F175" i="18"/>
  <c r="F152" i="18"/>
  <c r="F148" i="18"/>
  <c r="F226" i="18"/>
  <c r="F214" i="18"/>
  <c r="F210" i="18"/>
  <c r="F198" i="18"/>
  <c r="F228" i="18"/>
  <c r="F227" i="18"/>
  <c r="F220" i="18"/>
  <c r="F204" i="18"/>
  <c r="F215" i="18"/>
  <c r="F211" i="18"/>
  <c r="F199" i="18"/>
  <c r="F187" i="18"/>
  <c r="F186" i="18"/>
  <c r="F179" i="18"/>
  <c r="F178" i="18"/>
  <c r="F163" i="18"/>
  <c r="F162" i="18"/>
  <c r="F231" i="18"/>
  <c r="F222" i="18"/>
  <c r="F221" i="18"/>
  <c r="F206" i="18"/>
  <c r="F205" i="18"/>
  <c r="F194" i="18"/>
  <c r="F232" i="18"/>
  <c r="F201" i="18"/>
  <c r="F200" i="18"/>
  <c r="F189" i="18"/>
  <c r="F188" i="18"/>
  <c r="F233" i="18"/>
  <c r="F224" i="18"/>
  <c r="F223" i="18"/>
  <c r="F216" i="18"/>
  <c r="F212" i="18"/>
  <c r="F196" i="18"/>
  <c r="F195" i="18"/>
  <c r="F180" i="18"/>
  <c r="F172" i="18"/>
  <c r="F171" i="18"/>
  <c r="F164" i="18"/>
  <c r="F156" i="18"/>
  <c r="F155" i="18"/>
  <c r="F218" i="18"/>
  <c r="F173" i="18"/>
  <c r="F159" i="18"/>
  <c r="F132" i="18"/>
  <c r="F125" i="18"/>
  <c r="F121" i="18"/>
  <c r="F117" i="18"/>
  <c r="F113" i="18"/>
  <c r="F109" i="18"/>
  <c r="F105" i="18"/>
  <c r="F101" i="18"/>
  <c r="F97" i="18"/>
  <c r="F93" i="18"/>
  <c r="F239" i="18"/>
  <c r="F191" i="18"/>
  <c r="F168" i="18"/>
  <c r="F142" i="18"/>
  <c r="D130" i="18"/>
  <c r="F207" i="18"/>
  <c r="F165" i="18"/>
  <c r="F135" i="18"/>
  <c r="F193" i="18"/>
  <c r="F184" i="18"/>
  <c r="F139" i="18"/>
  <c r="F126" i="18"/>
  <c r="F122" i="18"/>
  <c r="F118" i="18"/>
  <c r="F114" i="18"/>
  <c r="F110" i="18"/>
  <c r="F106" i="18"/>
  <c r="F102" i="18"/>
  <c r="F98" i="18"/>
  <c r="F94" i="18"/>
  <c r="F90" i="18"/>
  <c r="F89" i="18"/>
  <c r="F203" i="18"/>
  <c r="F174" i="18"/>
  <c r="F169" i="18"/>
  <c r="F160" i="18"/>
  <c r="F154" i="18"/>
  <c r="F146" i="18"/>
  <c r="F219" i="18"/>
  <c r="F166" i="18"/>
  <c r="F157" i="18"/>
  <c r="F150" i="18"/>
  <c r="F143" i="18"/>
  <c r="F136" i="18"/>
  <c r="F234" i="18"/>
  <c r="F177" i="18"/>
  <c r="F127" i="18"/>
  <c r="F123" i="18"/>
  <c r="F119" i="18"/>
  <c r="F115" i="18"/>
  <c r="F111" i="18"/>
  <c r="F107" i="18"/>
  <c r="F103" i="18"/>
  <c r="F99" i="18"/>
  <c r="F95" i="18"/>
  <c r="F91" i="18"/>
  <c r="F185" i="18"/>
  <c r="F161" i="18"/>
  <c r="F140" i="18"/>
  <c r="L12" i="18"/>
  <c r="N12" i="18" s="1"/>
  <c r="F182" i="18"/>
  <c r="F158" i="18"/>
  <c r="F144" i="18"/>
  <c r="F137" i="18"/>
  <c r="F190" i="18"/>
  <c r="F170" i="18"/>
  <c r="F167" i="18"/>
  <c r="F128" i="18"/>
  <c r="F124" i="18"/>
  <c r="F120" i="18"/>
  <c r="F116" i="18"/>
  <c r="F112" i="18"/>
  <c r="F108" i="18"/>
  <c r="F104" i="18"/>
  <c r="F100" i="18"/>
  <c r="F96" i="18"/>
  <c r="F92" i="18"/>
  <c r="F151" i="18"/>
  <c r="F149" i="18"/>
  <c r="F147" i="18"/>
  <c r="F145" i="18"/>
  <c r="F141" i="18"/>
  <c r="F235" i="18"/>
  <c r="F202" i="18"/>
  <c r="F183" i="18"/>
  <c r="F153" i="18"/>
  <c r="F138" i="18"/>
  <c r="F134" i="18"/>
  <c r="F133" i="18"/>
  <c r="J36" i="9"/>
  <c r="J40" i="9"/>
  <c r="J48" i="9"/>
  <c r="F56" i="9"/>
  <c r="F57" i="9"/>
  <c r="J58" i="9"/>
  <c r="F65" i="9"/>
  <c r="J66" i="9"/>
  <c r="J72" i="9"/>
  <c r="F76" i="9"/>
  <c r="F77" i="9"/>
  <c r="J84" i="9"/>
  <c r="F88" i="9"/>
  <c r="F89" i="9"/>
  <c r="J115" i="12"/>
  <c r="V117" i="12"/>
  <c r="V121" i="12"/>
  <c r="V125" i="12"/>
  <c r="J129" i="12"/>
  <c r="J133" i="12"/>
  <c r="J139" i="12"/>
  <c r="V141" i="12"/>
  <c r="J147" i="12"/>
  <c r="V149" i="12"/>
  <c r="J155" i="12"/>
  <c r="V165" i="12"/>
  <c r="J173" i="12"/>
  <c r="J179" i="12"/>
  <c r="V180" i="12"/>
  <c r="V183" i="12"/>
  <c r="N190" i="12"/>
  <c r="L193" i="12"/>
  <c r="N193" i="12" s="1"/>
  <c r="J194" i="12"/>
  <c r="J200" i="12"/>
  <c r="Z206" i="12"/>
  <c r="J218" i="12"/>
  <c r="J99" i="15"/>
  <c r="N111" i="15"/>
  <c r="V134" i="15"/>
  <c r="V142" i="15"/>
  <c r="V150" i="15"/>
  <c r="X153" i="15"/>
  <c r="Z153" i="15" s="1"/>
  <c r="V158" i="15"/>
  <c r="V174" i="15"/>
  <c r="L183" i="15"/>
  <c r="N183" i="15" s="1"/>
  <c r="V186" i="15"/>
  <c r="V190" i="15"/>
  <c r="V194" i="15"/>
  <c r="L199" i="15"/>
  <c r="N199" i="15" s="1"/>
  <c r="V202" i="15"/>
  <c r="V212" i="15"/>
  <c r="J93" i="18"/>
  <c r="J97" i="18"/>
  <c r="J101" i="18"/>
  <c r="J105" i="18"/>
  <c r="J109" i="18"/>
  <c r="J113" i="18"/>
  <c r="J117" i="18"/>
  <c r="J121" i="18"/>
  <c r="J125" i="18"/>
  <c r="H130" i="18"/>
  <c r="J130" i="18" s="1"/>
  <c r="Z157" i="18"/>
  <c r="Z160" i="18"/>
  <c r="N165" i="18"/>
  <c r="J168" i="18"/>
  <c r="J178" i="18"/>
  <c r="J226" i="18"/>
  <c r="V167" i="15"/>
  <c r="V179" i="15"/>
  <c r="P208" i="15"/>
  <c r="X208" i="15" s="1"/>
  <c r="V211" i="15"/>
  <c r="V90" i="18"/>
  <c r="V94" i="18"/>
  <c r="V98" i="18"/>
  <c r="V102" i="18"/>
  <c r="V106" i="18"/>
  <c r="V110" i="18"/>
  <c r="V114" i="18"/>
  <c r="V118" i="18"/>
  <c r="V122" i="18"/>
  <c r="V126" i="18"/>
  <c r="J132" i="18"/>
  <c r="J134" i="18"/>
  <c r="J138" i="18"/>
  <c r="V156" i="18"/>
  <c r="X157" i="18"/>
  <c r="V160" i="18"/>
  <c r="J164" i="18"/>
  <c r="N173" i="18"/>
  <c r="V196" i="18"/>
  <c r="V198" i="18"/>
  <c r="J202" i="18"/>
  <c r="V205" i="18"/>
  <c r="J214" i="18"/>
  <c r="X227" i="18"/>
  <c r="Z227" i="18" s="1"/>
  <c r="D230" i="18"/>
  <c r="L230" i="18" s="1"/>
  <c r="N230" i="18" s="1"/>
  <c r="J235" i="18"/>
  <c r="V124" i="15"/>
  <c r="V128" i="15"/>
  <c r="V132" i="15"/>
  <c r="V148" i="15"/>
  <c r="V168" i="15"/>
  <c r="V172" i="15"/>
  <c r="V184" i="15"/>
  <c r="V200" i="15"/>
  <c r="V210" i="15"/>
  <c r="J133" i="18"/>
  <c r="V135" i="18"/>
  <c r="J141" i="18"/>
  <c r="L155" i="18"/>
  <c r="N155" i="18" s="1"/>
  <c r="X178" i="18"/>
  <c r="Z186" i="18"/>
  <c r="N92" i="21"/>
  <c r="L122" i="15"/>
  <c r="N122" i="15" s="1"/>
  <c r="V133" i="15"/>
  <c r="L138" i="15"/>
  <c r="N138" i="15" s="1"/>
  <c r="V141" i="15"/>
  <c r="L146" i="15"/>
  <c r="N146" i="15" s="1"/>
  <c r="V149" i="15"/>
  <c r="V157" i="15"/>
  <c r="V165" i="15"/>
  <c r="V173" i="15"/>
  <c r="V177" i="15"/>
  <c r="V189" i="15"/>
  <c r="V193" i="15"/>
  <c r="V201" i="15"/>
  <c r="V209" i="15"/>
  <c r="J218" i="18"/>
  <c r="J192" i="18"/>
  <c r="J182" i="18"/>
  <c r="J176" i="18"/>
  <c r="J152" i="18"/>
  <c r="J148" i="18"/>
  <c r="J239" i="18"/>
  <c r="J219" i="18"/>
  <c r="J203" i="18"/>
  <c r="J183" i="18"/>
  <c r="J167" i="18"/>
  <c r="J159" i="18"/>
  <c r="J227" i="18"/>
  <c r="J193" i="18"/>
  <c r="J185" i="18"/>
  <c r="J177" i="18"/>
  <c r="J169" i="18"/>
  <c r="J161" i="18"/>
  <c r="J153" i="18"/>
  <c r="J149" i="18"/>
  <c r="J145" i="18"/>
  <c r="J228" i="18"/>
  <c r="J220" i="18"/>
  <c r="J221" i="18"/>
  <c r="J215" i="18"/>
  <c r="J211" i="18"/>
  <c r="J205" i="18"/>
  <c r="J199" i="18"/>
  <c r="J187" i="18"/>
  <c r="J231" i="18"/>
  <c r="J230" i="18"/>
  <c r="J222" i="18"/>
  <c r="J206" i="18"/>
  <c r="J200" i="18"/>
  <c r="J194" i="18"/>
  <c r="J188" i="18"/>
  <c r="J170" i="18"/>
  <c r="J154" i="18"/>
  <c r="J150" i="18"/>
  <c r="J146" i="18"/>
  <c r="J232" i="18"/>
  <c r="J223" i="18"/>
  <c r="J201" i="18"/>
  <c r="J195" i="18"/>
  <c r="J233" i="18"/>
  <c r="J224" i="18"/>
  <c r="J216" i="18"/>
  <c r="J212" i="18"/>
  <c r="J196" i="18"/>
  <c r="J190" i="18"/>
  <c r="J180" i="18"/>
  <c r="J172" i="18"/>
  <c r="J234" i="18"/>
  <c r="J207" i="18"/>
  <c r="J191" i="18"/>
  <c r="J173" i="18"/>
  <c r="J165" i="18"/>
  <c r="J157" i="18"/>
  <c r="J151" i="18"/>
  <c r="J147" i="18"/>
  <c r="J92" i="18"/>
  <c r="J96" i="18"/>
  <c r="J100" i="18"/>
  <c r="J104" i="18"/>
  <c r="J108" i="18"/>
  <c r="J112" i="18"/>
  <c r="J116" i="18"/>
  <c r="J120" i="18"/>
  <c r="J124" i="18"/>
  <c r="J128" i="18"/>
  <c r="V149" i="18"/>
  <c r="V153" i="18"/>
  <c r="V162" i="18"/>
  <c r="Z168" i="18"/>
  <c r="Z178" i="18"/>
  <c r="V186" i="18"/>
  <c r="N190" i="18"/>
  <c r="V194" i="18"/>
  <c r="Z65" i="21"/>
  <c r="V166" i="15"/>
  <c r="V178" i="15"/>
  <c r="V182" i="15"/>
  <c r="V198" i="15"/>
  <c r="V206" i="15"/>
  <c r="V208" i="15"/>
  <c r="V89" i="18"/>
  <c r="V93" i="18"/>
  <c r="V97" i="18"/>
  <c r="V101" i="18"/>
  <c r="V105" i="18"/>
  <c r="V109" i="18"/>
  <c r="V113" i="18"/>
  <c r="V117" i="18"/>
  <c r="V121" i="18"/>
  <c r="V125" i="18"/>
  <c r="J137" i="18"/>
  <c r="V145" i="18"/>
  <c r="V147" i="18"/>
  <c r="V151" i="18"/>
  <c r="J155" i="18"/>
  <c r="J158" i="18"/>
  <c r="V164" i="18"/>
  <c r="X165" i="18"/>
  <c r="Z165" i="18" s="1"/>
  <c r="V168" i="18"/>
  <c r="Z173" i="18"/>
  <c r="V178" i="18"/>
  <c r="V180" i="18"/>
  <c r="N208" i="18"/>
  <c r="J210" i="18"/>
  <c r="V214" i="18"/>
  <c r="V222" i="18"/>
  <c r="V226" i="18"/>
  <c r="N26" i="21"/>
  <c r="Z92" i="21"/>
  <c r="Z95" i="21"/>
  <c r="V163" i="15"/>
  <c r="V171" i="15"/>
  <c r="V183" i="15"/>
  <c r="V199" i="15"/>
  <c r="V134" i="18"/>
  <c r="J140" i="18"/>
  <c r="J144" i="18"/>
  <c r="V170" i="18"/>
  <c r="J175" i="18"/>
  <c r="J197" i="18"/>
  <c r="J208" i="18"/>
  <c r="J217" i="18"/>
  <c r="V140" i="15"/>
  <c r="V156" i="15"/>
  <c r="V164" i="15"/>
  <c r="V176" i="15"/>
  <c r="X183" i="15"/>
  <c r="Z183" i="15" s="1"/>
  <c r="V188" i="15"/>
  <c r="V192" i="15"/>
  <c r="X199" i="15"/>
  <c r="Z199" i="15" s="1"/>
  <c r="V204" i="15"/>
  <c r="J91" i="18"/>
  <c r="J95" i="18"/>
  <c r="J99" i="18"/>
  <c r="J103" i="18"/>
  <c r="J107" i="18"/>
  <c r="J111" i="18"/>
  <c r="J115" i="18"/>
  <c r="J119" i="18"/>
  <c r="J123" i="18"/>
  <c r="J127" i="18"/>
  <c r="T130" i="18"/>
  <c r="V141" i="18"/>
  <c r="X155" i="18"/>
  <c r="V161" i="18"/>
  <c r="J163" i="18"/>
  <c r="V172" i="18"/>
  <c r="J179" i="18"/>
  <c r="V185" i="18"/>
  <c r="Z26" i="21"/>
  <c r="V113" i="15"/>
  <c r="V117" i="15"/>
  <c r="V121" i="15"/>
  <c r="V137" i="15"/>
  <c r="V145" i="15"/>
  <c r="V161" i="15"/>
  <c r="V181" i="15"/>
  <c r="V197" i="15"/>
  <c r="V205" i="15"/>
  <c r="D208" i="15"/>
  <c r="L208" i="15" s="1"/>
  <c r="N208" i="15" s="1"/>
  <c r="V230" i="18"/>
  <c r="V228" i="18"/>
  <c r="V220" i="18"/>
  <c r="V204" i="18"/>
  <c r="V200" i="18"/>
  <c r="V188" i="18"/>
  <c r="V231" i="18"/>
  <c r="V223" i="18"/>
  <c r="V215" i="18"/>
  <c r="V211" i="18"/>
  <c r="V199" i="18"/>
  <c r="V195" i="18"/>
  <c r="V187" i="18"/>
  <c r="V179" i="18"/>
  <c r="V171" i="18"/>
  <c r="V163" i="18"/>
  <c r="V155" i="18"/>
  <c r="V233" i="18"/>
  <c r="V201" i="18"/>
  <c r="V189" i="18"/>
  <c r="V173" i="18"/>
  <c r="V165" i="18"/>
  <c r="V157" i="18"/>
  <c r="V234" i="18"/>
  <c r="V224" i="18"/>
  <c r="V216" i="18"/>
  <c r="V212" i="18"/>
  <c r="V235" i="18"/>
  <c r="V207" i="18"/>
  <c r="V191" i="18"/>
  <c r="V218" i="18"/>
  <c r="V202" i="18"/>
  <c r="V182" i="18"/>
  <c r="V174" i="18"/>
  <c r="V166" i="18"/>
  <c r="V158" i="18"/>
  <c r="V142" i="18"/>
  <c r="V138" i="18"/>
  <c r="V225" i="18"/>
  <c r="V217" i="18"/>
  <c r="V213" i="18"/>
  <c r="V209" i="18"/>
  <c r="V197" i="18"/>
  <c r="V192" i="18"/>
  <c r="V184" i="18"/>
  <c r="V176" i="18"/>
  <c r="V239" i="18"/>
  <c r="V227" i="18"/>
  <c r="V219" i="18"/>
  <c r="V203" i="18"/>
  <c r="V183" i="18"/>
  <c r="V167" i="18"/>
  <c r="V159" i="18"/>
  <c r="V143" i="18"/>
  <c r="V139" i="18"/>
  <c r="V92" i="18"/>
  <c r="V96" i="18"/>
  <c r="V100" i="18"/>
  <c r="V104" i="18"/>
  <c r="V108" i="18"/>
  <c r="V112" i="18"/>
  <c r="V116" i="18"/>
  <c r="V120" i="18"/>
  <c r="V124" i="18"/>
  <c r="V128" i="18"/>
  <c r="V130" i="18"/>
  <c r="V132" i="18"/>
  <c r="J136" i="18"/>
  <c r="J143" i="18"/>
  <c r="J166" i="18"/>
  <c r="V177" i="18"/>
  <c r="J189" i="18"/>
  <c r="Z190" i="18"/>
  <c r="V210" i="18"/>
  <c r="J225" i="18"/>
  <c r="F83" i="21"/>
  <c r="F82" i="21"/>
  <c r="F71" i="21"/>
  <c r="F51" i="21"/>
  <c r="F50" i="21"/>
  <c r="F35" i="21"/>
  <c r="F31" i="21"/>
  <c r="F94" i="21"/>
  <c r="F78" i="21"/>
  <c r="F77" i="21"/>
  <c r="F62" i="21"/>
  <c r="F61" i="21"/>
  <c r="F22" i="21"/>
  <c r="L12" i="21"/>
  <c r="F111" i="21"/>
  <c r="F108" i="21"/>
  <c r="F89" i="21"/>
  <c r="F85" i="21"/>
  <c r="F84" i="21"/>
  <c r="F53" i="21"/>
  <c r="F52" i="21"/>
  <c r="F45" i="21"/>
  <c r="F41" i="21"/>
  <c r="F96" i="21"/>
  <c r="F95" i="21"/>
  <c r="F72" i="21"/>
  <c r="F64" i="21"/>
  <c r="F63" i="21"/>
  <c r="F36" i="21"/>
  <c r="F32" i="21"/>
  <c r="F28" i="21"/>
  <c r="F27" i="21"/>
  <c r="F79" i="21"/>
  <c r="F55" i="21"/>
  <c r="F54" i="21"/>
  <c r="F26" i="21"/>
  <c r="F24" i="21"/>
  <c r="F98" i="21"/>
  <c r="F97" i="21"/>
  <c r="F90" i="21"/>
  <c r="F86" i="21"/>
  <c r="F66" i="21"/>
  <c r="F65" i="21"/>
  <c r="F46" i="21"/>
  <c r="F42" i="21"/>
  <c r="F38" i="21"/>
  <c r="F37" i="21"/>
  <c r="D24" i="21"/>
  <c r="F73" i="21"/>
  <c r="F33" i="21"/>
  <c r="F29" i="21"/>
  <c r="F100" i="21"/>
  <c r="F99" i="21"/>
  <c r="F80" i="21"/>
  <c r="F68" i="21"/>
  <c r="F67" i="21"/>
  <c r="F56" i="21"/>
  <c r="F20" i="21"/>
  <c r="F19" i="21"/>
  <c r="F91" i="21"/>
  <c r="F87" i="21"/>
  <c r="F75" i="21"/>
  <c r="F74" i="21"/>
  <c r="F47" i="21"/>
  <c r="F43" i="21"/>
  <c r="F39" i="21"/>
  <c r="F70" i="21"/>
  <c r="F69" i="21"/>
  <c r="F58" i="21"/>
  <c r="F57" i="21"/>
  <c r="F34" i="21"/>
  <c r="F30" i="21"/>
  <c r="F104" i="21"/>
  <c r="F102" i="21"/>
  <c r="F93" i="21"/>
  <c r="F92" i="21"/>
  <c r="F81" i="21"/>
  <c r="F49" i="21"/>
  <c r="F48" i="21"/>
  <c r="F21" i="21"/>
  <c r="F106" i="21"/>
  <c r="F88" i="21"/>
  <c r="F76" i="21"/>
  <c r="F60" i="21"/>
  <c r="F59" i="21"/>
  <c r="F44" i="21"/>
  <c r="F40" i="21"/>
  <c r="V122" i="15"/>
  <c r="V126" i="15"/>
  <c r="V130" i="15"/>
  <c r="V138" i="15"/>
  <c r="V146" i="15"/>
  <c r="V154" i="15"/>
  <c r="V162" i="15"/>
  <c r="V170" i="15"/>
  <c r="V216" i="15"/>
  <c r="V133" i="18"/>
  <c r="V137" i="18"/>
  <c r="J174" i="18"/>
  <c r="J181" i="18"/>
  <c r="V190" i="18"/>
  <c r="X195" i="18"/>
  <c r="Z195" i="18" s="1"/>
  <c r="V208" i="18"/>
  <c r="J213" i="18"/>
  <c r="V159" i="15"/>
  <c r="V175" i="15"/>
  <c r="V187" i="15"/>
  <c r="V191" i="15"/>
  <c r="V195" i="15"/>
  <c r="V203" i="15"/>
  <c r="Z12" i="18"/>
  <c r="J90" i="18"/>
  <c r="J94" i="18"/>
  <c r="J98" i="18"/>
  <c r="J102" i="18"/>
  <c r="J106" i="18"/>
  <c r="J110" i="18"/>
  <c r="J114" i="18"/>
  <c r="J118" i="18"/>
  <c r="J122" i="18"/>
  <c r="J126" i="18"/>
  <c r="J139" i="18"/>
  <c r="V140" i="18"/>
  <c r="Z144" i="18"/>
  <c r="V150" i="18"/>
  <c r="V152" i="18"/>
  <c r="J160" i="18"/>
  <c r="L162" i="18"/>
  <c r="N162" i="18" s="1"/>
  <c r="N227" i="18"/>
  <c r="V180" i="15"/>
  <c r="V196" i="15"/>
  <c r="J89" i="18"/>
  <c r="V107" i="18"/>
  <c r="V111" i="18"/>
  <c r="V115" i="18"/>
  <c r="V119" i="18"/>
  <c r="V123" i="18"/>
  <c r="V127" i="18"/>
  <c r="J135" i="18"/>
  <c r="V144" i="18"/>
  <c r="V146" i="18"/>
  <c r="V148" i="18"/>
  <c r="V154" i="18"/>
  <c r="J156" i="18"/>
  <c r="V169" i="18"/>
  <c r="J171" i="18"/>
  <c r="V175" i="18"/>
  <c r="V181" i="18"/>
  <c r="J184" i="18"/>
  <c r="V193" i="18"/>
  <c r="J198" i="18"/>
  <c r="V232" i="18"/>
  <c r="T108" i="15"/>
  <c r="V125" i="15"/>
  <c r="V129" i="15"/>
  <c r="V153" i="15"/>
  <c r="V169" i="15"/>
  <c r="V136" i="18"/>
  <c r="J142" i="18"/>
  <c r="J162" i="18"/>
  <c r="N168" i="18"/>
  <c r="J186" i="18"/>
  <c r="J209" i="18"/>
  <c r="V221" i="18"/>
  <c r="Z27" i="21"/>
  <c r="N48" i="21"/>
  <c r="V19" i="21"/>
  <c r="P24" i="21"/>
  <c r="R28" i="21"/>
  <c r="J31" i="21"/>
  <c r="R32" i="21"/>
  <c r="J35" i="21"/>
  <c r="R36" i="21"/>
  <c r="R37" i="21"/>
  <c r="J51" i="21"/>
  <c r="V55" i="21"/>
  <c r="J61" i="21"/>
  <c r="R64" i="21"/>
  <c r="R65" i="21"/>
  <c r="V67" i="21"/>
  <c r="J71" i="21"/>
  <c r="R72" i="21"/>
  <c r="J77" i="21"/>
  <c r="V79" i="21"/>
  <c r="J83" i="21"/>
  <c r="R96" i="21"/>
  <c r="R97" i="21"/>
  <c r="V99" i="21"/>
  <c r="P12" i="24"/>
  <c r="L37" i="24"/>
  <c r="N37" i="24" s="1"/>
  <c r="J37" i="24"/>
  <c r="Z79" i="24"/>
  <c r="X79" i="24"/>
  <c r="Z79" i="27"/>
  <c r="X79" i="27"/>
  <c r="R26" i="21"/>
  <c r="V28" i="21"/>
  <c r="V32" i="21"/>
  <c r="V36" i="21"/>
  <c r="J40" i="21"/>
  <c r="R41" i="21"/>
  <c r="J44" i="21"/>
  <c r="R45" i="21"/>
  <c r="J50" i="21"/>
  <c r="R53" i="21"/>
  <c r="R54" i="21"/>
  <c r="J60" i="21"/>
  <c r="V64" i="21"/>
  <c r="V72" i="21"/>
  <c r="J76" i="21"/>
  <c r="J82" i="21"/>
  <c r="R85" i="21"/>
  <c r="J88" i="21"/>
  <c r="R89" i="21"/>
  <c r="V96" i="21"/>
  <c r="J106" i="21"/>
  <c r="L76" i="24"/>
  <c r="N76" i="24" s="1"/>
  <c r="N90" i="24"/>
  <c r="L90" i="24"/>
  <c r="D12" i="27"/>
  <c r="L13" i="27"/>
  <c r="N13" i="27" s="1"/>
  <c r="N93" i="27"/>
  <c r="L93" i="27"/>
  <c r="X12" i="21"/>
  <c r="Z12" i="21" s="1"/>
  <c r="J21" i="21"/>
  <c r="R22" i="21"/>
  <c r="T24" i="21"/>
  <c r="V24" i="21" s="1"/>
  <c r="R27" i="21"/>
  <c r="V37" i="21"/>
  <c r="V41" i="21"/>
  <c r="V45" i="21"/>
  <c r="J49" i="21"/>
  <c r="V53" i="21"/>
  <c r="J59" i="21"/>
  <c r="R62" i="21"/>
  <c r="R63" i="21"/>
  <c r="V65" i="21"/>
  <c r="R78" i="21"/>
  <c r="J81" i="21"/>
  <c r="L82" i="21"/>
  <c r="N82" i="21" s="1"/>
  <c r="V85" i="21"/>
  <c r="V89" i="21"/>
  <c r="J93" i="21"/>
  <c r="R94" i="21"/>
  <c r="R95" i="21"/>
  <c r="V97" i="21"/>
  <c r="J76" i="24"/>
  <c r="Z84" i="24"/>
  <c r="J90" i="24"/>
  <c r="T110" i="27"/>
  <c r="V110" i="27" s="1"/>
  <c r="Z75" i="27"/>
  <c r="J93" i="27"/>
  <c r="X78" i="33"/>
  <c r="Z78" i="33" s="1"/>
  <c r="P77" i="33"/>
  <c r="X77" i="33" s="1"/>
  <c r="Z77" i="33" s="1"/>
  <c r="V22" i="21"/>
  <c r="V26" i="21"/>
  <c r="J30" i="21"/>
  <c r="R31" i="21"/>
  <c r="J34" i="21"/>
  <c r="R35" i="21"/>
  <c r="X37" i="21"/>
  <c r="Z37" i="21" s="1"/>
  <c r="J48" i="21"/>
  <c r="R51" i="21"/>
  <c r="R52" i="21"/>
  <c r="V54" i="21"/>
  <c r="J58" i="21"/>
  <c r="L59" i="21"/>
  <c r="V62" i="21"/>
  <c r="X65" i="21"/>
  <c r="J70" i="21"/>
  <c r="R71" i="21"/>
  <c r="V78" i="21"/>
  <c r="R83" i="21"/>
  <c r="R84" i="21"/>
  <c r="J92" i="21"/>
  <c r="V94" i="21"/>
  <c r="X97" i="21"/>
  <c r="Z97" i="21" s="1"/>
  <c r="J102" i="21"/>
  <c r="D12" i="24"/>
  <c r="N25" i="24"/>
  <c r="Z77" i="27"/>
  <c r="N105" i="27"/>
  <c r="V27" i="21"/>
  <c r="V31" i="21"/>
  <c r="V35" i="21"/>
  <c r="J39" i="21"/>
  <c r="R40" i="21"/>
  <c r="J43" i="21"/>
  <c r="R44" i="21"/>
  <c r="J47" i="21"/>
  <c r="V51" i="21"/>
  <c r="J57" i="21"/>
  <c r="R60" i="21"/>
  <c r="R61" i="21"/>
  <c r="V63" i="21"/>
  <c r="J69" i="21"/>
  <c r="V71" i="21"/>
  <c r="J75" i="21"/>
  <c r="R76" i="21"/>
  <c r="R77" i="21"/>
  <c r="V83" i="21"/>
  <c r="J87" i="21"/>
  <c r="R88" i="21"/>
  <c r="J91" i="21"/>
  <c r="V95" i="21"/>
  <c r="R106" i="21"/>
  <c r="L13" i="24"/>
  <c r="J25" i="24"/>
  <c r="Z76" i="24"/>
  <c r="X76" i="24"/>
  <c r="Z90" i="24"/>
  <c r="X90" i="24"/>
  <c r="Z93" i="27"/>
  <c r="J20" i="21"/>
  <c r="R21" i="21"/>
  <c r="V40" i="21"/>
  <c r="V44" i="21"/>
  <c r="R49" i="21"/>
  <c r="R50" i="21"/>
  <c r="V52" i="21"/>
  <c r="J56" i="21"/>
  <c r="V60" i="21"/>
  <c r="J68" i="21"/>
  <c r="J74" i="21"/>
  <c r="V76" i="21"/>
  <c r="J80" i="21"/>
  <c r="R81" i="21"/>
  <c r="R82" i="21"/>
  <c r="V84" i="21"/>
  <c r="V88" i="21"/>
  <c r="R93" i="21"/>
  <c r="J100" i="21"/>
  <c r="V106" i="21"/>
  <c r="Z53" i="27"/>
  <c r="V105" i="27"/>
  <c r="J19" i="21"/>
  <c r="V21" i="21"/>
  <c r="J29" i="21"/>
  <c r="R30" i="21"/>
  <c r="J33" i="21"/>
  <c r="R34" i="21"/>
  <c r="V49" i="21"/>
  <c r="R58" i="21"/>
  <c r="R59" i="21"/>
  <c r="V61" i="21"/>
  <c r="J67" i="21"/>
  <c r="R70" i="21"/>
  <c r="J73" i="21"/>
  <c r="V77" i="21"/>
  <c r="V81" i="21"/>
  <c r="V93" i="21"/>
  <c r="J99" i="21"/>
  <c r="H35" i="24"/>
  <c r="X105" i="27"/>
  <c r="Z105" i="27" s="1"/>
  <c r="V30" i="21"/>
  <c r="V34" i="21"/>
  <c r="J38" i="21"/>
  <c r="R39" i="21"/>
  <c r="J42" i="21"/>
  <c r="R43" i="21"/>
  <c r="J46" i="21"/>
  <c r="R47" i="21"/>
  <c r="R48" i="21"/>
  <c r="V50" i="21"/>
  <c r="V58" i="21"/>
  <c r="J66" i="21"/>
  <c r="V70" i="21"/>
  <c r="R75" i="21"/>
  <c r="V82" i="21"/>
  <c r="J86" i="21"/>
  <c r="R87" i="21"/>
  <c r="J90" i="21"/>
  <c r="R91" i="21"/>
  <c r="R92" i="21"/>
  <c r="J98" i="21"/>
  <c r="R102" i="21"/>
  <c r="Z25" i="24"/>
  <c r="T35" i="24"/>
  <c r="N62" i="24"/>
  <c r="L62" i="24"/>
  <c r="P230" i="18"/>
  <c r="X230" i="18" s="1"/>
  <c r="Z230" i="18" s="1"/>
  <c r="R20" i="21"/>
  <c r="H24" i="21"/>
  <c r="J37" i="21"/>
  <c r="V39" i="21"/>
  <c r="V43" i="21"/>
  <c r="V47" i="21"/>
  <c r="J55" i="21"/>
  <c r="R56" i="21"/>
  <c r="R57" i="21"/>
  <c r="V59" i="21"/>
  <c r="J65" i="21"/>
  <c r="R68" i="21"/>
  <c r="R69" i="21"/>
  <c r="V75" i="21"/>
  <c r="J79" i="21"/>
  <c r="R80" i="21"/>
  <c r="V87" i="21"/>
  <c r="V91" i="21"/>
  <c r="J97" i="21"/>
  <c r="R100" i="21"/>
  <c r="V25" i="24"/>
  <c r="V20" i="21"/>
  <c r="J24" i="21"/>
  <c r="J26" i="21"/>
  <c r="J28" i="21"/>
  <c r="R29" i="21"/>
  <c r="J32" i="21"/>
  <c r="R33" i="21"/>
  <c r="J36" i="21"/>
  <c r="V48" i="21"/>
  <c r="J54" i="21"/>
  <c r="V56" i="21"/>
  <c r="J64" i="21"/>
  <c r="V68" i="21"/>
  <c r="J72" i="21"/>
  <c r="R73" i="21"/>
  <c r="R74" i="21"/>
  <c r="V80" i="21"/>
  <c r="V92" i="21"/>
  <c r="J96" i="21"/>
  <c r="V100" i="21"/>
  <c r="V102" i="21"/>
  <c r="Z62" i="24"/>
  <c r="X62" i="24"/>
  <c r="X71" i="24"/>
  <c r="Z71" i="24" s="1"/>
  <c r="R19" i="21"/>
  <c r="J27" i="21"/>
  <c r="V29" i="21"/>
  <c r="V33" i="21"/>
  <c r="R38" i="21"/>
  <c r="J41" i="21"/>
  <c r="R42" i="21"/>
  <c r="J45" i="21"/>
  <c r="R46" i="21"/>
  <c r="J53" i="21"/>
  <c r="V57" i="21"/>
  <c r="J63" i="21"/>
  <c r="R66" i="21"/>
  <c r="R67" i="21"/>
  <c r="V69" i="21"/>
  <c r="V73" i="21"/>
  <c r="J85" i="21"/>
  <c r="R86" i="21"/>
  <c r="J89" i="21"/>
  <c r="R90" i="21"/>
  <c r="J95" i="21"/>
  <c r="R98" i="21"/>
  <c r="R99" i="21"/>
  <c r="V62" i="24"/>
  <c r="P12" i="27"/>
  <c r="X52" i="27"/>
  <c r="Z52" i="27" s="1"/>
  <c r="L79" i="27"/>
  <c r="N79" i="27" s="1"/>
  <c r="N12" i="21"/>
  <c r="J22" i="21"/>
  <c r="V38" i="21"/>
  <c r="V42" i="21"/>
  <c r="V46" i="21"/>
  <c r="J52" i="21"/>
  <c r="R55" i="21"/>
  <c r="J62" i="21"/>
  <c r="V66" i="21"/>
  <c r="V74" i="21"/>
  <c r="J78" i="21"/>
  <c r="J84" i="21"/>
  <c r="V86" i="21"/>
  <c r="V90" i="21"/>
  <c r="J94" i="21"/>
  <c r="Z38" i="24"/>
  <c r="N84" i="24"/>
  <c r="N83" i="27"/>
  <c r="N85" i="27"/>
  <c r="L85" i="27"/>
  <c r="X88" i="27"/>
  <c r="Z88" i="27" s="1"/>
  <c r="N99" i="27"/>
  <c r="L123" i="30"/>
  <c r="N123" i="30" s="1"/>
  <c r="F68" i="33"/>
  <c r="F60" i="33"/>
  <c r="F36" i="33"/>
  <c r="F32" i="33"/>
  <c r="L12" i="33"/>
  <c r="N12" i="33" s="1"/>
  <c r="F75" i="33"/>
  <c r="F74" i="33"/>
  <c r="F51" i="33"/>
  <c r="F50" i="33"/>
  <c r="F62" i="33"/>
  <c r="F61" i="33"/>
  <c r="F46" i="33"/>
  <c r="F42" i="33"/>
  <c r="F78" i="33"/>
  <c r="F69" i="33"/>
  <c r="F53" i="33"/>
  <c r="F52" i="33"/>
  <c r="F37" i="33"/>
  <c r="F33" i="33"/>
  <c r="F63" i="33"/>
  <c r="F55" i="33"/>
  <c r="F54" i="33"/>
  <c r="F47" i="33"/>
  <c r="F43" i="33"/>
  <c r="F82" i="33"/>
  <c r="F70" i="33"/>
  <c r="F38" i="33"/>
  <c r="F34" i="33"/>
  <c r="F30" i="33"/>
  <c r="F29" i="33"/>
  <c r="F65" i="33"/>
  <c r="F64" i="33"/>
  <c r="F57" i="33"/>
  <c r="F56" i="33"/>
  <c r="F28" i="33"/>
  <c r="F26" i="33"/>
  <c r="F24" i="33"/>
  <c r="F48" i="33"/>
  <c r="F44" i="33"/>
  <c r="F40" i="33"/>
  <c r="F39" i="33"/>
  <c r="D26" i="33"/>
  <c r="F71" i="33"/>
  <c r="F67" i="33"/>
  <c r="F66" i="33"/>
  <c r="F59" i="33"/>
  <c r="F58" i="33"/>
  <c r="F35" i="33"/>
  <c r="F31" i="33"/>
  <c r="X22" i="33"/>
  <c r="P12" i="33"/>
  <c r="F45" i="33"/>
  <c r="F73" i="33"/>
  <c r="V59" i="24"/>
  <c r="V71" i="24"/>
  <c r="J75" i="24"/>
  <c r="V79" i="24"/>
  <c r="V83" i="24"/>
  <c r="V36" i="27"/>
  <c r="V40" i="27"/>
  <c r="V44" i="27"/>
  <c r="V48" i="27"/>
  <c r="V50" i="27"/>
  <c r="V52" i="27"/>
  <c r="V76" i="27"/>
  <c r="V88" i="27"/>
  <c r="J92" i="27"/>
  <c r="V96" i="27"/>
  <c r="J100" i="27"/>
  <c r="J66" i="30"/>
  <c r="J146" i="30"/>
  <c r="Z154" i="30"/>
  <c r="Z29" i="33"/>
  <c r="V29" i="33"/>
  <c r="J38" i="24"/>
  <c r="V40" i="24"/>
  <c r="V44" i="24"/>
  <c r="J48" i="24"/>
  <c r="J52" i="24"/>
  <c r="J56" i="24"/>
  <c r="V60" i="24"/>
  <c r="V68" i="24"/>
  <c r="V84" i="24"/>
  <c r="J88" i="24"/>
  <c r="V94" i="24"/>
  <c r="V53" i="27"/>
  <c r="V57" i="27"/>
  <c r="V61" i="27"/>
  <c r="J73" i="27"/>
  <c r="V77" i="27"/>
  <c r="J83" i="27"/>
  <c r="J99" i="27"/>
  <c r="V101" i="27"/>
  <c r="V112" i="27"/>
  <c r="P12" i="30"/>
  <c r="J68" i="30"/>
  <c r="J86" i="30"/>
  <c r="L103" i="30"/>
  <c r="N103" i="30" s="1"/>
  <c r="J119" i="30"/>
  <c r="J130" i="30"/>
  <c r="F41" i="33"/>
  <c r="N58" i="33"/>
  <c r="J29" i="24"/>
  <c r="J33" i="24"/>
  <c r="J47" i="24"/>
  <c r="V49" i="24"/>
  <c r="V53" i="24"/>
  <c r="V57" i="24"/>
  <c r="J65" i="24"/>
  <c r="V69" i="24"/>
  <c r="V77" i="24"/>
  <c r="J81" i="24"/>
  <c r="J87" i="24"/>
  <c r="J42" i="27"/>
  <c r="J46" i="27"/>
  <c r="J64" i="27"/>
  <c r="V66" i="27"/>
  <c r="V70" i="27"/>
  <c r="V74" i="27"/>
  <c r="J82" i="27"/>
  <c r="V86" i="27"/>
  <c r="V94" i="27"/>
  <c r="J98" i="27"/>
  <c r="V102" i="27"/>
  <c r="J108" i="27"/>
  <c r="X13" i="30"/>
  <c r="Z13" i="30" s="1"/>
  <c r="J70" i="30"/>
  <c r="N76" i="30"/>
  <c r="X86" i="30"/>
  <c r="J93" i="30"/>
  <c r="X130" i="30"/>
  <c r="Z130" i="30" s="1"/>
  <c r="V141" i="30"/>
  <c r="Z146" i="30"/>
  <c r="V26" i="24"/>
  <c r="V30" i="24"/>
  <c r="J42" i="24"/>
  <c r="J46" i="24"/>
  <c r="V58" i="24"/>
  <c r="J64" i="24"/>
  <c r="V66" i="24"/>
  <c r="J74" i="24"/>
  <c r="V82" i="24"/>
  <c r="J86" i="24"/>
  <c r="V35" i="27"/>
  <c r="V39" i="27"/>
  <c r="V43" i="27"/>
  <c r="V47" i="27"/>
  <c r="J55" i="27"/>
  <c r="J59" i="27"/>
  <c r="J63" i="27"/>
  <c r="V75" i="27"/>
  <c r="J81" i="27"/>
  <c r="J91" i="27"/>
  <c r="V95" i="27"/>
  <c r="H73" i="30"/>
  <c r="Z86" i="30"/>
  <c r="J99" i="30"/>
  <c r="Z117" i="30"/>
  <c r="X117" i="30"/>
  <c r="N54" i="33"/>
  <c r="V48" i="24"/>
  <c r="V52" i="24"/>
  <c r="V56" i="24"/>
  <c r="J62" i="24"/>
  <c r="J72" i="24"/>
  <c r="V76" i="24"/>
  <c r="J80" i="24"/>
  <c r="V88" i="24"/>
  <c r="V90" i="24"/>
  <c r="H50" i="27"/>
  <c r="V65" i="27"/>
  <c r="V69" i="27"/>
  <c r="V73" i="27"/>
  <c r="J79" i="27"/>
  <c r="V85" i="27"/>
  <c r="J89" i="27"/>
  <c r="V93" i="27"/>
  <c r="J97" i="27"/>
  <c r="J105" i="27"/>
  <c r="J106" i="27"/>
  <c r="D12" i="30"/>
  <c r="V70" i="30"/>
  <c r="T73" i="30"/>
  <c r="V73" i="30" s="1"/>
  <c r="X97" i="30"/>
  <c r="Z97" i="30" s="1"/>
  <c r="Z101" i="30"/>
  <c r="V105" i="30"/>
  <c r="N137" i="30"/>
  <c r="X149" i="30"/>
  <c r="F72" i="33"/>
  <c r="J61" i="24"/>
  <c r="V65" i="24"/>
  <c r="J71" i="24"/>
  <c r="J79" i="24"/>
  <c r="V81" i="24"/>
  <c r="J85" i="24"/>
  <c r="V38" i="27"/>
  <c r="V42" i="27"/>
  <c r="V46" i="27"/>
  <c r="J78" i="27"/>
  <c r="V82" i="27"/>
  <c r="X85" i="27"/>
  <c r="Z85" i="27" s="1"/>
  <c r="J88" i="27"/>
  <c r="X93" i="27"/>
  <c r="V98" i="27"/>
  <c r="J164" i="30"/>
  <c r="J152" i="30"/>
  <c r="J144" i="30"/>
  <c r="J140" i="30"/>
  <c r="J134" i="30"/>
  <c r="J128" i="30"/>
  <c r="J120" i="30"/>
  <c r="J100" i="30"/>
  <c r="J84" i="30"/>
  <c r="J80" i="30"/>
  <c r="J50" i="30"/>
  <c r="J135" i="30"/>
  <c r="J121" i="30"/>
  <c r="J111" i="30"/>
  <c r="J101" i="30"/>
  <c r="J71" i="30"/>
  <c r="J67" i="30"/>
  <c r="J63" i="30"/>
  <c r="J59" i="30"/>
  <c r="J55" i="30"/>
  <c r="J51" i="30"/>
  <c r="J122" i="30"/>
  <c r="J112" i="30"/>
  <c r="J102" i="30"/>
  <c r="J94" i="30"/>
  <c r="J90" i="30"/>
  <c r="J76" i="30"/>
  <c r="J153" i="30"/>
  <c r="J145" i="30"/>
  <c r="J141" i="30"/>
  <c r="J129" i="30"/>
  <c r="J123" i="30"/>
  <c r="J113" i="30"/>
  <c r="J103" i="30"/>
  <c r="J85" i="30"/>
  <c r="J81" i="30"/>
  <c r="J77" i="30"/>
  <c r="J75" i="30"/>
  <c r="J73" i="30"/>
  <c r="J155" i="30"/>
  <c r="J147" i="30"/>
  <c r="J137" i="30"/>
  <c r="J131" i="30"/>
  <c r="J105" i="30"/>
  <c r="J95" i="30"/>
  <c r="J91" i="30"/>
  <c r="J87" i="30"/>
  <c r="J142" i="30"/>
  <c r="J138" i="30"/>
  <c r="J114" i="30"/>
  <c r="J106" i="30"/>
  <c r="J82" i="30"/>
  <c r="J78" i="30"/>
  <c r="J158" i="30"/>
  <c r="J157" i="30"/>
  <c r="J125" i="30"/>
  <c r="J115" i="30"/>
  <c r="J107" i="30"/>
  <c r="J69" i="30"/>
  <c r="J65" i="30"/>
  <c r="J61" i="30"/>
  <c r="J57" i="30"/>
  <c r="J53" i="30"/>
  <c r="J159" i="30"/>
  <c r="J148" i="30"/>
  <c r="J132" i="30"/>
  <c r="J126" i="30"/>
  <c r="J116" i="30"/>
  <c r="J108" i="30"/>
  <c r="J96" i="30"/>
  <c r="J92" i="30"/>
  <c r="J88" i="30"/>
  <c r="J160" i="30"/>
  <c r="J149" i="30"/>
  <c r="J143" i="30"/>
  <c r="J139" i="30"/>
  <c r="J127" i="30"/>
  <c r="J117" i="30"/>
  <c r="J109" i="30"/>
  <c r="J97" i="30"/>
  <c r="J83" i="30"/>
  <c r="J79" i="30"/>
  <c r="J150" i="30"/>
  <c r="J118" i="30"/>
  <c r="J110" i="30"/>
  <c r="J98" i="30"/>
  <c r="J54" i="30"/>
  <c r="L75" i="30"/>
  <c r="N75" i="30" s="1"/>
  <c r="Z54" i="33"/>
  <c r="J50" i="24"/>
  <c r="J54" i="24"/>
  <c r="J60" i="24"/>
  <c r="J70" i="24"/>
  <c r="V74" i="24"/>
  <c r="J78" i="24"/>
  <c r="J84" i="24"/>
  <c r="V86" i="24"/>
  <c r="V55" i="27"/>
  <c r="V59" i="27"/>
  <c r="V63" i="27"/>
  <c r="V83" i="27"/>
  <c r="V91" i="27"/>
  <c r="V99" i="27"/>
  <c r="J103" i="27"/>
  <c r="V108" i="27"/>
  <c r="J104" i="30"/>
  <c r="Z109" i="30"/>
  <c r="X109" i="30"/>
  <c r="L160" i="30"/>
  <c r="D157" i="30"/>
  <c r="L157" i="30" s="1"/>
  <c r="N157" i="30" s="1"/>
  <c r="Z52" i="33"/>
  <c r="J27" i="24"/>
  <c r="J31" i="24"/>
  <c r="V47" i="24"/>
  <c r="V51" i="24"/>
  <c r="V55" i="24"/>
  <c r="J59" i="24"/>
  <c r="V63" i="24"/>
  <c r="J69" i="24"/>
  <c r="J83" i="24"/>
  <c r="V87" i="24"/>
  <c r="J36" i="27"/>
  <c r="J40" i="27"/>
  <c r="J44" i="27"/>
  <c r="J48" i="27"/>
  <c r="V64" i="27"/>
  <c r="V68" i="27"/>
  <c r="V72" i="27"/>
  <c r="J76" i="27"/>
  <c r="V80" i="27"/>
  <c r="J96" i="27"/>
  <c r="J102" i="27"/>
  <c r="V136" i="30"/>
  <c r="V124" i="30"/>
  <c r="V104" i="30"/>
  <c r="V68" i="30"/>
  <c r="V64" i="30"/>
  <c r="V60" i="30"/>
  <c r="V56" i="30"/>
  <c r="V52" i="30"/>
  <c r="V157" i="30"/>
  <c r="V155" i="30"/>
  <c r="V147" i="30"/>
  <c r="V131" i="30"/>
  <c r="V115" i="30"/>
  <c r="V107" i="30"/>
  <c r="V95" i="30"/>
  <c r="V91" i="30"/>
  <c r="V87" i="30"/>
  <c r="V158" i="30"/>
  <c r="V142" i="30"/>
  <c r="V138" i="30"/>
  <c r="V126" i="30"/>
  <c r="V114" i="30"/>
  <c r="V106" i="30"/>
  <c r="V82" i="30"/>
  <c r="V78" i="30"/>
  <c r="V159" i="30"/>
  <c r="V149" i="30"/>
  <c r="V125" i="30"/>
  <c r="V117" i="30"/>
  <c r="V109" i="30"/>
  <c r="V97" i="30"/>
  <c r="V69" i="30"/>
  <c r="V65" i="30"/>
  <c r="V61" i="30"/>
  <c r="V57" i="30"/>
  <c r="V53" i="30"/>
  <c r="V160" i="30"/>
  <c r="V151" i="30"/>
  <c r="V143" i="30"/>
  <c r="V139" i="30"/>
  <c r="V127" i="30"/>
  <c r="V119" i="30"/>
  <c r="V99" i="30"/>
  <c r="V83" i="30"/>
  <c r="V79" i="30"/>
  <c r="V150" i="30"/>
  <c r="V134" i="30"/>
  <c r="V118" i="30"/>
  <c r="V110" i="30"/>
  <c r="V98" i="30"/>
  <c r="V133" i="30"/>
  <c r="V121" i="30"/>
  <c r="V101" i="30"/>
  <c r="V93" i="30"/>
  <c r="V89" i="30"/>
  <c r="V164" i="30"/>
  <c r="V152" i="30"/>
  <c r="V144" i="30"/>
  <c r="V140" i="30"/>
  <c r="V128" i="30"/>
  <c r="V120" i="30"/>
  <c r="V112" i="30"/>
  <c r="V100" i="30"/>
  <c r="V84" i="30"/>
  <c r="V80" i="30"/>
  <c r="V76" i="30"/>
  <c r="V135" i="30"/>
  <c r="V123" i="30"/>
  <c r="V111" i="30"/>
  <c r="V103" i="30"/>
  <c r="V75" i="30"/>
  <c r="V71" i="30"/>
  <c r="V67" i="30"/>
  <c r="V63" i="30"/>
  <c r="V59" i="30"/>
  <c r="V55" i="30"/>
  <c r="V51" i="30"/>
  <c r="V154" i="30"/>
  <c r="V146" i="30"/>
  <c r="V130" i="30"/>
  <c r="V122" i="30"/>
  <c r="V102" i="30"/>
  <c r="V94" i="30"/>
  <c r="V90" i="30"/>
  <c r="V86" i="30"/>
  <c r="J58" i="30"/>
  <c r="V85" i="30"/>
  <c r="V96" i="30"/>
  <c r="Z126" i="30"/>
  <c r="V129" i="30"/>
  <c r="N66" i="33"/>
  <c r="V28" i="24"/>
  <c r="V32" i="24"/>
  <c r="J40" i="24"/>
  <c r="J44" i="24"/>
  <c r="J58" i="24"/>
  <c r="V64" i="24"/>
  <c r="J68" i="24"/>
  <c r="V72" i="24"/>
  <c r="V37" i="27"/>
  <c r="V41" i="27"/>
  <c r="V45" i="27"/>
  <c r="J57" i="27"/>
  <c r="J61" i="27"/>
  <c r="J75" i="27"/>
  <c r="V81" i="27"/>
  <c r="V89" i="27"/>
  <c r="J95" i="27"/>
  <c r="V97" i="27"/>
  <c r="J101" i="27"/>
  <c r="J60" i="30"/>
  <c r="N112" i="30"/>
  <c r="V137" i="30"/>
  <c r="F49" i="33"/>
  <c r="J41" i="33"/>
  <c r="J45" i="33"/>
  <c r="J49" i="33"/>
  <c r="V53" i="33"/>
  <c r="V69" i="33"/>
  <c r="J73" i="33"/>
  <c r="R53" i="36"/>
  <c r="F77" i="36"/>
  <c r="F96" i="36"/>
  <c r="V116" i="36"/>
  <c r="N30" i="39"/>
  <c r="L14" i="33"/>
  <c r="V42" i="33"/>
  <c r="V46" i="33"/>
  <c r="V54" i="33"/>
  <c r="V62" i="33"/>
  <c r="J72" i="33"/>
  <c r="V78" i="33"/>
  <c r="F57" i="36"/>
  <c r="F59" i="36"/>
  <c r="R94" i="36"/>
  <c r="N96" i="36"/>
  <c r="F101" i="36"/>
  <c r="F120" i="36"/>
  <c r="F122" i="36"/>
  <c r="N75" i="39"/>
  <c r="F80" i="39"/>
  <c r="F92" i="39"/>
  <c r="X75" i="30"/>
  <c r="Z75" i="30" s="1"/>
  <c r="L117" i="30"/>
  <c r="N117" i="30" s="1"/>
  <c r="X123" i="30"/>
  <c r="Z123" i="30" s="1"/>
  <c r="L149" i="30"/>
  <c r="J31" i="33"/>
  <c r="J35" i="33"/>
  <c r="V51" i="33"/>
  <c r="X54" i="33"/>
  <c r="J59" i="33"/>
  <c r="J67" i="33"/>
  <c r="J71" i="33"/>
  <c r="V75" i="33"/>
  <c r="V77" i="33"/>
  <c r="D27" i="36"/>
  <c r="R43" i="36"/>
  <c r="R61" i="36"/>
  <c r="F79" i="36"/>
  <c r="R88" i="36"/>
  <c r="Z30" i="39"/>
  <c r="V32" i="33"/>
  <c r="V36" i="33"/>
  <c r="J40" i="33"/>
  <c r="J44" i="33"/>
  <c r="J48" i="33"/>
  <c r="V52" i="33"/>
  <c r="J58" i="33"/>
  <c r="V60" i="33"/>
  <c r="J66" i="33"/>
  <c r="V68" i="33"/>
  <c r="H126" i="36"/>
  <c r="J41" i="36"/>
  <c r="N41" i="36"/>
  <c r="F65" i="36"/>
  <c r="F67" i="36"/>
  <c r="R108" i="36"/>
  <c r="H123" i="42"/>
  <c r="J123" i="42" s="1"/>
  <c r="H26" i="33"/>
  <c r="J39" i="33"/>
  <c r="V41" i="33"/>
  <c r="V45" i="33"/>
  <c r="V49" i="33"/>
  <c r="J57" i="33"/>
  <c r="V61" i="33"/>
  <c r="J65" i="33"/>
  <c r="V73" i="33"/>
  <c r="T126" i="36"/>
  <c r="R30" i="36"/>
  <c r="F37" i="36"/>
  <c r="V88" i="36"/>
  <c r="V96" i="36"/>
  <c r="V104" i="36"/>
  <c r="P123" i="42"/>
  <c r="R123" i="42" s="1"/>
  <c r="J24" i="33"/>
  <c r="J26" i="33"/>
  <c r="J28" i="33"/>
  <c r="J30" i="33"/>
  <c r="J34" i="33"/>
  <c r="J38" i="33"/>
  <c r="V50" i="33"/>
  <c r="J56" i="33"/>
  <c r="J64" i="33"/>
  <c r="J70" i="33"/>
  <c r="V74" i="33"/>
  <c r="D77" i="33"/>
  <c r="L77" i="33" s="1"/>
  <c r="N77" i="33" s="1"/>
  <c r="J82" i="33"/>
  <c r="V48" i="36"/>
  <c r="F76" i="36"/>
  <c r="F78" i="36"/>
  <c r="F81" i="36"/>
  <c r="R99" i="36"/>
  <c r="V108" i="36"/>
  <c r="L111" i="36"/>
  <c r="N117" i="36"/>
  <c r="F121" i="36"/>
  <c r="F112" i="36"/>
  <c r="F111" i="36"/>
  <c r="F84" i="36"/>
  <c r="F40" i="36"/>
  <c r="F36" i="36"/>
  <c r="F32" i="36"/>
  <c r="F123" i="36"/>
  <c r="F114" i="36"/>
  <c r="F113" i="36"/>
  <c r="F106" i="36"/>
  <c r="F102" i="36"/>
  <c r="F98" i="36"/>
  <c r="F86" i="36"/>
  <c r="F85" i="36"/>
  <c r="F50" i="36"/>
  <c r="F46" i="36"/>
  <c r="F42" i="36"/>
  <c r="F41" i="36"/>
  <c r="F92" i="36"/>
  <c r="F60" i="36"/>
  <c r="F24" i="36"/>
  <c r="L12" i="36"/>
  <c r="N12" i="36" s="1"/>
  <c r="F115" i="36"/>
  <c r="F107" i="36"/>
  <c r="F103" i="36"/>
  <c r="F99" i="36"/>
  <c r="F87" i="36"/>
  <c r="F71" i="36"/>
  <c r="F70" i="36"/>
  <c r="F51" i="36"/>
  <c r="F47" i="36"/>
  <c r="F43" i="36"/>
  <c r="F128" i="36"/>
  <c r="F82" i="36"/>
  <c r="F38" i="36"/>
  <c r="F34" i="36"/>
  <c r="F109" i="36"/>
  <c r="F108" i="36"/>
  <c r="F93" i="36"/>
  <c r="F89" i="36"/>
  <c r="F88" i="36"/>
  <c r="F73" i="36"/>
  <c r="F72" i="36"/>
  <c r="F61" i="36"/>
  <c r="F53" i="36"/>
  <c r="F52" i="36"/>
  <c r="F25" i="36"/>
  <c r="F116" i="36"/>
  <c r="F104" i="36"/>
  <c r="F100" i="36"/>
  <c r="F48" i="36"/>
  <c r="F44" i="36"/>
  <c r="F95" i="36"/>
  <c r="F94" i="36"/>
  <c r="F83" i="36"/>
  <c r="F75" i="36"/>
  <c r="F74" i="36"/>
  <c r="F63" i="36"/>
  <c r="F62" i="36"/>
  <c r="F55" i="36"/>
  <c r="F54" i="36"/>
  <c r="F39" i="36"/>
  <c r="F35" i="36"/>
  <c r="F31" i="36"/>
  <c r="F30" i="36"/>
  <c r="F118" i="36"/>
  <c r="F117" i="36"/>
  <c r="F110" i="36"/>
  <c r="F90" i="36"/>
  <c r="F29" i="36"/>
  <c r="F23" i="36"/>
  <c r="F56" i="36"/>
  <c r="F58" i="36"/>
  <c r="R72" i="36"/>
  <c r="R74" i="36"/>
  <c r="R87" i="36"/>
  <c r="R93" i="36"/>
  <c r="N111" i="36"/>
  <c r="R115" i="36"/>
  <c r="X71" i="39"/>
  <c r="Z71" i="39" s="1"/>
  <c r="L86" i="30"/>
  <c r="N86" i="30" s="1"/>
  <c r="L130" i="30"/>
  <c r="N130" i="30" s="1"/>
  <c r="L146" i="30"/>
  <c r="N146" i="30" s="1"/>
  <c r="L154" i="30"/>
  <c r="N154" i="30" s="1"/>
  <c r="V40" i="33"/>
  <c r="V44" i="33"/>
  <c r="V48" i="33"/>
  <c r="J54" i="33"/>
  <c r="V72" i="33"/>
  <c r="N29" i="36"/>
  <c r="F33" i="36"/>
  <c r="R37" i="36"/>
  <c r="R54" i="36"/>
  <c r="F69" i="36"/>
  <c r="R70" i="36"/>
  <c r="F97" i="36"/>
  <c r="L113" i="36"/>
  <c r="N113" i="36" s="1"/>
  <c r="Z117" i="36"/>
  <c r="D120" i="36"/>
  <c r="L120" i="36" s="1"/>
  <c r="N120" i="36" s="1"/>
  <c r="L121" i="36"/>
  <c r="N121" i="36" s="1"/>
  <c r="P12" i="39"/>
  <c r="X21" i="39"/>
  <c r="Z69" i="39"/>
  <c r="J33" i="33"/>
  <c r="J37" i="33"/>
  <c r="J53" i="33"/>
  <c r="V57" i="33"/>
  <c r="V65" i="33"/>
  <c r="J69" i="33"/>
  <c r="J77" i="33"/>
  <c r="J78" i="33"/>
  <c r="F64" i="36"/>
  <c r="F66" i="36"/>
  <c r="Z70" i="36"/>
  <c r="F80" i="36"/>
  <c r="R81" i="36"/>
  <c r="F105" i="36"/>
  <c r="F115" i="39"/>
  <c r="F114" i="39"/>
  <c r="F107" i="39"/>
  <c r="F102" i="39"/>
  <c r="F98" i="39"/>
  <c r="F94" i="39"/>
  <c r="F93" i="39"/>
  <c r="F74" i="39"/>
  <c r="F73" i="39"/>
  <c r="F119" i="39"/>
  <c r="F117" i="39"/>
  <c r="F88" i="39"/>
  <c r="F76" i="39"/>
  <c r="F75" i="39"/>
  <c r="F120" i="39"/>
  <c r="F111" i="39"/>
  <c r="F110" i="39"/>
  <c r="F121" i="39"/>
  <c r="F78" i="39"/>
  <c r="F77" i="39"/>
  <c r="F89" i="39"/>
  <c r="F112" i="39"/>
  <c r="F104" i="39"/>
  <c r="F100" i="39"/>
  <c r="F96" i="39"/>
  <c r="F84" i="39"/>
  <c r="F68" i="39"/>
  <c r="F60" i="39"/>
  <c r="F125" i="39"/>
  <c r="F79" i="39"/>
  <c r="F56" i="39"/>
  <c r="F53" i="39"/>
  <c r="F44" i="39"/>
  <c r="F39" i="39"/>
  <c r="F35" i="39"/>
  <c r="F118" i="39"/>
  <c r="F83" i="39"/>
  <c r="F65" i="39"/>
  <c r="F50" i="39"/>
  <c r="F26" i="39"/>
  <c r="F105" i="39"/>
  <c r="F97" i="39"/>
  <c r="F95" i="39"/>
  <c r="F90" i="39"/>
  <c r="F113" i="39"/>
  <c r="F109" i="39"/>
  <c r="F103" i="39"/>
  <c r="F86" i="39"/>
  <c r="F71" i="39"/>
  <c r="F62" i="39"/>
  <c r="F57" i="39"/>
  <c r="F48" i="39"/>
  <c r="F45" i="39"/>
  <c r="F40" i="39"/>
  <c r="F36" i="39"/>
  <c r="F32" i="39"/>
  <c r="F31" i="39"/>
  <c r="F101" i="39"/>
  <c r="F99" i="39"/>
  <c r="F30" i="39"/>
  <c r="F81" i="39"/>
  <c r="F66" i="39"/>
  <c r="F51" i="39"/>
  <c r="F42" i="39"/>
  <c r="F41" i="39"/>
  <c r="D28" i="39"/>
  <c r="L12" i="39"/>
  <c r="F91" i="39"/>
  <c r="F69" i="39"/>
  <c r="F63" i="39"/>
  <c r="F54" i="39"/>
  <c r="F37" i="39"/>
  <c r="F33" i="39"/>
  <c r="F58" i="39"/>
  <c r="F46" i="39"/>
  <c r="F24" i="39"/>
  <c r="F23" i="39"/>
  <c r="F72" i="39"/>
  <c r="F55" i="39"/>
  <c r="F49" i="39"/>
  <c r="F43" i="39"/>
  <c r="F106" i="39"/>
  <c r="F87" i="39"/>
  <c r="F82" i="39"/>
  <c r="F67" i="39"/>
  <c r="F61" i="39"/>
  <c r="F52" i="39"/>
  <c r="F38" i="39"/>
  <c r="F34" i="39"/>
  <c r="F108" i="39"/>
  <c r="F85" i="39"/>
  <c r="F64" i="39"/>
  <c r="F25" i="39"/>
  <c r="F59" i="39"/>
  <c r="J42" i="33"/>
  <c r="J46" i="33"/>
  <c r="J52" i="33"/>
  <c r="V58" i="33"/>
  <c r="J62" i="33"/>
  <c r="V66" i="33"/>
  <c r="V70" i="33"/>
  <c r="V82" i="33"/>
  <c r="R92" i="36"/>
  <c r="R60" i="36"/>
  <c r="R24" i="36"/>
  <c r="X12" i="36"/>
  <c r="Z12" i="36" s="1"/>
  <c r="R128" i="36"/>
  <c r="R82" i="36"/>
  <c r="R38" i="36"/>
  <c r="R34" i="36"/>
  <c r="R117" i="36"/>
  <c r="R116" i="36"/>
  <c r="R104" i="36"/>
  <c r="R100" i="36"/>
  <c r="R48" i="36"/>
  <c r="R44" i="36"/>
  <c r="R29" i="36"/>
  <c r="R27" i="36"/>
  <c r="R96" i="36"/>
  <c r="R95" i="36"/>
  <c r="R83" i="36"/>
  <c r="R76" i="36"/>
  <c r="R75" i="36"/>
  <c r="R64" i="36"/>
  <c r="R63" i="36"/>
  <c r="R56" i="36"/>
  <c r="R55" i="36"/>
  <c r="R39" i="36"/>
  <c r="R35" i="36"/>
  <c r="R31" i="36"/>
  <c r="P27" i="36"/>
  <c r="R118" i="36"/>
  <c r="R111" i="36"/>
  <c r="R110" i="36"/>
  <c r="R90" i="36"/>
  <c r="R121" i="36"/>
  <c r="R105" i="36"/>
  <c r="R101" i="36"/>
  <c r="R97" i="36"/>
  <c r="R78" i="36"/>
  <c r="R77" i="36"/>
  <c r="R66" i="36"/>
  <c r="R65" i="36"/>
  <c r="R58" i="36"/>
  <c r="R57" i="36"/>
  <c r="R49" i="36"/>
  <c r="R45" i="36"/>
  <c r="R22" i="36"/>
  <c r="R122" i="36"/>
  <c r="R113" i="36"/>
  <c r="R112" i="36"/>
  <c r="R85" i="36"/>
  <c r="R84" i="36"/>
  <c r="R41" i="36"/>
  <c r="R40" i="36"/>
  <c r="R36" i="36"/>
  <c r="R32" i="36"/>
  <c r="R123" i="36"/>
  <c r="R91" i="36"/>
  <c r="R80" i="36"/>
  <c r="R79" i="36"/>
  <c r="R68" i="36"/>
  <c r="R67" i="36"/>
  <c r="R59" i="36"/>
  <c r="R124" i="36"/>
  <c r="R114" i="36"/>
  <c r="R106" i="36"/>
  <c r="R102" i="36"/>
  <c r="R98" i="36"/>
  <c r="R86" i="36"/>
  <c r="R50" i="36"/>
  <c r="R46" i="36"/>
  <c r="R42" i="36"/>
  <c r="R23" i="36"/>
  <c r="R33" i="36"/>
  <c r="F49" i="36"/>
  <c r="R62" i="36"/>
  <c r="F68" i="36"/>
  <c r="R89" i="36"/>
  <c r="V100" i="36"/>
  <c r="F70" i="39"/>
  <c r="T26" i="33"/>
  <c r="V39" i="33"/>
  <c r="V43" i="33"/>
  <c r="V47" i="33"/>
  <c r="J51" i="33"/>
  <c r="V55" i="33"/>
  <c r="J61" i="33"/>
  <c r="V115" i="36"/>
  <c r="V107" i="36"/>
  <c r="V103" i="36"/>
  <c r="V99" i="36"/>
  <c r="V87" i="36"/>
  <c r="V71" i="36"/>
  <c r="V51" i="36"/>
  <c r="V47" i="36"/>
  <c r="V43" i="36"/>
  <c r="V117" i="36"/>
  <c r="V109" i="36"/>
  <c r="V93" i="36"/>
  <c r="V89" i="36"/>
  <c r="V73" i="36"/>
  <c r="V61" i="36"/>
  <c r="V53" i="36"/>
  <c r="V29" i="36"/>
  <c r="V27" i="36"/>
  <c r="V25" i="36"/>
  <c r="V111" i="36"/>
  <c r="V95" i="36"/>
  <c r="V83" i="36"/>
  <c r="V75" i="36"/>
  <c r="V63" i="36"/>
  <c r="V55" i="36"/>
  <c r="V39" i="36"/>
  <c r="V35" i="36"/>
  <c r="V31" i="36"/>
  <c r="V120" i="36"/>
  <c r="V118" i="36"/>
  <c r="V110" i="36"/>
  <c r="V90" i="36"/>
  <c r="V78" i="36"/>
  <c r="V66" i="36"/>
  <c r="V58" i="36"/>
  <c r="V22" i="36"/>
  <c r="V121" i="36"/>
  <c r="V113" i="36"/>
  <c r="V105" i="36"/>
  <c r="V101" i="36"/>
  <c r="V97" i="36"/>
  <c r="V85" i="36"/>
  <c r="V77" i="36"/>
  <c r="V65" i="36"/>
  <c r="V57" i="36"/>
  <c r="V49" i="36"/>
  <c r="V45" i="36"/>
  <c r="V41" i="36"/>
  <c r="V122" i="36"/>
  <c r="V112" i="36"/>
  <c r="V84" i="36"/>
  <c r="V80" i="36"/>
  <c r="V68" i="36"/>
  <c r="V40" i="36"/>
  <c r="V36" i="36"/>
  <c r="V32" i="36"/>
  <c r="V123" i="36"/>
  <c r="V91" i="36"/>
  <c r="V79" i="36"/>
  <c r="V67" i="36"/>
  <c r="V59" i="36"/>
  <c r="V23" i="36"/>
  <c r="V126" i="36"/>
  <c r="V124" i="36"/>
  <c r="V114" i="36"/>
  <c r="V106" i="36"/>
  <c r="V102" i="36"/>
  <c r="V98" i="36"/>
  <c r="V86" i="36"/>
  <c r="V70" i="36"/>
  <c r="V50" i="36"/>
  <c r="V46" i="36"/>
  <c r="V42" i="36"/>
  <c r="V81" i="36"/>
  <c r="V69" i="36"/>
  <c r="V37" i="36"/>
  <c r="V33" i="36"/>
  <c r="F22" i="36"/>
  <c r="X29" i="36"/>
  <c r="Z29" i="36" s="1"/>
  <c r="R51" i="36"/>
  <c r="V56" i="36"/>
  <c r="V60" i="36"/>
  <c r="R69" i="36"/>
  <c r="R109" i="36"/>
  <c r="J45" i="36"/>
  <c r="J49" i="36"/>
  <c r="X52" i="36"/>
  <c r="Z52" i="36" s="1"/>
  <c r="J57" i="36"/>
  <c r="L58" i="36"/>
  <c r="N58" i="36" s="1"/>
  <c r="J65" i="36"/>
  <c r="L66" i="36"/>
  <c r="N66" i="36" s="1"/>
  <c r="X72" i="36"/>
  <c r="Z72" i="36" s="1"/>
  <c r="J77" i="36"/>
  <c r="J97" i="36"/>
  <c r="J101" i="36"/>
  <c r="J105" i="36"/>
  <c r="J111" i="36"/>
  <c r="J56" i="39"/>
  <c r="V76" i="39"/>
  <c r="J80" i="39"/>
  <c r="V88" i="39"/>
  <c r="J92" i="39"/>
  <c r="V120" i="39"/>
  <c r="R108" i="42"/>
  <c r="R101" i="42"/>
  <c r="R100" i="42"/>
  <c r="R96" i="42"/>
  <c r="R92" i="42"/>
  <c r="R81" i="42"/>
  <c r="R80" i="42"/>
  <c r="R65" i="42"/>
  <c r="R64" i="42"/>
  <c r="R56" i="42"/>
  <c r="R121" i="42"/>
  <c r="R75" i="42"/>
  <c r="R47" i="42"/>
  <c r="R43" i="42"/>
  <c r="R39" i="42"/>
  <c r="R20" i="42"/>
  <c r="R102" i="42"/>
  <c r="R87" i="42"/>
  <c r="R86" i="42"/>
  <c r="R82" i="42"/>
  <c r="R67" i="42"/>
  <c r="R66" i="42"/>
  <c r="R34" i="42"/>
  <c r="R30" i="42"/>
  <c r="R89" i="42"/>
  <c r="R88" i="42"/>
  <c r="R76" i="42"/>
  <c r="R69" i="42"/>
  <c r="R68" i="42"/>
  <c r="R49" i="42"/>
  <c r="R48" i="42"/>
  <c r="R44" i="42"/>
  <c r="R40" i="42"/>
  <c r="X12" i="42"/>
  <c r="Z12" i="42" s="1"/>
  <c r="R111" i="42"/>
  <c r="R104" i="42"/>
  <c r="R103" i="42"/>
  <c r="R83" i="42"/>
  <c r="R35" i="42"/>
  <c r="R31" i="42"/>
  <c r="R114" i="42"/>
  <c r="R113" i="42"/>
  <c r="R98" i="42"/>
  <c r="R94" i="42"/>
  <c r="R90" i="42"/>
  <c r="R71" i="42"/>
  <c r="R70" i="42"/>
  <c r="R59" i="42"/>
  <c r="R58" i="42"/>
  <c r="R51" i="42"/>
  <c r="R50" i="42"/>
  <c r="R22" i="42"/>
  <c r="R115" i="42"/>
  <c r="R106" i="42"/>
  <c r="R105" i="42"/>
  <c r="R78" i="42"/>
  <c r="R77" i="42"/>
  <c r="R45" i="42"/>
  <c r="R41" i="42"/>
  <c r="R116" i="42"/>
  <c r="R84" i="42"/>
  <c r="R73" i="42"/>
  <c r="R72" i="42"/>
  <c r="R61" i="42"/>
  <c r="R60" i="42"/>
  <c r="R53" i="42"/>
  <c r="R52" i="42"/>
  <c r="R36" i="42"/>
  <c r="R32" i="42"/>
  <c r="R117" i="42"/>
  <c r="R107" i="42"/>
  <c r="R99" i="42"/>
  <c r="R95" i="42"/>
  <c r="R91" i="42"/>
  <c r="R79" i="42"/>
  <c r="R28" i="42"/>
  <c r="R23" i="42"/>
  <c r="R119" i="42"/>
  <c r="R74" i="42"/>
  <c r="R63" i="42"/>
  <c r="R62" i="42"/>
  <c r="R55" i="42"/>
  <c r="R54" i="42"/>
  <c r="R46" i="42"/>
  <c r="R42" i="42"/>
  <c r="R27" i="42"/>
  <c r="R25" i="42"/>
  <c r="R29" i="42"/>
  <c r="Z81" i="42"/>
  <c r="Z101" i="42"/>
  <c r="J56" i="36"/>
  <c r="J64" i="36"/>
  <c r="J76" i="36"/>
  <c r="J90" i="36"/>
  <c r="J96" i="36"/>
  <c r="J110" i="36"/>
  <c r="J118" i="36"/>
  <c r="L13" i="39"/>
  <c r="N13" i="39" s="1"/>
  <c r="V41" i="39"/>
  <c r="V50" i="39"/>
  <c r="V62" i="39"/>
  <c r="V65" i="39"/>
  <c r="V83" i="39"/>
  <c r="N85" i="39"/>
  <c r="N59" i="42"/>
  <c r="J59" i="42"/>
  <c r="N63" i="42"/>
  <c r="L63" i="42"/>
  <c r="J27" i="36"/>
  <c r="J29" i="36"/>
  <c r="J31" i="36"/>
  <c r="J35" i="36"/>
  <c r="J39" i="36"/>
  <c r="J55" i="36"/>
  <c r="J63" i="36"/>
  <c r="J75" i="36"/>
  <c r="J83" i="36"/>
  <c r="J95" i="36"/>
  <c r="J117" i="36"/>
  <c r="P120" i="36"/>
  <c r="X120" i="36" s="1"/>
  <c r="Z120" i="36" s="1"/>
  <c r="V26" i="39"/>
  <c r="V28" i="39"/>
  <c r="V30" i="39"/>
  <c r="J34" i="39"/>
  <c r="J38" i="39"/>
  <c r="N52" i="39"/>
  <c r="J61" i="39"/>
  <c r="J64" i="39"/>
  <c r="V70" i="39"/>
  <c r="V78" i="39"/>
  <c r="J87" i="39"/>
  <c r="V100" i="39"/>
  <c r="R38" i="42"/>
  <c r="R93" i="42"/>
  <c r="N113" i="42"/>
  <c r="J30" i="36"/>
  <c r="J44" i="36"/>
  <c r="J48" i="36"/>
  <c r="J54" i="36"/>
  <c r="J62" i="36"/>
  <c r="J74" i="36"/>
  <c r="J94" i="36"/>
  <c r="J100" i="36"/>
  <c r="J104" i="36"/>
  <c r="J116" i="36"/>
  <c r="V31" i="39"/>
  <c r="V35" i="39"/>
  <c r="V39" i="39"/>
  <c r="J43" i="39"/>
  <c r="V44" i="39"/>
  <c r="V47" i="39"/>
  <c r="J52" i="39"/>
  <c r="J55" i="39"/>
  <c r="V59" i="39"/>
  <c r="J72" i="39"/>
  <c r="J82" i="39"/>
  <c r="L91" i="39"/>
  <c r="V104" i="39"/>
  <c r="V112" i="39"/>
  <c r="N114" i="39"/>
  <c r="N117" i="39"/>
  <c r="Z38" i="42"/>
  <c r="X65" i="42"/>
  <c r="Z65" i="42" s="1"/>
  <c r="X69" i="42"/>
  <c r="Z69" i="42" s="1"/>
  <c r="Z113" i="42"/>
  <c r="J53" i="36"/>
  <c r="J61" i="36"/>
  <c r="J73" i="36"/>
  <c r="J89" i="36"/>
  <c r="J93" i="36"/>
  <c r="J109" i="36"/>
  <c r="J115" i="39"/>
  <c r="J107" i="39"/>
  <c r="J108" i="39"/>
  <c r="J102" i="39"/>
  <c r="J98" i="39"/>
  <c r="J94" i="39"/>
  <c r="J118" i="39"/>
  <c r="J117" i="39"/>
  <c r="J109" i="39"/>
  <c r="J81" i="39"/>
  <c r="J75" i="39"/>
  <c r="J65" i="39"/>
  <c r="J57" i="39"/>
  <c r="J49" i="39"/>
  <c r="J45" i="39"/>
  <c r="J120" i="39"/>
  <c r="J111" i="39"/>
  <c r="J103" i="39"/>
  <c r="J99" i="39"/>
  <c r="J95" i="39"/>
  <c r="J83" i="39"/>
  <c r="J77" i="39"/>
  <c r="J67" i="39"/>
  <c r="J59" i="39"/>
  <c r="J121" i="39"/>
  <c r="J89" i="39"/>
  <c r="J112" i="39"/>
  <c r="J104" i="39"/>
  <c r="J100" i="39"/>
  <c r="J96" i="39"/>
  <c r="J84" i="39"/>
  <c r="J68" i="39"/>
  <c r="J60" i="39"/>
  <c r="J125" i="39"/>
  <c r="J105" i="39"/>
  <c r="J85" i="39"/>
  <c r="J79" i="39"/>
  <c r="J69" i="39"/>
  <c r="J51" i="39"/>
  <c r="J47" i="39"/>
  <c r="J106" i="39"/>
  <c r="J90" i="39"/>
  <c r="J86" i="39"/>
  <c r="J70" i="39"/>
  <c r="J24" i="39"/>
  <c r="J46" i="39"/>
  <c r="V96" i="39"/>
  <c r="J110" i="39"/>
  <c r="J114" i="39"/>
  <c r="P117" i="39"/>
  <c r="X117" i="39" s="1"/>
  <c r="J119" i="39"/>
  <c r="R21" i="42"/>
  <c r="L55" i="42"/>
  <c r="N55" i="42" s="1"/>
  <c r="R57" i="42"/>
  <c r="J34" i="36"/>
  <c r="J38" i="36"/>
  <c r="J52" i="36"/>
  <c r="J72" i="36"/>
  <c r="J82" i="36"/>
  <c r="J88" i="36"/>
  <c r="J108" i="36"/>
  <c r="J128" i="36"/>
  <c r="J33" i="39"/>
  <c r="J37" i="39"/>
  <c r="J58" i="39"/>
  <c r="J63" i="39"/>
  <c r="V67" i="39"/>
  <c r="J74" i="39"/>
  <c r="L77" i="39"/>
  <c r="N77" i="39" s="1"/>
  <c r="X82" i="39"/>
  <c r="Z82" i="39" s="1"/>
  <c r="N91" i="39"/>
  <c r="X110" i="39"/>
  <c r="N51" i="42"/>
  <c r="J51" i="42"/>
  <c r="J43" i="36"/>
  <c r="J47" i="36"/>
  <c r="J51" i="36"/>
  <c r="J71" i="36"/>
  <c r="J87" i="36"/>
  <c r="J99" i="36"/>
  <c r="J103" i="36"/>
  <c r="J107" i="36"/>
  <c r="J115" i="36"/>
  <c r="N12" i="39"/>
  <c r="V34" i="39"/>
  <c r="V38" i="39"/>
  <c r="J42" i="39"/>
  <c r="J54" i="39"/>
  <c r="Z75" i="39"/>
  <c r="J91" i="39"/>
  <c r="Z117" i="39"/>
  <c r="R37" i="42"/>
  <c r="Z55" i="42"/>
  <c r="R110" i="42"/>
  <c r="D113" i="42"/>
  <c r="L113" i="42" s="1"/>
  <c r="Z110" i="39"/>
  <c r="Z89" i="42"/>
  <c r="X89" i="42"/>
  <c r="J33" i="36"/>
  <c r="J37" i="36"/>
  <c r="J69" i="36"/>
  <c r="J81" i="36"/>
  <c r="J124" i="36"/>
  <c r="V121" i="39"/>
  <c r="V111" i="39"/>
  <c r="V105" i="39"/>
  <c r="V89" i="39"/>
  <c r="V85" i="39"/>
  <c r="V69" i="39"/>
  <c r="V125" i="39"/>
  <c r="V91" i="39"/>
  <c r="V79" i="39"/>
  <c r="V71" i="39"/>
  <c r="V51" i="39"/>
  <c r="V114" i="39"/>
  <c r="V106" i="39"/>
  <c r="V113" i="39"/>
  <c r="V101" i="39"/>
  <c r="V97" i="39"/>
  <c r="V93" i="39"/>
  <c r="V73" i="39"/>
  <c r="V61" i="39"/>
  <c r="V53" i="39"/>
  <c r="V108" i="39"/>
  <c r="V92" i="39"/>
  <c r="V80" i="39"/>
  <c r="V72" i="39"/>
  <c r="V64" i="39"/>
  <c r="V56" i="39"/>
  <c r="V48" i="39"/>
  <c r="V117" i="39"/>
  <c r="V115" i="39"/>
  <c r="V107" i="39"/>
  <c r="V87" i="39"/>
  <c r="V75" i="39"/>
  <c r="V63" i="39"/>
  <c r="V55" i="39"/>
  <c r="V118" i="39"/>
  <c r="V110" i="39"/>
  <c r="V102" i="39"/>
  <c r="V98" i="39"/>
  <c r="V94" i="39"/>
  <c r="V82" i="39"/>
  <c r="V74" i="39"/>
  <c r="V66" i="39"/>
  <c r="V58" i="39"/>
  <c r="V24" i="39"/>
  <c r="J28" i="39"/>
  <c r="J30" i="39"/>
  <c r="J32" i="39"/>
  <c r="J36" i="39"/>
  <c r="J40" i="39"/>
  <c r="J48" i="39"/>
  <c r="N71" i="39"/>
  <c r="J76" i="39"/>
  <c r="Z77" i="39"/>
  <c r="J88" i="39"/>
  <c r="Z91" i="39"/>
  <c r="V99" i="39"/>
  <c r="J113" i="39"/>
  <c r="L15" i="42"/>
  <c r="D12" i="42"/>
  <c r="L27" i="42"/>
  <c r="N27" i="42" s="1"/>
  <c r="N49" i="42"/>
  <c r="J31" i="39"/>
  <c r="Z58" i="39"/>
  <c r="V60" i="39"/>
  <c r="J62" i="39"/>
  <c r="X66" i="39"/>
  <c r="J71" i="39"/>
  <c r="V77" i="39"/>
  <c r="V81" i="39"/>
  <c r="V86" i="39"/>
  <c r="J97" i="39"/>
  <c r="V103" i="39"/>
  <c r="N105" i="39"/>
  <c r="R33" i="42"/>
  <c r="J59" i="36"/>
  <c r="J67" i="36"/>
  <c r="J79" i="36"/>
  <c r="J85" i="36"/>
  <c r="J91" i="36"/>
  <c r="J113" i="36"/>
  <c r="J26" i="39"/>
  <c r="J50" i="39"/>
  <c r="J73" i="39"/>
  <c r="V95" i="39"/>
  <c r="X105" i="39"/>
  <c r="Z105" i="39" s="1"/>
  <c r="X49" i="42"/>
  <c r="Z49" i="42" s="1"/>
  <c r="N71" i="42"/>
  <c r="J71" i="42"/>
  <c r="D12" i="45"/>
  <c r="L13" i="45"/>
  <c r="V59" i="48"/>
  <c r="V51" i="48"/>
  <c r="V27" i="48"/>
  <c r="V23" i="48"/>
  <c r="V73" i="48"/>
  <c r="V50" i="48"/>
  <c r="V42" i="48"/>
  <c r="V53" i="48"/>
  <c r="V41" i="48"/>
  <c r="V37" i="48"/>
  <c r="V33" i="48"/>
  <c r="V66" i="48"/>
  <c r="V60" i="48"/>
  <c r="V52" i="48"/>
  <c r="V44" i="48"/>
  <c r="V28" i="48"/>
  <c r="V24" i="48"/>
  <c r="V20" i="48"/>
  <c r="V68" i="48"/>
  <c r="V55" i="48"/>
  <c r="V43" i="48"/>
  <c r="V19" i="48"/>
  <c r="V15" i="48"/>
  <c r="V62" i="48"/>
  <c r="V54" i="48"/>
  <c r="V46" i="48"/>
  <c r="V38" i="48"/>
  <c r="V34" i="48"/>
  <c r="T17" i="48"/>
  <c r="V17" i="48" s="1"/>
  <c r="V69" i="48"/>
  <c r="V61" i="48"/>
  <c r="V57" i="48"/>
  <c r="V45" i="48"/>
  <c r="V29" i="48"/>
  <c r="V25" i="48"/>
  <c r="V21" i="48"/>
  <c r="V56" i="48"/>
  <c r="V48" i="48"/>
  <c r="V63" i="48"/>
  <c r="V47" i="48"/>
  <c r="V39" i="48"/>
  <c r="V35" i="48"/>
  <c r="V31" i="48"/>
  <c r="V58" i="48"/>
  <c r="V30" i="48"/>
  <c r="V26" i="48"/>
  <c r="V22" i="48"/>
  <c r="V49" i="48"/>
  <c r="V32" i="48"/>
  <c r="V65" i="48"/>
  <c r="V36" i="48"/>
  <c r="V64" i="48"/>
  <c r="V40" i="48"/>
  <c r="V65" i="42"/>
  <c r="V81" i="42"/>
  <c r="V85" i="42"/>
  <c r="V101" i="42"/>
  <c r="J105" i="42"/>
  <c r="J113" i="42"/>
  <c r="J114" i="42"/>
  <c r="R65" i="48"/>
  <c r="R64" i="48"/>
  <c r="R40" i="48"/>
  <c r="R36" i="48"/>
  <c r="R32" i="48"/>
  <c r="R59" i="48"/>
  <c r="R27" i="48"/>
  <c r="R23" i="48"/>
  <c r="R73" i="48"/>
  <c r="R51" i="48"/>
  <c r="R50" i="48"/>
  <c r="R42" i="48"/>
  <c r="R41" i="48"/>
  <c r="R37" i="48"/>
  <c r="R33" i="48"/>
  <c r="R66" i="48"/>
  <c r="R60" i="48"/>
  <c r="R53" i="48"/>
  <c r="R52" i="48"/>
  <c r="R28" i="48"/>
  <c r="R24" i="48"/>
  <c r="R44" i="48"/>
  <c r="R43" i="48"/>
  <c r="R20" i="48"/>
  <c r="R68" i="48"/>
  <c r="R55" i="48"/>
  <c r="R54" i="48"/>
  <c r="R38" i="48"/>
  <c r="R34" i="48"/>
  <c r="R19" i="48"/>
  <c r="R15" i="48"/>
  <c r="R69" i="48"/>
  <c r="R62" i="48"/>
  <c r="R61" i="48"/>
  <c r="R46" i="48"/>
  <c r="R45" i="48"/>
  <c r="R29" i="48"/>
  <c r="R25" i="48"/>
  <c r="R21" i="48"/>
  <c r="P17" i="48"/>
  <c r="R17" i="48" s="1"/>
  <c r="R57" i="48"/>
  <c r="R56" i="48"/>
  <c r="R63" i="48"/>
  <c r="R48" i="48"/>
  <c r="R47" i="48"/>
  <c r="R39" i="48"/>
  <c r="R35" i="48"/>
  <c r="R58" i="48"/>
  <c r="R31" i="48"/>
  <c r="R30" i="48"/>
  <c r="R26" i="48"/>
  <c r="R22" i="48"/>
  <c r="X12" i="48"/>
  <c r="Z12" i="48" s="1"/>
  <c r="Z44" i="48"/>
  <c r="X13" i="42"/>
  <c r="Z13" i="42" s="1"/>
  <c r="J22" i="42"/>
  <c r="T25" i="42"/>
  <c r="X25" i="42" s="1"/>
  <c r="V38" i="42"/>
  <c r="V42" i="42"/>
  <c r="V46" i="42"/>
  <c r="J50" i="42"/>
  <c r="V54" i="42"/>
  <c r="J58" i="42"/>
  <c r="V62" i="42"/>
  <c r="J70" i="42"/>
  <c r="V74" i="42"/>
  <c r="J90" i="42"/>
  <c r="J94" i="42"/>
  <c r="J98" i="42"/>
  <c r="J104" i="42"/>
  <c r="L114" i="42"/>
  <c r="N114" i="42" s="1"/>
  <c r="N52" i="45"/>
  <c r="N56" i="45"/>
  <c r="L15" i="48"/>
  <c r="N20" i="48"/>
  <c r="L68" i="48"/>
  <c r="V23" i="42"/>
  <c r="V25" i="42"/>
  <c r="V27" i="42"/>
  <c r="J31" i="42"/>
  <c r="J35" i="42"/>
  <c r="J49" i="42"/>
  <c r="V55" i="42"/>
  <c r="V63" i="42"/>
  <c r="J69" i="42"/>
  <c r="V79" i="42"/>
  <c r="J83" i="42"/>
  <c r="J89" i="42"/>
  <c r="V91" i="42"/>
  <c r="V95" i="42"/>
  <c r="V99" i="42"/>
  <c r="J103" i="42"/>
  <c r="V107" i="42"/>
  <c r="J111" i="42"/>
  <c r="V117" i="42"/>
  <c r="V18" i="45"/>
  <c r="T23" i="45"/>
  <c r="N77" i="45"/>
  <c r="N68" i="48"/>
  <c r="V28" i="42"/>
  <c r="V32" i="42"/>
  <c r="V36" i="42"/>
  <c r="J40" i="42"/>
  <c r="J44" i="42"/>
  <c r="J48" i="42"/>
  <c r="V52" i="42"/>
  <c r="V60" i="42"/>
  <c r="J68" i="42"/>
  <c r="V72" i="42"/>
  <c r="J76" i="42"/>
  <c r="V84" i="42"/>
  <c r="J88" i="42"/>
  <c r="J110" i="42"/>
  <c r="V116" i="42"/>
  <c r="V31" i="45"/>
  <c r="V33" i="45"/>
  <c r="Z58" i="45"/>
  <c r="Z62" i="45"/>
  <c r="N72" i="45"/>
  <c r="N88" i="45"/>
  <c r="Z20" i="48"/>
  <c r="Z68" i="48"/>
  <c r="J21" i="42"/>
  <c r="V41" i="42"/>
  <c r="V45" i="42"/>
  <c r="V53" i="42"/>
  <c r="J57" i="42"/>
  <c r="V61" i="42"/>
  <c r="J67" i="42"/>
  <c r="V73" i="42"/>
  <c r="V77" i="42"/>
  <c r="J87" i="42"/>
  <c r="J93" i="42"/>
  <c r="J97" i="42"/>
  <c r="V105" i="42"/>
  <c r="J109" i="42"/>
  <c r="V115" i="42"/>
  <c r="V52" i="45"/>
  <c r="V69" i="45"/>
  <c r="V22" i="42"/>
  <c r="J30" i="42"/>
  <c r="J34" i="42"/>
  <c r="V50" i="42"/>
  <c r="V58" i="42"/>
  <c r="J66" i="42"/>
  <c r="V70" i="42"/>
  <c r="V78" i="42"/>
  <c r="J82" i="42"/>
  <c r="J86" i="42"/>
  <c r="V90" i="42"/>
  <c r="V94" i="42"/>
  <c r="V98" i="42"/>
  <c r="J102" i="42"/>
  <c r="V106" i="42"/>
  <c r="V114" i="42"/>
  <c r="V44" i="45"/>
  <c r="H71" i="48"/>
  <c r="N31" i="48"/>
  <c r="R49" i="48"/>
  <c r="N28" i="54"/>
  <c r="L28" i="54"/>
  <c r="V31" i="42"/>
  <c r="V35" i="42"/>
  <c r="J39" i="42"/>
  <c r="J43" i="42"/>
  <c r="J47" i="42"/>
  <c r="V51" i="42"/>
  <c r="V59" i="42"/>
  <c r="J65" i="42"/>
  <c r="V71" i="42"/>
  <c r="J75" i="42"/>
  <c r="J81" i="42"/>
  <c r="V83" i="42"/>
  <c r="J101" i="42"/>
  <c r="V103" i="42"/>
  <c r="V111" i="42"/>
  <c r="V113" i="42"/>
  <c r="J121" i="42"/>
  <c r="N25" i="45"/>
  <c r="V40" i="45"/>
  <c r="Z48" i="45"/>
  <c r="L19" i="48"/>
  <c r="N19" i="48" s="1"/>
  <c r="V21" i="42"/>
  <c r="J25" i="42"/>
  <c r="J27" i="42"/>
  <c r="J29" i="42"/>
  <c r="J33" i="42"/>
  <c r="J37" i="42"/>
  <c r="V49" i="42"/>
  <c r="J55" i="42"/>
  <c r="V57" i="42"/>
  <c r="J63" i="42"/>
  <c r="V69" i="42"/>
  <c r="J85" i="42"/>
  <c r="V89" i="42"/>
  <c r="V93" i="42"/>
  <c r="V97" i="42"/>
  <c r="V109" i="42"/>
  <c r="J119" i="42"/>
  <c r="P12" i="45"/>
  <c r="V27" i="45"/>
  <c r="L64" i="45"/>
  <c r="N66" i="45"/>
  <c r="P12" i="51"/>
  <c r="J28" i="42"/>
  <c r="V30" i="42"/>
  <c r="V34" i="42"/>
  <c r="J42" i="42"/>
  <c r="J46" i="42"/>
  <c r="J54" i="42"/>
  <c r="J62" i="42"/>
  <c r="V66" i="42"/>
  <c r="J74" i="42"/>
  <c r="V82" i="42"/>
  <c r="V86" i="42"/>
  <c r="V102" i="42"/>
  <c r="V110" i="42"/>
  <c r="J117" i="42"/>
  <c r="V84" i="45"/>
  <c r="V80" i="45"/>
  <c r="V60" i="45"/>
  <c r="V48" i="45"/>
  <c r="V20" i="45"/>
  <c r="V91" i="45"/>
  <c r="V75" i="45"/>
  <c r="V59" i="45"/>
  <c r="V47" i="45"/>
  <c r="V43" i="45"/>
  <c r="V39" i="45"/>
  <c r="V90" i="45"/>
  <c r="V70" i="45"/>
  <c r="V62" i="45"/>
  <c r="V50" i="45"/>
  <c r="V34" i="45"/>
  <c r="V30" i="45"/>
  <c r="V26" i="45"/>
  <c r="V93" i="45"/>
  <c r="V85" i="45"/>
  <c r="V81" i="45"/>
  <c r="V77" i="45"/>
  <c r="V61" i="45"/>
  <c r="V49" i="45"/>
  <c r="V25" i="45"/>
  <c r="V23" i="45"/>
  <c r="V21" i="45"/>
  <c r="V92" i="45"/>
  <c r="V76" i="45"/>
  <c r="V72" i="45"/>
  <c r="V71" i="45"/>
  <c r="V63" i="45"/>
  <c r="V51" i="45"/>
  <c r="V96" i="45"/>
  <c r="V94" i="45"/>
  <c r="V86" i="45"/>
  <c r="V82" i="45"/>
  <c r="V78" i="45"/>
  <c r="V66" i="45"/>
  <c r="V54" i="45"/>
  <c r="V73" i="45"/>
  <c r="V65" i="45"/>
  <c r="V53" i="45"/>
  <c r="V45" i="45"/>
  <c r="V41" i="45"/>
  <c r="V37" i="45"/>
  <c r="V88" i="45"/>
  <c r="V68" i="45"/>
  <c r="V56" i="45"/>
  <c r="V36" i="45"/>
  <c r="V32" i="45"/>
  <c r="V28" i="45"/>
  <c r="V87" i="45"/>
  <c r="V83" i="45"/>
  <c r="V79" i="45"/>
  <c r="V67" i="45"/>
  <c r="V55" i="45"/>
  <c r="V19" i="45"/>
  <c r="V100" i="45"/>
  <c r="V74" i="45"/>
  <c r="V58" i="45"/>
  <c r="V46" i="45"/>
  <c r="V42" i="45"/>
  <c r="V38" i="45"/>
  <c r="N64" i="45"/>
  <c r="N68" i="45"/>
  <c r="V89" i="45"/>
  <c r="L55" i="48"/>
  <c r="V39" i="42"/>
  <c r="V43" i="42"/>
  <c r="V47" i="42"/>
  <c r="V67" i="42"/>
  <c r="J73" i="42"/>
  <c r="V75" i="42"/>
  <c r="J79" i="42"/>
  <c r="V87" i="42"/>
  <c r="J91" i="42"/>
  <c r="J95" i="42"/>
  <c r="J99" i="42"/>
  <c r="J107" i="42"/>
  <c r="V121" i="42"/>
  <c r="J18" i="45"/>
  <c r="H23" i="45"/>
  <c r="N18" i="45"/>
  <c r="N55" i="48"/>
  <c r="J52" i="45"/>
  <c r="J64" i="45"/>
  <c r="J72" i="45"/>
  <c r="J78" i="45"/>
  <c r="J82" i="45"/>
  <c r="J86" i="45"/>
  <c r="J94" i="45"/>
  <c r="J15" i="48"/>
  <c r="J17" i="48"/>
  <c r="J19" i="48"/>
  <c r="J21" i="48"/>
  <c r="J25" i="48"/>
  <c r="J29" i="48"/>
  <c r="F34" i="48"/>
  <c r="F38" i="48"/>
  <c r="J45" i="48"/>
  <c r="F53" i="48"/>
  <c r="F54" i="48"/>
  <c r="J55" i="48"/>
  <c r="J61" i="48"/>
  <c r="J68" i="48"/>
  <c r="D12" i="51"/>
  <c r="V69" i="51"/>
  <c r="F31" i="54"/>
  <c r="F29" i="54"/>
  <c r="F28" i="54"/>
  <c r="F26" i="54"/>
  <c r="L12" i="54"/>
  <c r="F22" i="54"/>
  <c r="F20" i="54"/>
  <c r="F18" i="54"/>
  <c r="F16" i="54"/>
  <c r="F14" i="54"/>
  <c r="F24" i="54"/>
  <c r="D16" i="54"/>
  <c r="T22" i="54"/>
  <c r="Z16" i="54"/>
  <c r="R15" i="56"/>
  <c r="R62" i="56"/>
  <c r="D12" i="57"/>
  <c r="L13" i="57"/>
  <c r="J23" i="45"/>
  <c r="J25" i="45"/>
  <c r="J27" i="45"/>
  <c r="J31" i="45"/>
  <c r="J35" i="45"/>
  <c r="J51" i="45"/>
  <c r="J63" i="45"/>
  <c r="J71" i="45"/>
  <c r="J77" i="45"/>
  <c r="J93" i="45"/>
  <c r="J20" i="48"/>
  <c r="J34" i="48"/>
  <c r="J38" i="48"/>
  <c r="F42" i="48"/>
  <c r="F43" i="48"/>
  <c r="J44" i="48"/>
  <c r="J54" i="48"/>
  <c r="L13" i="51"/>
  <c r="N13" i="51" s="1"/>
  <c r="Z32" i="51"/>
  <c r="V50" i="51"/>
  <c r="V67" i="51"/>
  <c r="Z76" i="51"/>
  <c r="V92" i="51"/>
  <c r="F23" i="55"/>
  <c r="V56" i="56"/>
  <c r="V44" i="56"/>
  <c r="V66" i="56"/>
  <c r="V58" i="56"/>
  <c r="V49" i="56"/>
  <c r="V64" i="56"/>
  <c r="V79" i="56"/>
  <c r="V55" i="56"/>
  <c r="V39" i="56"/>
  <c r="V36" i="56"/>
  <c r="V27" i="56"/>
  <c r="V23" i="56"/>
  <c r="V63" i="56"/>
  <c r="V59" i="56"/>
  <c r="V51" i="56"/>
  <c r="V75" i="56"/>
  <c r="V69" i="56"/>
  <c r="V60" i="56"/>
  <c r="V50" i="56"/>
  <c r="V45" i="56"/>
  <c r="V33" i="56"/>
  <c r="V28" i="56"/>
  <c r="V24" i="56"/>
  <c r="V20" i="56"/>
  <c r="V70" i="56"/>
  <c r="V57" i="56"/>
  <c r="V40" i="56"/>
  <c r="V37" i="56"/>
  <c r="V19" i="56"/>
  <c r="V17" i="56"/>
  <c r="V15" i="56"/>
  <c r="V82" i="56"/>
  <c r="V67" i="56"/>
  <c r="V41" i="56"/>
  <c r="V34" i="56"/>
  <c r="V30" i="56"/>
  <c r="V68" i="56"/>
  <c r="V53" i="56"/>
  <c r="V47" i="56"/>
  <c r="V77" i="56"/>
  <c r="V71" i="56"/>
  <c r="V65" i="56"/>
  <c r="V61" i="56"/>
  <c r="V38" i="56"/>
  <c r="V35" i="56"/>
  <c r="V31" i="56"/>
  <c r="V62" i="56"/>
  <c r="V26" i="56"/>
  <c r="V22" i="56"/>
  <c r="Z12" i="56"/>
  <c r="V73" i="56"/>
  <c r="V43" i="56"/>
  <c r="V42" i="56"/>
  <c r="V21" i="56"/>
  <c r="J26" i="45"/>
  <c r="J40" i="45"/>
  <c r="J44" i="45"/>
  <c r="J50" i="45"/>
  <c r="J62" i="45"/>
  <c r="J76" i="45"/>
  <c r="J92" i="45"/>
  <c r="F24" i="48"/>
  <c r="F28" i="48"/>
  <c r="J43" i="48"/>
  <c r="F51" i="48"/>
  <c r="F52" i="48"/>
  <c r="J53" i="48"/>
  <c r="F60" i="48"/>
  <c r="F66" i="48"/>
  <c r="V32" i="51"/>
  <c r="V34" i="51"/>
  <c r="V40" i="51"/>
  <c r="Z59" i="51"/>
  <c r="V63" i="51"/>
  <c r="V65" i="51"/>
  <c r="Z74" i="51"/>
  <c r="V76" i="51"/>
  <c r="V78" i="51"/>
  <c r="X85" i="51"/>
  <c r="Z28" i="54"/>
  <c r="P35" i="55"/>
  <c r="Z19" i="55"/>
  <c r="X19" i="55"/>
  <c r="N23" i="55"/>
  <c r="N55" i="56"/>
  <c r="J21" i="45"/>
  <c r="J49" i="45"/>
  <c r="J61" i="45"/>
  <c r="J81" i="45"/>
  <c r="J85" i="45"/>
  <c r="J91" i="45"/>
  <c r="J24" i="48"/>
  <c r="J28" i="48"/>
  <c r="F33" i="48"/>
  <c r="F37" i="48"/>
  <c r="F41" i="48"/>
  <c r="J42" i="48"/>
  <c r="J52" i="48"/>
  <c r="J60" i="48"/>
  <c r="J66" i="48"/>
  <c r="H45" i="51"/>
  <c r="V54" i="51"/>
  <c r="V59" i="51"/>
  <c r="V61" i="51"/>
  <c r="V19" i="55"/>
  <c r="R67" i="56"/>
  <c r="D68" i="57"/>
  <c r="L68" i="57" s="1"/>
  <c r="L69" i="57"/>
  <c r="J30" i="45"/>
  <c r="J34" i="45"/>
  <c r="J48" i="45"/>
  <c r="J60" i="45"/>
  <c r="J70" i="45"/>
  <c r="J90" i="45"/>
  <c r="J33" i="48"/>
  <c r="J37" i="48"/>
  <c r="J41" i="48"/>
  <c r="F50" i="48"/>
  <c r="J51" i="48"/>
  <c r="F65" i="48"/>
  <c r="F73" i="48"/>
  <c r="L70" i="51"/>
  <c r="N70" i="51" s="1"/>
  <c r="Z85" i="51"/>
  <c r="V94" i="51"/>
  <c r="F31" i="55"/>
  <c r="F29" i="55"/>
  <c r="F20" i="55"/>
  <c r="F19" i="55"/>
  <c r="F33" i="55"/>
  <c r="F18" i="55"/>
  <c r="F16" i="55"/>
  <c r="F14" i="55"/>
  <c r="F22" i="55"/>
  <c r="F21" i="55"/>
  <c r="D16" i="55"/>
  <c r="F26" i="55"/>
  <c r="F25" i="55"/>
  <c r="L12" i="55"/>
  <c r="F27" i="55"/>
  <c r="L25" i="55"/>
  <c r="N25" i="55" s="1"/>
  <c r="Z29" i="55"/>
  <c r="X29" i="55"/>
  <c r="R17" i="56"/>
  <c r="R34" i="56"/>
  <c r="J59" i="45"/>
  <c r="J75" i="45"/>
  <c r="F23" i="48"/>
  <c r="F27" i="48"/>
  <c r="J50" i="48"/>
  <c r="F59" i="48"/>
  <c r="J73" i="48"/>
  <c r="X17" i="51"/>
  <c r="V39" i="51"/>
  <c r="V58" i="51"/>
  <c r="L29" i="54"/>
  <c r="N29" i="54" s="1"/>
  <c r="V14" i="55"/>
  <c r="V29" i="55"/>
  <c r="Z17" i="56"/>
  <c r="T75" i="56"/>
  <c r="X43" i="56"/>
  <c r="Z43" i="56" s="1"/>
  <c r="J80" i="45"/>
  <c r="J84" i="45"/>
  <c r="F31" i="48"/>
  <c r="F32" i="48"/>
  <c r="F36" i="48"/>
  <c r="F40" i="48"/>
  <c r="F64" i="48"/>
  <c r="R65" i="56"/>
  <c r="R37" i="56"/>
  <c r="R77" i="56"/>
  <c r="R82" i="56"/>
  <c r="R79" i="56"/>
  <c r="R66" i="56"/>
  <c r="R58" i="56"/>
  <c r="R47" i="56"/>
  <c r="R46" i="56"/>
  <c r="R38" i="56"/>
  <c r="R70" i="56"/>
  <c r="R69" i="56"/>
  <c r="R73" i="56"/>
  <c r="R54" i="56"/>
  <c r="R49" i="56"/>
  <c r="R48" i="56"/>
  <c r="R43" i="56"/>
  <c r="R32" i="56"/>
  <c r="R39" i="56"/>
  <c r="R36" i="56"/>
  <c r="R27" i="56"/>
  <c r="R23" i="56"/>
  <c r="R63" i="56"/>
  <c r="R59" i="56"/>
  <c r="R55" i="56"/>
  <c r="R44" i="56"/>
  <c r="R51" i="56"/>
  <c r="R50" i="56"/>
  <c r="R33" i="56"/>
  <c r="R75" i="56"/>
  <c r="R64" i="56"/>
  <c r="R60" i="56"/>
  <c r="R56" i="56"/>
  <c r="R45" i="56"/>
  <c r="R28" i="56"/>
  <c r="R24" i="56"/>
  <c r="R40" i="56"/>
  <c r="R20" i="56"/>
  <c r="R52" i="56"/>
  <c r="R41" i="56"/>
  <c r="R30" i="56"/>
  <c r="R29" i="56"/>
  <c r="R25" i="56"/>
  <c r="R21" i="56"/>
  <c r="P17" i="56"/>
  <c r="R71" i="56"/>
  <c r="R68" i="56"/>
  <c r="R61" i="56"/>
  <c r="R53" i="56"/>
  <c r="R35" i="56"/>
  <c r="R31" i="56"/>
  <c r="R26" i="56"/>
  <c r="R22" i="56"/>
  <c r="X12" i="56"/>
  <c r="X41" i="56"/>
  <c r="Z41" i="56" s="1"/>
  <c r="X73" i="56"/>
  <c r="Z73" i="56"/>
  <c r="J29" i="45"/>
  <c r="J33" i="45"/>
  <c r="X52" i="45"/>
  <c r="Z52" i="45" s="1"/>
  <c r="J57" i="45"/>
  <c r="L58" i="45"/>
  <c r="N58" i="45" s="1"/>
  <c r="X64" i="45"/>
  <c r="Z64" i="45" s="1"/>
  <c r="J69" i="45"/>
  <c r="X72" i="45"/>
  <c r="Z72" i="45" s="1"/>
  <c r="J89" i="45"/>
  <c r="X13" i="48"/>
  <c r="Z13" i="48" s="1"/>
  <c r="X15" i="48"/>
  <c r="X19" i="48"/>
  <c r="Z19" i="48" s="1"/>
  <c r="J32" i="48"/>
  <c r="J36" i="48"/>
  <c r="J40" i="48"/>
  <c r="F48" i="48"/>
  <c r="F49" i="48"/>
  <c r="J64" i="48"/>
  <c r="L65" i="48"/>
  <c r="N65" i="48" s="1"/>
  <c r="V36" i="51"/>
  <c r="V64" i="51"/>
  <c r="J70" i="51"/>
  <c r="J81" i="51"/>
  <c r="N19" i="56"/>
  <c r="Z20" i="56"/>
  <c r="Z49" i="56"/>
  <c r="X49" i="56"/>
  <c r="H75" i="56"/>
  <c r="J38" i="45"/>
  <c r="J42" i="45"/>
  <c r="J46" i="45"/>
  <c r="J56" i="45"/>
  <c r="J68" i="45"/>
  <c r="J74" i="45"/>
  <c r="J88" i="45"/>
  <c r="J100" i="45"/>
  <c r="L12" i="48"/>
  <c r="F22" i="48"/>
  <c r="F26" i="48"/>
  <c r="F30" i="48"/>
  <c r="J31" i="48"/>
  <c r="J49" i="48"/>
  <c r="F57" i="48"/>
  <c r="F58" i="48"/>
  <c r="J71" i="48"/>
  <c r="V102" i="51"/>
  <c r="V80" i="51"/>
  <c r="V72" i="51"/>
  <c r="V56" i="51"/>
  <c r="V52" i="51"/>
  <c r="V48" i="51"/>
  <c r="V91" i="51"/>
  <c r="V83" i="51"/>
  <c r="V71" i="51"/>
  <c r="V47" i="51"/>
  <c r="V43" i="51"/>
  <c r="V90" i="51"/>
  <c r="V82" i="51"/>
  <c r="V74" i="51"/>
  <c r="V66" i="51"/>
  <c r="V62" i="51"/>
  <c r="T45" i="51"/>
  <c r="V45" i="51" s="1"/>
  <c r="V93" i="51"/>
  <c r="V85" i="51"/>
  <c r="V73" i="51"/>
  <c r="V57" i="51"/>
  <c r="V53" i="51"/>
  <c r="V49" i="51"/>
  <c r="V97" i="51"/>
  <c r="V77" i="51"/>
  <c r="V41" i="51"/>
  <c r="V37" i="51"/>
  <c r="V33" i="51"/>
  <c r="V98" i="51"/>
  <c r="V88" i="51"/>
  <c r="V68" i="51"/>
  <c r="V79" i="51"/>
  <c r="V55" i="51"/>
  <c r="V51" i="51"/>
  <c r="V70" i="51"/>
  <c r="V60" i="51"/>
  <c r="L81" i="51"/>
  <c r="N81" i="51" s="1"/>
  <c r="X87" i="51"/>
  <c r="Z87" i="51" s="1"/>
  <c r="Z29" i="54"/>
  <c r="V24" i="55"/>
  <c r="V26" i="55"/>
  <c r="Z12" i="55"/>
  <c r="V21" i="55"/>
  <c r="T16" i="55"/>
  <c r="V20" i="55"/>
  <c r="V38" i="55"/>
  <c r="V35" i="55"/>
  <c r="V33" i="55"/>
  <c r="V23" i="55"/>
  <c r="V22" i="55"/>
  <c r="F24" i="55"/>
  <c r="V31" i="55"/>
  <c r="X30" i="56"/>
  <c r="Z30" i="56" s="1"/>
  <c r="J55" i="45"/>
  <c r="J67" i="45"/>
  <c r="J79" i="45"/>
  <c r="J83" i="45"/>
  <c r="J87" i="45"/>
  <c r="N12" i="48"/>
  <c r="D17" i="48"/>
  <c r="J22" i="48"/>
  <c r="J26" i="48"/>
  <c r="J30" i="48"/>
  <c r="F35" i="48"/>
  <c r="F39" i="48"/>
  <c r="F46" i="48"/>
  <c r="F47" i="48"/>
  <c r="J48" i="48"/>
  <c r="J58" i="48"/>
  <c r="F62" i="48"/>
  <c r="F63" i="48"/>
  <c r="X65" i="48"/>
  <c r="Z65" i="48" s="1"/>
  <c r="V38" i="51"/>
  <c r="X70" i="51"/>
  <c r="Z70" i="51" s="1"/>
  <c r="L76" i="51"/>
  <c r="V86" i="51"/>
  <c r="X93" i="51"/>
  <c r="X12" i="55"/>
  <c r="V25" i="55"/>
  <c r="V46" i="56"/>
  <c r="V52" i="56"/>
  <c r="V54" i="56"/>
  <c r="T73" i="57"/>
  <c r="Z17" i="57"/>
  <c r="J28" i="45"/>
  <c r="J32" i="45"/>
  <c r="J36" i="45"/>
  <c r="J54" i="45"/>
  <c r="J66" i="45"/>
  <c r="J96" i="45"/>
  <c r="F15" i="48"/>
  <c r="F19" i="48"/>
  <c r="J35" i="48"/>
  <c r="J39" i="48"/>
  <c r="J47" i="48"/>
  <c r="F55" i="48"/>
  <c r="F56" i="48"/>
  <c r="J57" i="48"/>
  <c r="J63" i="48"/>
  <c r="F69" i="48"/>
  <c r="V35" i="51"/>
  <c r="N76" i="51"/>
  <c r="V16" i="55"/>
  <c r="R19" i="56"/>
  <c r="R42" i="56"/>
  <c r="J58" i="51"/>
  <c r="J76" i="51"/>
  <c r="J86" i="51"/>
  <c r="J94" i="51"/>
  <c r="Z14" i="54"/>
  <c r="J26" i="54"/>
  <c r="J28" i="54"/>
  <c r="J29" i="54"/>
  <c r="J31" i="54"/>
  <c r="F34" i="56"/>
  <c r="F46" i="56"/>
  <c r="F52" i="56"/>
  <c r="N57" i="56"/>
  <c r="F67" i="56"/>
  <c r="X68" i="56"/>
  <c r="F82" i="56"/>
  <c r="R65" i="57"/>
  <c r="R64" i="57"/>
  <c r="R57" i="57"/>
  <c r="R56" i="57"/>
  <c r="R48" i="57"/>
  <c r="R47" i="57"/>
  <c r="R39" i="57"/>
  <c r="R35" i="57"/>
  <c r="R31" i="57"/>
  <c r="R66" i="57"/>
  <c r="R58" i="57"/>
  <c r="R26" i="57"/>
  <c r="R22" i="57"/>
  <c r="X12" i="57"/>
  <c r="R69" i="57"/>
  <c r="R68" i="57"/>
  <c r="R50" i="57"/>
  <c r="R49" i="57"/>
  <c r="R70" i="57"/>
  <c r="R71" i="57"/>
  <c r="R59" i="57"/>
  <c r="R52" i="57"/>
  <c r="R51" i="57"/>
  <c r="R53" i="57"/>
  <c r="R37" i="57"/>
  <c r="R33" i="57"/>
  <c r="R61" i="57"/>
  <c r="R60" i="57"/>
  <c r="R45" i="57"/>
  <c r="R44" i="57"/>
  <c r="R28" i="57"/>
  <c r="R24" i="57"/>
  <c r="R80" i="57"/>
  <c r="R77" i="57"/>
  <c r="R63" i="57"/>
  <c r="R62" i="57"/>
  <c r="R55" i="57"/>
  <c r="R54" i="57"/>
  <c r="R46" i="57"/>
  <c r="R38" i="57"/>
  <c r="R34" i="57"/>
  <c r="R19" i="57"/>
  <c r="R17" i="57"/>
  <c r="R15" i="57"/>
  <c r="R21" i="57"/>
  <c r="L45" i="58"/>
  <c r="N45" i="58" s="1"/>
  <c r="Z51" i="58"/>
  <c r="X51" i="58"/>
  <c r="N71" i="58"/>
  <c r="L71" i="58"/>
  <c r="J63" i="51"/>
  <c r="J67" i="51"/>
  <c r="J75" i="51"/>
  <c r="J85" i="51"/>
  <c r="J93" i="51"/>
  <c r="J27" i="55"/>
  <c r="F45" i="56"/>
  <c r="X47" i="56"/>
  <c r="Z47" i="56" s="1"/>
  <c r="F51" i="56"/>
  <c r="J67" i="56"/>
  <c r="J82" i="56"/>
  <c r="N30" i="57"/>
  <c r="Z52" i="57"/>
  <c r="R73" i="57"/>
  <c r="J84" i="51"/>
  <c r="J92" i="51"/>
  <c r="J24" i="54"/>
  <c r="F24" i="56"/>
  <c r="F28" i="56"/>
  <c r="F37" i="56"/>
  <c r="F40" i="56"/>
  <c r="N45" i="56"/>
  <c r="F56" i="56"/>
  <c r="L57" i="56"/>
  <c r="X62" i="56"/>
  <c r="Z62" i="56" s="1"/>
  <c r="F64" i="56"/>
  <c r="Z68" i="56"/>
  <c r="R23" i="57"/>
  <c r="N48" i="57"/>
  <c r="J60" i="57"/>
  <c r="Z71" i="58"/>
  <c r="X71" i="58"/>
  <c r="J45" i="51"/>
  <c r="J47" i="51"/>
  <c r="J49" i="51"/>
  <c r="J53" i="51"/>
  <c r="J57" i="51"/>
  <c r="J73" i="51"/>
  <c r="J83" i="51"/>
  <c r="J91" i="51"/>
  <c r="H16" i="54"/>
  <c r="R19" i="55"/>
  <c r="R29" i="55"/>
  <c r="R31" i="55"/>
  <c r="F33" i="56"/>
  <c r="J37" i="56"/>
  <c r="J45" i="56"/>
  <c r="F50" i="56"/>
  <c r="J51" i="56"/>
  <c r="L55" i="56"/>
  <c r="N64" i="56"/>
  <c r="F75" i="56"/>
  <c r="R25" i="57"/>
  <c r="R30" i="57"/>
  <c r="R32" i="57"/>
  <c r="R41" i="57"/>
  <c r="L43" i="57"/>
  <c r="N43" i="57" s="1"/>
  <c r="J48" i="57"/>
  <c r="X18" i="58"/>
  <c r="Z18" i="58" s="1"/>
  <c r="F49" i="59"/>
  <c r="F48" i="59"/>
  <c r="F67" i="59"/>
  <c r="F65" i="59"/>
  <c r="F69" i="59"/>
  <c r="F51" i="59"/>
  <c r="F50" i="59"/>
  <c r="F27" i="59"/>
  <c r="F58" i="59"/>
  <c r="F57" i="59"/>
  <c r="F37" i="59"/>
  <c r="F33" i="59"/>
  <c r="F38" i="59"/>
  <c r="F34" i="59"/>
  <c r="F61" i="59"/>
  <c r="F63" i="59"/>
  <c r="F62" i="59"/>
  <c r="F55" i="59"/>
  <c r="F54" i="59"/>
  <c r="F47" i="59"/>
  <c r="F46" i="59"/>
  <c r="F39" i="59"/>
  <c r="F35" i="59"/>
  <c r="F31" i="59"/>
  <c r="F30" i="59"/>
  <c r="F74" i="59"/>
  <c r="F52" i="59"/>
  <c r="F21" i="59"/>
  <c r="F71" i="59"/>
  <c r="F32" i="59"/>
  <c r="F24" i="59"/>
  <c r="F43" i="59"/>
  <c r="F29" i="59"/>
  <c r="F14" i="59"/>
  <c r="F59" i="59"/>
  <c r="F44" i="59"/>
  <c r="F40" i="59"/>
  <c r="F22" i="59"/>
  <c r="F16" i="59"/>
  <c r="D16" i="59"/>
  <c r="F25" i="59"/>
  <c r="F20" i="59"/>
  <c r="F19" i="59"/>
  <c r="F60" i="59"/>
  <c r="F41" i="59"/>
  <c r="F28" i="59"/>
  <c r="F36" i="59"/>
  <c r="F23" i="59"/>
  <c r="L12" i="59"/>
  <c r="F45" i="59"/>
  <c r="F42" i="59"/>
  <c r="X46" i="59"/>
  <c r="Z46" i="59" s="1"/>
  <c r="F39" i="56"/>
  <c r="F43" i="56"/>
  <c r="Z30" i="58"/>
  <c r="Z66" i="58"/>
  <c r="F69" i="56"/>
  <c r="F68" i="56"/>
  <c r="F61" i="56"/>
  <c r="F60" i="56"/>
  <c r="F71" i="56"/>
  <c r="F70" i="56"/>
  <c r="F63" i="56"/>
  <c r="F62" i="56"/>
  <c r="F54" i="56"/>
  <c r="F53" i="56"/>
  <c r="F42" i="56"/>
  <c r="F41" i="56"/>
  <c r="F32" i="56"/>
  <c r="F36" i="56"/>
  <c r="F48" i="56"/>
  <c r="F66" i="56"/>
  <c r="F73" i="56"/>
  <c r="Z43" i="57"/>
  <c r="J61" i="51"/>
  <c r="J65" i="51"/>
  <c r="J69" i="51"/>
  <c r="J89" i="51"/>
  <c r="P16" i="54"/>
  <c r="J23" i="55"/>
  <c r="J35" i="55"/>
  <c r="J38" i="55"/>
  <c r="J70" i="56"/>
  <c r="J62" i="56"/>
  <c r="J52" i="56"/>
  <c r="J40" i="56"/>
  <c r="J36" i="56"/>
  <c r="J64" i="56"/>
  <c r="J75" i="56"/>
  <c r="J73" i="56"/>
  <c r="J65" i="56"/>
  <c r="J55" i="56"/>
  <c r="J43" i="56"/>
  <c r="X13" i="56"/>
  <c r="J32" i="56"/>
  <c r="J48" i="56"/>
  <c r="L49" i="56"/>
  <c r="N49" i="56" s="1"/>
  <c r="J54" i="56"/>
  <c r="Z60" i="56"/>
  <c r="J66" i="56"/>
  <c r="J24" i="57"/>
  <c r="R29" i="57"/>
  <c r="R40" i="57"/>
  <c r="N57" i="57"/>
  <c r="R80" i="58"/>
  <c r="R77" i="58"/>
  <c r="R62" i="58"/>
  <c r="R61" i="58"/>
  <c r="R54" i="58"/>
  <c r="R53" i="58"/>
  <c r="R37" i="58"/>
  <c r="R33" i="58"/>
  <c r="R18" i="58"/>
  <c r="R16" i="58"/>
  <c r="R14" i="58"/>
  <c r="R75" i="58"/>
  <c r="R45" i="58"/>
  <c r="R44" i="58"/>
  <c r="R28" i="58"/>
  <c r="R24" i="58"/>
  <c r="R20" i="58"/>
  <c r="P16" i="58"/>
  <c r="R68" i="58"/>
  <c r="R67" i="58"/>
  <c r="R63" i="58"/>
  <c r="R55" i="58"/>
  <c r="R47" i="58"/>
  <c r="R46" i="58"/>
  <c r="R38" i="58"/>
  <c r="R34" i="58"/>
  <c r="R69" i="58"/>
  <c r="R30" i="58"/>
  <c r="R29" i="58"/>
  <c r="R25" i="58"/>
  <c r="R21" i="58"/>
  <c r="R64" i="58"/>
  <c r="R56" i="58"/>
  <c r="R49" i="58"/>
  <c r="R48" i="58"/>
  <c r="R71" i="58"/>
  <c r="R51" i="58"/>
  <c r="R50" i="58"/>
  <c r="R26" i="58"/>
  <c r="R22" i="58"/>
  <c r="R58" i="58"/>
  <c r="R57" i="58"/>
  <c r="R73" i="58"/>
  <c r="R65" i="58"/>
  <c r="R66" i="58"/>
  <c r="R60" i="58"/>
  <c r="R59" i="58"/>
  <c r="R27" i="58"/>
  <c r="R23" i="58"/>
  <c r="T16" i="58"/>
  <c r="N19" i="58"/>
  <c r="R39" i="58"/>
  <c r="Z54" i="58"/>
  <c r="N62" i="58"/>
  <c r="J34" i="51"/>
  <c r="J38" i="51"/>
  <c r="J42" i="51"/>
  <c r="R14" i="54"/>
  <c r="R16" i="54"/>
  <c r="R18" i="54"/>
  <c r="R20" i="54"/>
  <c r="J22" i="55"/>
  <c r="L12" i="56"/>
  <c r="F22" i="56"/>
  <c r="F26" i="56"/>
  <c r="F47" i="56"/>
  <c r="Z51" i="56"/>
  <c r="L53" i="56"/>
  <c r="J26" i="57"/>
  <c r="J31" i="57"/>
  <c r="J47" i="57"/>
  <c r="X71" i="57"/>
  <c r="P68" i="57"/>
  <c r="X68" i="57" s="1"/>
  <c r="F56" i="59"/>
  <c r="J79" i="51"/>
  <c r="J98" i="51"/>
  <c r="H16" i="55"/>
  <c r="J21" i="55"/>
  <c r="J33" i="55"/>
  <c r="D17" i="56"/>
  <c r="F30" i="56"/>
  <c r="F31" i="56"/>
  <c r="F35" i="56"/>
  <c r="N68" i="56"/>
  <c r="J75" i="57"/>
  <c r="J61" i="57"/>
  <c r="J45" i="57"/>
  <c r="J62" i="57"/>
  <c r="J54" i="57"/>
  <c r="J46" i="57"/>
  <c r="J38" i="57"/>
  <c r="J34" i="57"/>
  <c r="J80" i="57"/>
  <c r="J77" i="57"/>
  <c r="J63" i="57"/>
  <c r="J55" i="57"/>
  <c r="J29" i="57"/>
  <c r="J25" i="57"/>
  <c r="J21" i="57"/>
  <c r="J19" i="57"/>
  <c r="J17" i="57"/>
  <c r="J15" i="57"/>
  <c r="J64" i="57"/>
  <c r="J56" i="57"/>
  <c r="J30" i="57"/>
  <c r="H17" i="57"/>
  <c r="J65" i="57"/>
  <c r="J66" i="57"/>
  <c r="J58" i="57"/>
  <c r="J69" i="57"/>
  <c r="J68" i="57"/>
  <c r="J50" i="57"/>
  <c r="J40" i="57"/>
  <c r="J36" i="57"/>
  <c r="J32" i="57"/>
  <c r="J70" i="57"/>
  <c r="J59" i="57"/>
  <c r="J51" i="57"/>
  <c r="J41" i="57"/>
  <c r="J27" i="57"/>
  <c r="J23" i="57"/>
  <c r="J73" i="57"/>
  <c r="J53" i="57"/>
  <c r="J43" i="57"/>
  <c r="J37" i="57"/>
  <c r="J33" i="57"/>
  <c r="P17" i="57"/>
  <c r="J35" i="57"/>
  <c r="R42" i="57"/>
  <c r="J44" i="57"/>
  <c r="X62" i="58"/>
  <c r="Z62" i="58" s="1"/>
  <c r="J60" i="51"/>
  <c r="J64" i="51"/>
  <c r="J68" i="51"/>
  <c r="J78" i="51"/>
  <c r="J88" i="51"/>
  <c r="J96" i="51"/>
  <c r="V14" i="54"/>
  <c r="V16" i="54"/>
  <c r="V18" i="54"/>
  <c r="V20" i="54"/>
  <c r="J14" i="55"/>
  <c r="J16" i="55"/>
  <c r="J18" i="55"/>
  <c r="F15" i="56"/>
  <c r="F17" i="56"/>
  <c r="F19" i="56"/>
  <c r="J31" i="56"/>
  <c r="J35" i="56"/>
  <c r="F38" i="56"/>
  <c r="L41" i="56"/>
  <c r="N41" i="56" s="1"/>
  <c r="J47" i="56"/>
  <c r="J53" i="56"/>
  <c r="F58" i="56"/>
  <c r="J61" i="56"/>
  <c r="J68" i="56"/>
  <c r="J71" i="56"/>
  <c r="F77" i="56"/>
  <c r="Z57" i="57"/>
  <c r="R41" i="58"/>
  <c r="R43" i="58"/>
  <c r="F26" i="59"/>
  <c r="V57" i="57"/>
  <c r="V65" i="57"/>
  <c r="V73" i="58"/>
  <c r="V71" i="58"/>
  <c r="V69" i="58"/>
  <c r="V14" i="58"/>
  <c r="V16" i="58"/>
  <c r="V18" i="58"/>
  <c r="J22" i="58"/>
  <c r="J26" i="58"/>
  <c r="V42" i="58"/>
  <c r="J50" i="58"/>
  <c r="V54" i="58"/>
  <c r="V62" i="58"/>
  <c r="J56" i="59"/>
  <c r="J50" i="59"/>
  <c r="J40" i="59"/>
  <c r="J69" i="59"/>
  <c r="J58" i="59"/>
  <c r="J42" i="59"/>
  <c r="J74" i="59"/>
  <c r="J71" i="59"/>
  <c r="J59" i="59"/>
  <c r="J60" i="59"/>
  <c r="J52" i="59"/>
  <c r="J44" i="59"/>
  <c r="J28" i="59"/>
  <c r="J24" i="59"/>
  <c r="J20" i="59"/>
  <c r="J18" i="59"/>
  <c r="J16" i="59"/>
  <c r="J14" i="59"/>
  <c r="J38" i="59"/>
  <c r="J34" i="59"/>
  <c r="J61" i="59"/>
  <c r="J53" i="59"/>
  <c r="J45" i="59"/>
  <c r="J62" i="59"/>
  <c r="J63" i="59"/>
  <c r="J55" i="59"/>
  <c r="J47" i="59"/>
  <c r="J39" i="59"/>
  <c r="J48" i="59"/>
  <c r="J26" i="59"/>
  <c r="J22" i="59"/>
  <c r="T71" i="59"/>
  <c r="R32" i="59"/>
  <c r="X48" i="59"/>
  <c r="Z48" i="59" s="1"/>
  <c r="R52" i="59"/>
  <c r="N54" i="59"/>
  <c r="N62" i="59"/>
  <c r="N19" i="61"/>
  <c r="Z69" i="63"/>
  <c r="Z89" i="63"/>
  <c r="V55" i="57"/>
  <c r="V63" i="57"/>
  <c r="V75" i="57"/>
  <c r="V77" i="57"/>
  <c r="V80" i="57"/>
  <c r="Z12" i="58"/>
  <c r="J30" i="58"/>
  <c r="V32" i="58"/>
  <c r="V36" i="58"/>
  <c r="V40" i="58"/>
  <c r="J48" i="58"/>
  <c r="V52" i="58"/>
  <c r="J56" i="58"/>
  <c r="V60" i="58"/>
  <c r="J64" i="58"/>
  <c r="V65" i="58"/>
  <c r="V66" i="58"/>
  <c r="F68" i="58"/>
  <c r="F69" i="58"/>
  <c r="N12" i="59"/>
  <c r="Z16" i="59"/>
  <c r="J23" i="59"/>
  <c r="R26" i="59"/>
  <c r="J31" i="59"/>
  <c r="J36" i="59"/>
  <c r="J49" i="59"/>
  <c r="Z50" i="59"/>
  <c r="Z62" i="59"/>
  <c r="N83" i="63"/>
  <c r="D16" i="58"/>
  <c r="J21" i="58"/>
  <c r="J25" i="58"/>
  <c r="J29" i="58"/>
  <c r="V41" i="58"/>
  <c r="J47" i="58"/>
  <c r="V57" i="58"/>
  <c r="J69" i="58"/>
  <c r="J77" i="58"/>
  <c r="R60" i="59"/>
  <c r="R62" i="59"/>
  <c r="R61" i="59"/>
  <c r="R54" i="59"/>
  <c r="R53" i="59"/>
  <c r="R46" i="59"/>
  <c r="R45" i="59"/>
  <c r="R30" i="59"/>
  <c r="R29" i="59"/>
  <c r="R25" i="59"/>
  <c r="R21" i="59"/>
  <c r="R63" i="59"/>
  <c r="R55" i="59"/>
  <c r="R48" i="59"/>
  <c r="R47" i="59"/>
  <c r="R39" i="59"/>
  <c r="R35" i="59"/>
  <c r="R31" i="59"/>
  <c r="R67" i="59"/>
  <c r="R65" i="59"/>
  <c r="R57" i="59"/>
  <c r="R56" i="59"/>
  <c r="R41" i="59"/>
  <c r="R40" i="59"/>
  <c r="R69" i="59"/>
  <c r="R51" i="59"/>
  <c r="R27" i="59"/>
  <c r="R23" i="59"/>
  <c r="R74" i="59"/>
  <c r="R71" i="59"/>
  <c r="R42" i="59"/>
  <c r="Z54" i="59"/>
  <c r="J67" i="59"/>
  <c r="L19" i="60"/>
  <c r="N19" i="60" s="1"/>
  <c r="N18" i="63"/>
  <c r="N73" i="63"/>
  <c r="H16" i="58"/>
  <c r="V35" i="58"/>
  <c r="V39" i="58"/>
  <c r="J45" i="58"/>
  <c r="V51" i="58"/>
  <c r="J55" i="58"/>
  <c r="J63" i="58"/>
  <c r="F67" i="58"/>
  <c r="J19" i="59"/>
  <c r="N30" i="59"/>
  <c r="R36" i="59"/>
  <c r="R49" i="59"/>
  <c r="J51" i="59"/>
  <c r="Z19" i="60"/>
  <c r="H60" i="61"/>
  <c r="N16" i="61"/>
  <c r="J54" i="58"/>
  <c r="V56" i="58"/>
  <c r="J62" i="58"/>
  <c r="V64" i="58"/>
  <c r="J67" i="58"/>
  <c r="J75" i="58"/>
  <c r="V80" i="58"/>
  <c r="J30" i="59"/>
  <c r="J35" i="59"/>
  <c r="J57" i="59"/>
  <c r="V32" i="57"/>
  <c r="V36" i="57"/>
  <c r="V40" i="57"/>
  <c r="V52" i="57"/>
  <c r="V70" i="57"/>
  <c r="F80" i="58"/>
  <c r="F77" i="58"/>
  <c r="J19" i="58"/>
  <c r="V21" i="58"/>
  <c r="V25" i="58"/>
  <c r="V29" i="58"/>
  <c r="J33" i="58"/>
  <c r="J37" i="58"/>
  <c r="F41" i="58"/>
  <c r="F42" i="58"/>
  <c r="J43" i="58"/>
  <c r="V49" i="58"/>
  <c r="J53" i="58"/>
  <c r="F66" i="58"/>
  <c r="H16" i="59"/>
  <c r="J27" i="59"/>
  <c r="R33" i="59"/>
  <c r="N42" i="61"/>
  <c r="V41" i="57"/>
  <c r="V49" i="57"/>
  <c r="V69" i="57"/>
  <c r="J65" i="58"/>
  <c r="J73" i="58"/>
  <c r="J71" i="58"/>
  <c r="V30" i="58"/>
  <c r="V34" i="58"/>
  <c r="V38" i="58"/>
  <c r="J42" i="58"/>
  <c r="V46" i="58"/>
  <c r="F58" i="58"/>
  <c r="F59" i="58"/>
  <c r="J60" i="58"/>
  <c r="F73" i="58"/>
  <c r="V77" i="58"/>
  <c r="R38" i="59"/>
  <c r="R44" i="59"/>
  <c r="P60" i="61"/>
  <c r="Z58" i="63"/>
  <c r="V50" i="57"/>
  <c r="V58" i="57"/>
  <c r="V66" i="57"/>
  <c r="V68" i="57"/>
  <c r="J23" i="58"/>
  <c r="J27" i="58"/>
  <c r="J41" i="58"/>
  <c r="V47" i="58"/>
  <c r="V55" i="58"/>
  <c r="J59" i="58"/>
  <c r="V63" i="58"/>
  <c r="J66" i="58"/>
  <c r="V67" i="58"/>
  <c r="R18" i="59"/>
  <c r="R19" i="59"/>
  <c r="R22" i="59"/>
  <c r="J29" i="59"/>
  <c r="J46" i="59"/>
  <c r="V31" i="57"/>
  <c r="V35" i="57"/>
  <c r="V39" i="57"/>
  <c r="N12" i="58"/>
  <c r="V20" i="58"/>
  <c r="V24" i="58"/>
  <c r="V28" i="58"/>
  <c r="J32" i="58"/>
  <c r="J36" i="58"/>
  <c r="J40" i="58"/>
  <c r="V44" i="58"/>
  <c r="J52" i="58"/>
  <c r="F57" i="58"/>
  <c r="J58" i="58"/>
  <c r="F65" i="58"/>
  <c r="V68" i="58"/>
  <c r="F71" i="58"/>
  <c r="V75" i="58"/>
  <c r="P16" i="59"/>
  <c r="J32" i="59"/>
  <c r="J37" i="59"/>
  <c r="Z41" i="59"/>
  <c r="J43" i="59"/>
  <c r="N50" i="59"/>
  <c r="R59" i="59"/>
  <c r="J65" i="59"/>
  <c r="Z47" i="60"/>
  <c r="Z42" i="61"/>
  <c r="N64" i="63"/>
  <c r="N69" i="63"/>
  <c r="N89" i="63"/>
  <c r="V14" i="60"/>
  <c r="V16" i="60"/>
  <c r="V18" i="60"/>
  <c r="J40" i="60"/>
  <c r="J50" i="60"/>
  <c r="R51" i="60"/>
  <c r="R52" i="60"/>
  <c r="F54" i="61"/>
  <c r="P16" i="63"/>
  <c r="J23" i="63"/>
  <c r="J27" i="63"/>
  <c r="F32" i="63"/>
  <c r="F36" i="63"/>
  <c r="R44" i="63"/>
  <c r="R45" i="63"/>
  <c r="J51" i="63"/>
  <c r="L52" i="63"/>
  <c r="N52" i="63" s="1"/>
  <c r="V55" i="63"/>
  <c r="X58" i="63"/>
  <c r="J63" i="63"/>
  <c r="L64" i="63"/>
  <c r="F68" i="63"/>
  <c r="J69" i="63"/>
  <c r="V71" i="63"/>
  <c r="F75" i="63"/>
  <c r="F76" i="63"/>
  <c r="F80" i="63"/>
  <c r="V83" i="63"/>
  <c r="F87" i="63"/>
  <c r="F88" i="63"/>
  <c r="J89" i="63"/>
  <c r="V94" i="63"/>
  <c r="F68" i="68"/>
  <c r="N74" i="70"/>
  <c r="V14" i="59"/>
  <c r="V16" i="59"/>
  <c r="V18" i="59"/>
  <c r="V42" i="59"/>
  <c r="V58" i="59"/>
  <c r="X12" i="60"/>
  <c r="V19" i="60"/>
  <c r="V23" i="60"/>
  <c r="V27" i="60"/>
  <c r="J31" i="60"/>
  <c r="R32" i="60"/>
  <c r="J35" i="60"/>
  <c r="R36" i="60"/>
  <c r="J39" i="60"/>
  <c r="V43" i="60"/>
  <c r="F47" i="60"/>
  <c r="F48" i="60"/>
  <c r="J49" i="60"/>
  <c r="V51" i="60"/>
  <c r="J61" i="60"/>
  <c r="J64" i="60"/>
  <c r="N14" i="61"/>
  <c r="F23" i="61"/>
  <c r="F27" i="61"/>
  <c r="V30" i="61"/>
  <c r="V34" i="61"/>
  <c r="V38" i="61"/>
  <c r="F42" i="61"/>
  <c r="F43" i="61"/>
  <c r="J44" i="61"/>
  <c r="R47" i="61"/>
  <c r="R48" i="61"/>
  <c r="V50" i="61"/>
  <c r="J54" i="61"/>
  <c r="R58" i="61"/>
  <c r="R60" i="61"/>
  <c r="N12" i="63"/>
  <c r="R14" i="63"/>
  <c r="R16" i="63"/>
  <c r="R18" i="63"/>
  <c r="V20" i="63"/>
  <c r="V24" i="63"/>
  <c r="V28" i="63"/>
  <c r="J32" i="63"/>
  <c r="R33" i="63"/>
  <c r="J36" i="63"/>
  <c r="R37" i="63"/>
  <c r="F40" i="63"/>
  <c r="F41" i="63"/>
  <c r="V44" i="63"/>
  <c r="F48" i="63"/>
  <c r="F49" i="63"/>
  <c r="J50" i="63"/>
  <c r="R53" i="63"/>
  <c r="R54" i="63"/>
  <c r="V56" i="63"/>
  <c r="F60" i="63"/>
  <c r="F61" i="63"/>
  <c r="J62" i="63"/>
  <c r="R65" i="63"/>
  <c r="J68" i="63"/>
  <c r="J76" i="63"/>
  <c r="R77" i="63"/>
  <c r="J80" i="63"/>
  <c r="R81" i="63"/>
  <c r="J88" i="63"/>
  <c r="R92" i="63"/>
  <c r="R93" i="63"/>
  <c r="F98" i="63"/>
  <c r="R103" i="63"/>
  <c r="F40" i="68"/>
  <c r="N47" i="68"/>
  <c r="R39" i="69"/>
  <c r="R35" i="69"/>
  <c r="R31" i="69"/>
  <c r="R20" i="69"/>
  <c r="R18" i="69"/>
  <c r="R50" i="69"/>
  <c r="R26" i="69"/>
  <c r="R22" i="69"/>
  <c r="P18" i="69"/>
  <c r="X12" i="69"/>
  <c r="R58" i="69"/>
  <c r="R57" i="69"/>
  <c r="R41" i="69"/>
  <c r="R40" i="69"/>
  <c r="R36" i="69"/>
  <c r="R32" i="69"/>
  <c r="R59" i="69"/>
  <c r="R52" i="69"/>
  <c r="R51" i="69"/>
  <c r="R27" i="69"/>
  <c r="R23" i="69"/>
  <c r="R63" i="69"/>
  <c r="R61" i="69"/>
  <c r="R53" i="69"/>
  <c r="R37" i="69"/>
  <c r="R33" i="69"/>
  <c r="R45" i="69"/>
  <c r="R44" i="69"/>
  <c r="R28" i="69"/>
  <c r="R24" i="69"/>
  <c r="R70" i="69"/>
  <c r="R67" i="69"/>
  <c r="R55" i="69"/>
  <c r="R54" i="69"/>
  <c r="R47" i="69"/>
  <c r="R46" i="69"/>
  <c r="R38" i="69"/>
  <c r="R34" i="69"/>
  <c r="R15" i="69"/>
  <c r="R30" i="69"/>
  <c r="R29" i="69"/>
  <c r="R25" i="69"/>
  <c r="R56" i="69"/>
  <c r="R49" i="69"/>
  <c r="R48" i="69"/>
  <c r="R21" i="69"/>
  <c r="R16" i="69"/>
  <c r="F21" i="69"/>
  <c r="F51" i="69"/>
  <c r="Z78" i="70"/>
  <c r="V51" i="59"/>
  <c r="V59" i="59"/>
  <c r="V69" i="59"/>
  <c r="V71" i="59"/>
  <c r="V74" i="59"/>
  <c r="Z12" i="60"/>
  <c r="V32" i="60"/>
  <c r="V36" i="60"/>
  <c r="R41" i="60"/>
  <c r="R42" i="60"/>
  <c r="V44" i="60"/>
  <c r="J48" i="60"/>
  <c r="V52" i="60"/>
  <c r="F59" i="60"/>
  <c r="L12" i="61"/>
  <c r="R28" i="61"/>
  <c r="R29" i="61"/>
  <c r="F32" i="61"/>
  <c r="F36" i="61"/>
  <c r="J43" i="61"/>
  <c r="V47" i="61"/>
  <c r="R56" i="61"/>
  <c r="T16" i="63"/>
  <c r="R19" i="63"/>
  <c r="F22" i="63"/>
  <c r="F26" i="63"/>
  <c r="V29" i="63"/>
  <c r="V33" i="63"/>
  <c r="V37" i="63"/>
  <c r="J41" i="63"/>
  <c r="R42" i="63"/>
  <c r="R43" i="63"/>
  <c r="V45" i="63"/>
  <c r="J49" i="63"/>
  <c r="V53" i="63"/>
  <c r="J61" i="63"/>
  <c r="V65" i="63"/>
  <c r="R70" i="63"/>
  <c r="F73" i="63"/>
  <c r="F74" i="63"/>
  <c r="J75" i="63"/>
  <c r="V77" i="63"/>
  <c r="V81" i="63"/>
  <c r="F85" i="63"/>
  <c r="F86" i="63"/>
  <c r="J87" i="63"/>
  <c r="R90" i="63"/>
  <c r="V93" i="63"/>
  <c r="J98" i="63"/>
  <c r="F45" i="68"/>
  <c r="F23" i="69"/>
  <c r="X47" i="69"/>
  <c r="N52" i="70"/>
  <c r="Z87" i="70"/>
  <c r="D16" i="60"/>
  <c r="J21" i="60"/>
  <c r="J25" i="60"/>
  <c r="V41" i="60"/>
  <c r="J47" i="60"/>
  <c r="R50" i="60"/>
  <c r="J59" i="60"/>
  <c r="F40" i="61"/>
  <c r="F41" i="61"/>
  <c r="F52" i="61"/>
  <c r="F53" i="61"/>
  <c r="V58" i="61"/>
  <c r="V60" i="61"/>
  <c r="F64" i="61"/>
  <c r="F67" i="61"/>
  <c r="V14" i="63"/>
  <c r="V16" i="63"/>
  <c r="V18" i="63"/>
  <c r="J26" i="63"/>
  <c r="F31" i="63"/>
  <c r="F35" i="63"/>
  <c r="F39" i="63"/>
  <c r="J40" i="63"/>
  <c r="V42" i="63"/>
  <c r="F47" i="63"/>
  <c r="J48" i="63"/>
  <c r="R51" i="63"/>
  <c r="R52" i="63"/>
  <c r="V54" i="63"/>
  <c r="F58" i="63"/>
  <c r="F59" i="63"/>
  <c r="J60" i="63"/>
  <c r="R63" i="63"/>
  <c r="R64" i="63"/>
  <c r="F67" i="63"/>
  <c r="V70" i="63"/>
  <c r="J74" i="63"/>
  <c r="F79" i="63"/>
  <c r="J86" i="63"/>
  <c r="V90" i="63"/>
  <c r="V92" i="63"/>
  <c r="R100" i="63"/>
  <c r="V103" i="63"/>
  <c r="V49" i="59"/>
  <c r="V57" i="59"/>
  <c r="V22" i="60"/>
  <c r="V26" i="60"/>
  <c r="J30" i="60"/>
  <c r="R31" i="60"/>
  <c r="J34" i="60"/>
  <c r="R35" i="60"/>
  <c r="J38" i="60"/>
  <c r="R39" i="60"/>
  <c r="R40" i="60"/>
  <c r="V42" i="60"/>
  <c r="J46" i="60"/>
  <c r="V50" i="60"/>
  <c r="T16" i="61"/>
  <c r="X16" i="61" s="1"/>
  <c r="R19" i="61"/>
  <c r="F22" i="61"/>
  <c r="F26" i="61"/>
  <c r="V29" i="61"/>
  <c r="V33" i="61"/>
  <c r="V37" i="61"/>
  <c r="J41" i="61"/>
  <c r="V45" i="61"/>
  <c r="J53" i="61"/>
  <c r="R54" i="61"/>
  <c r="R55" i="61"/>
  <c r="X12" i="63"/>
  <c r="V19" i="63"/>
  <c r="V23" i="63"/>
  <c r="V27" i="63"/>
  <c r="J31" i="63"/>
  <c r="R32" i="63"/>
  <c r="J35" i="63"/>
  <c r="R36" i="63"/>
  <c r="J39" i="63"/>
  <c r="V43" i="63"/>
  <c r="J47" i="63"/>
  <c r="V51" i="63"/>
  <c r="J59" i="63"/>
  <c r="V63" i="63"/>
  <c r="J67" i="63"/>
  <c r="R68" i="63"/>
  <c r="R69" i="63"/>
  <c r="F72" i="63"/>
  <c r="J73" i="63"/>
  <c r="R76" i="63"/>
  <c r="J79" i="63"/>
  <c r="R80" i="63"/>
  <c r="F83" i="63"/>
  <c r="F84" i="63"/>
  <c r="J85" i="63"/>
  <c r="R88" i="63"/>
  <c r="R89" i="63"/>
  <c r="F96" i="63"/>
  <c r="T35" i="68"/>
  <c r="V35" i="68" s="1"/>
  <c r="Z47" i="68"/>
  <c r="Z64" i="68"/>
  <c r="F85" i="68"/>
  <c r="J18" i="69"/>
  <c r="H63" i="69"/>
  <c r="F27" i="69"/>
  <c r="R42" i="69"/>
  <c r="V50" i="59"/>
  <c r="H16" i="60"/>
  <c r="F28" i="60"/>
  <c r="J29" i="60"/>
  <c r="V31" i="60"/>
  <c r="V35" i="60"/>
  <c r="V39" i="60"/>
  <c r="R48" i="60"/>
  <c r="R49" i="60"/>
  <c r="J55" i="60"/>
  <c r="J57" i="60"/>
  <c r="R61" i="60"/>
  <c r="R64" i="60"/>
  <c r="V14" i="61"/>
  <c r="V16" i="61"/>
  <c r="V18" i="61"/>
  <c r="J22" i="61"/>
  <c r="R23" i="61"/>
  <c r="J26" i="61"/>
  <c r="R27" i="61"/>
  <c r="F31" i="61"/>
  <c r="F35" i="61"/>
  <c r="F39" i="61"/>
  <c r="J40" i="61"/>
  <c r="R43" i="61"/>
  <c r="R44" i="61"/>
  <c r="V46" i="61"/>
  <c r="F50" i="61"/>
  <c r="F51" i="61"/>
  <c r="J52" i="61"/>
  <c r="V54" i="61"/>
  <c r="J64" i="61"/>
  <c r="J67" i="61"/>
  <c r="Z12" i="63"/>
  <c r="X19" i="63"/>
  <c r="Z19" i="63" s="1"/>
  <c r="F21" i="63"/>
  <c r="F25" i="63"/>
  <c r="V32" i="63"/>
  <c r="V36" i="63"/>
  <c r="R41" i="63"/>
  <c r="X43" i="63"/>
  <c r="Z43" i="63" s="1"/>
  <c r="R49" i="63"/>
  <c r="R50" i="63"/>
  <c r="V52" i="63"/>
  <c r="F56" i="63"/>
  <c r="F57" i="63"/>
  <c r="J58" i="63"/>
  <c r="R61" i="63"/>
  <c r="R62" i="63"/>
  <c r="V64" i="63"/>
  <c r="V68" i="63"/>
  <c r="J72" i="63"/>
  <c r="L73" i="63"/>
  <c r="V76" i="63"/>
  <c r="V80" i="63"/>
  <c r="J84" i="63"/>
  <c r="L85" i="63"/>
  <c r="N85" i="63" s="1"/>
  <c r="V88" i="63"/>
  <c r="R98" i="63"/>
  <c r="V100" i="63"/>
  <c r="P12" i="68"/>
  <c r="X13" i="68"/>
  <c r="X25" i="68"/>
  <c r="Z25" i="68" s="1"/>
  <c r="F59" i="69"/>
  <c r="V40" i="60"/>
  <c r="V48" i="60"/>
  <c r="R59" i="60"/>
  <c r="F62" i="61"/>
  <c r="D16" i="63"/>
  <c r="J25" i="63"/>
  <c r="F29" i="63"/>
  <c r="F30" i="63"/>
  <c r="F34" i="63"/>
  <c r="F38" i="63"/>
  <c r="V41" i="63"/>
  <c r="F45" i="63"/>
  <c r="F46" i="63"/>
  <c r="V49" i="63"/>
  <c r="J57" i="63"/>
  <c r="V61" i="63"/>
  <c r="F66" i="63"/>
  <c r="V69" i="63"/>
  <c r="R74" i="63"/>
  <c r="R75" i="63"/>
  <c r="F78" i="63"/>
  <c r="F82" i="63"/>
  <c r="J83" i="63"/>
  <c r="R86" i="63"/>
  <c r="R87" i="63"/>
  <c r="V89" i="63"/>
  <c r="J96" i="63"/>
  <c r="V98" i="63"/>
  <c r="F41" i="68"/>
  <c r="F67" i="68"/>
  <c r="F50" i="69"/>
  <c r="D12" i="70"/>
  <c r="V48" i="59"/>
  <c r="J19" i="60"/>
  <c r="V21" i="60"/>
  <c r="V25" i="60"/>
  <c r="R30" i="60"/>
  <c r="J33" i="60"/>
  <c r="R34" i="60"/>
  <c r="J37" i="60"/>
  <c r="R38" i="60"/>
  <c r="J45" i="60"/>
  <c r="R46" i="60"/>
  <c r="R47" i="60"/>
  <c r="V49" i="60"/>
  <c r="J53" i="60"/>
  <c r="V59" i="60"/>
  <c r="V61" i="60"/>
  <c r="V64" i="60"/>
  <c r="Z12" i="61"/>
  <c r="F21" i="61"/>
  <c r="F25" i="61"/>
  <c r="V32" i="61"/>
  <c r="V36" i="61"/>
  <c r="R41" i="61"/>
  <c r="R42" i="61"/>
  <c r="V44" i="61"/>
  <c r="F48" i="61"/>
  <c r="F49" i="61"/>
  <c r="J50" i="61"/>
  <c r="R53" i="61"/>
  <c r="F58" i="61"/>
  <c r="F60" i="61"/>
  <c r="J62" i="61"/>
  <c r="F14" i="63"/>
  <c r="F16" i="63"/>
  <c r="F18" i="63"/>
  <c r="V22" i="63"/>
  <c r="V26" i="63"/>
  <c r="J30" i="63"/>
  <c r="R31" i="63"/>
  <c r="J34" i="63"/>
  <c r="R35" i="63"/>
  <c r="J38" i="63"/>
  <c r="R39" i="63"/>
  <c r="R40" i="63"/>
  <c r="J46" i="63"/>
  <c r="R47" i="63"/>
  <c r="R48" i="63"/>
  <c r="V50" i="63"/>
  <c r="F54" i="63"/>
  <c r="F55" i="63"/>
  <c r="J56" i="63"/>
  <c r="R59" i="63"/>
  <c r="R60" i="63"/>
  <c r="V62" i="63"/>
  <c r="J66" i="63"/>
  <c r="R67" i="63"/>
  <c r="F71" i="63"/>
  <c r="V74" i="63"/>
  <c r="J78" i="63"/>
  <c r="R79" i="63"/>
  <c r="J82" i="63"/>
  <c r="V86" i="63"/>
  <c r="F92" i="63"/>
  <c r="F94" i="63"/>
  <c r="F46" i="68"/>
  <c r="V15" i="69"/>
  <c r="T18" i="69"/>
  <c r="N20" i="69"/>
  <c r="J20" i="69"/>
  <c r="F22" i="69"/>
  <c r="R65" i="69"/>
  <c r="Z63" i="70"/>
  <c r="V61" i="59"/>
  <c r="V30" i="60"/>
  <c r="V34" i="60"/>
  <c r="V38" i="60"/>
  <c r="J44" i="60"/>
  <c r="V46" i="60"/>
  <c r="X49" i="60"/>
  <c r="Z49" i="60" s="1"/>
  <c r="J52" i="60"/>
  <c r="D16" i="61"/>
  <c r="F29" i="61"/>
  <c r="F30" i="61"/>
  <c r="F34" i="61"/>
  <c r="F38" i="61"/>
  <c r="X44" i="61"/>
  <c r="Z44" i="61" s="1"/>
  <c r="J49" i="61"/>
  <c r="L50" i="61"/>
  <c r="N50" i="61" s="1"/>
  <c r="V53" i="61"/>
  <c r="H16" i="63"/>
  <c r="F19" i="63"/>
  <c r="F20" i="63"/>
  <c r="F24" i="63"/>
  <c r="F28" i="63"/>
  <c r="J29" i="63"/>
  <c r="V31" i="63"/>
  <c r="V35" i="63"/>
  <c r="V39" i="63"/>
  <c r="F43" i="63"/>
  <c r="F44" i="63"/>
  <c r="J45" i="63"/>
  <c r="V47" i="63"/>
  <c r="X50" i="63"/>
  <c r="Z50" i="63" s="1"/>
  <c r="J55" i="63"/>
  <c r="L56" i="63"/>
  <c r="N56" i="63" s="1"/>
  <c r="V59" i="63"/>
  <c r="X62" i="63"/>
  <c r="Z62" i="63" s="1"/>
  <c r="V67" i="63"/>
  <c r="J71" i="63"/>
  <c r="R72" i="63"/>
  <c r="R73" i="63"/>
  <c r="V75" i="63"/>
  <c r="V79" i="63"/>
  <c r="R84" i="63"/>
  <c r="R85" i="63"/>
  <c r="V87" i="63"/>
  <c r="F93" i="63"/>
  <c r="J94" i="63"/>
  <c r="F44" i="68"/>
  <c r="F61" i="68"/>
  <c r="L12" i="69"/>
  <c r="N12" i="69" s="1"/>
  <c r="Z15" i="69"/>
  <c r="N41" i="69"/>
  <c r="L34" i="70"/>
  <c r="V38" i="59"/>
  <c r="V46" i="59"/>
  <c r="V54" i="59"/>
  <c r="V62" i="59"/>
  <c r="L12" i="60"/>
  <c r="P16" i="60"/>
  <c r="R20" i="60"/>
  <c r="J23" i="60"/>
  <c r="R24" i="60"/>
  <c r="J27" i="60"/>
  <c r="R28" i="60"/>
  <c r="R29" i="60"/>
  <c r="F32" i="60"/>
  <c r="F36" i="60"/>
  <c r="J43" i="60"/>
  <c r="V47" i="60"/>
  <c r="J51" i="60"/>
  <c r="R55" i="60"/>
  <c r="R57" i="60"/>
  <c r="F14" i="61"/>
  <c r="F16" i="61"/>
  <c r="F18" i="61"/>
  <c r="V22" i="61"/>
  <c r="V26" i="61"/>
  <c r="J30" i="61"/>
  <c r="R31" i="61"/>
  <c r="J34" i="61"/>
  <c r="R35" i="61"/>
  <c r="J38" i="61"/>
  <c r="R39" i="61"/>
  <c r="R40" i="61"/>
  <c r="V42" i="61"/>
  <c r="F46" i="61"/>
  <c r="F47" i="61"/>
  <c r="J48" i="61"/>
  <c r="R51" i="61"/>
  <c r="R52" i="61"/>
  <c r="J58" i="61"/>
  <c r="J60" i="61"/>
  <c r="R64" i="61"/>
  <c r="R67" i="61"/>
  <c r="J14" i="63"/>
  <c r="J16" i="63"/>
  <c r="J18" i="63"/>
  <c r="J20" i="63"/>
  <c r="R21" i="63"/>
  <c r="J24" i="63"/>
  <c r="R25" i="63"/>
  <c r="J28" i="63"/>
  <c r="F33" i="63"/>
  <c r="F37" i="63"/>
  <c r="V40" i="63"/>
  <c r="J44" i="63"/>
  <c r="V48" i="63"/>
  <c r="F52" i="63"/>
  <c r="F53" i="63"/>
  <c r="J54" i="63"/>
  <c r="R57" i="63"/>
  <c r="R58" i="63"/>
  <c r="V60" i="63"/>
  <c r="F64" i="63"/>
  <c r="F65" i="63"/>
  <c r="V72" i="63"/>
  <c r="F77" i="63"/>
  <c r="V84" i="63"/>
  <c r="J92" i="63"/>
  <c r="J93" i="63"/>
  <c r="R96" i="63"/>
  <c r="J103" i="63"/>
  <c r="X37" i="68"/>
  <c r="Z37" i="68" s="1"/>
  <c r="F84" i="68"/>
  <c r="N34" i="70"/>
  <c r="H49" i="70"/>
  <c r="V20" i="60"/>
  <c r="V24" i="60"/>
  <c r="V28" i="60"/>
  <c r="J32" i="60"/>
  <c r="R33" i="60"/>
  <c r="J36" i="60"/>
  <c r="R37" i="60"/>
  <c r="J42" i="60"/>
  <c r="R45" i="60"/>
  <c r="R53" i="60"/>
  <c r="F19" i="61"/>
  <c r="F20" i="61"/>
  <c r="F24" i="61"/>
  <c r="F28" i="61"/>
  <c r="J47" i="61"/>
  <c r="V51" i="61"/>
  <c r="F55" i="61"/>
  <c r="F56" i="61"/>
  <c r="R62" i="61"/>
  <c r="F103" i="63"/>
  <c r="F100" i="63"/>
  <c r="V25" i="63"/>
  <c r="J33" i="63"/>
  <c r="J37" i="63"/>
  <c r="F42" i="63"/>
  <c r="J43" i="63"/>
  <c r="R46" i="63"/>
  <c r="J53" i="63"/>
  <c r="V57" i="63"/>
  <c r="J65" i="63"/>
  <c r="R66" i="63"/>
  <c r="F69" i="63"/>
  <c r="F70" i="63"/>
  <c r="V73" i="63"/>
  <c r="J77" i="63"/>
  <c r="R78" i="63"/>
  <c r="J81" i="63"/>
  <c r="R82" i="63"/>
  <c r="R83" i="63"/>
  <c r="V85" i="63"/>
  <c r="F89" i="63"/>
  <c r="F90" i="63"/>
  <c r="F81" i="68"/>
  <c r="F65" i="68"/>
  <c r="F64" i="68"/>
  <c r="F33" i="68"/>
  <c r="F29" i="68"/>
  <c r="F88" i="68"/>
  <c r="F87" i="68"/>
  <c r="F56" i="68"/>
  <c r="F52" i="68"/>
  <c r="F48" i="68"/>
  <c r="F47" i="68"/>
  <c r="F75" i="68"/>
  <c r="F43" i="68"/>
  <c r="F39" i="68"/>
  <c r="F38" i="68"/>
  <c r="F82" i="68"/>
  <c r="F66" i="68"/>
  <c r="F37" i="68"/>
  <c r="F30" i="68"/>
  <c r="F26" i="68"/>
  <c r="F25" i="68"/>
  <c r="L12" i="68"/>
  <c r="N12" i="68" s="1"/>
  <c r="F90" i="68"/>
  <c r="F77" i="68"/>
  <c r="F76" i="68"/>
  <c r="F57" i="68"/>
  <c r="F53" i="68"/>
  <c r="F49" i="68"/>
  <c r="D35" i="68"/>
  <c r="F83" i="68"/>
  <c r="F59" i="68"/>
  <c r="F58" i="68"/>
  <c r="F31" i="68"/>
  <c r="F27" i="68"/>
  <c r="F78" i="68"/>
  <c r="F70" i="68"/>
  <c r="F69" i="68"/>
  <c r="F54" i="68"/>
  <c r="F50" i="68"/>
  <c r="F80" i="68"/>
  <c r="F79" i="68"/>
  <c r="F72" i="68"/>
  <c r="F71" i="68"/>
  <c r="F32" i="68"/>
  <c r="F28" i="68"/>
  <c r="F63" i="68"/>
  <c r="F62" i="68"/>
  <c r="F55" i="68"/>
  <c r="F51" i="68"/>
  <c r="F86" i="68"/>
  <c r="F74" i="68"/>
  <c r="F73" i="68"/>
  <c r="N84" i="68"/>
  <c r="N76" i="70"/>
  <c r="X80" i="70"/>
  <c r="T16" i="60"/>
  <c r="V29" i="60"/>
  <c r="V33" i="60"/>
  <c r="V37" i="60"/>
  <c r="V45" i="60"/>
  <c r="F49" i="60"/>
  <c r="F50" i="60"/>
  <c r="V53" i="60"/>
  <c r="V55" i="60"/>
  <c r="F61" i="60"/>
  <c r="F33" i="61"/>
  <c r="F37" i="61"/>
  <c r="V40" i="61"/>
  <c r="F44" i="61"/>
  <c r="J46" i="61"/>
  <c r="R49" i="61"/>
  <c r="V52" i="61"/>
  <c r="V62" i="61"/>
  <c r="V64" i="61"/>
  <c r="F23" i="63"/>
  <c r="F27" i="63"/>
  <c r="V30" i="63"/>
  <c r="V34" i="63"/>
  <c r="V38" i="63"/>
  <c r="J42" i="63"/>
  <c r="V46" i="63"/>
  <c r="F50" i="63"/>
  <c r="F51" i="63"/>
  <c r="J52" i="63"/>
  <c r="R55" i="63"/>
  <c r="R56" i="63"/>
  <c r="V58" i="63"/>
  <c r="F62" i="63"/>
  <c r="F63" i="63"/>
  <c r="J64" i="63"/>
  <c r="V66" i="63"/>
  <c r="J70" i="63"/>
  <c r="R71" i="63"/>
  <c r="V78" i="63"/>
  <c r="V82" i="63"/>
  <c r="J90" i="63"/>
  <c r="F42" i="68"/>
  <c r="L58" i="68"/>
  <c r="N58" i="68" s="1"/>
  <c r="F60" i="68"/>
  <c r="F65" i="69"/>
  <c r="F54" i="69"/>
  <c r="F46" i="69"/>
  <c r="F45" i="69"/>
  <c r="F38" i="69"/>
  <c r="F34" i="69"/>
  <c r="F29" i="69"/>
  <c r="F25" i="69"/>
  <c r="F70" i="69"/>
  <c r="F67" i="69"/>
  <c r="F56" i="69"/>
  <c r="F55" i="69"/>
  <c r="F48" i="69"/>
  <c r="F47" i="69"/>
  <c r="F16" i="69"/>
  <c r="F15" i="69"/>
  <c r="F39" i="69"/>
  <c r="F35" i="69"/>
  <c r="F31" i="69"/>
  <c r="F30" i="69"/>
  <c r="F57" i="69"/>
  <c r="F20" i="69"/>
  <c r="F18" i="69"/>
  <c r="F40" i="69"/>
  <c r="F36" i="69"/>
  <c r="F32" i="69"/>
  <c r="D18" i="69"/>
  <c r="F42" i="69"/>
  <c r="F41" i="69"/>
  <c r="F53" i="69"/>
  <c r="F52" i="69"/>
  <c r="F37" i="69"/>
  <c r="F33" i="69"/>
  <c r="F63" i="69"/>
  <c r="F61" i="69"/>
  <c r="F44" i="69"/>
  <c r="F43" i="69"/>
  <c r="F28" i="69"/>
  <c r="F24" i="69"/>
  <c r="L74" i="70"/>
  <c r="Z80" i="70"/>
  <c r="J81" i="68"/>
  <c r="J87" i="68"/>
  <c r="V88" i="70"/>
  <c r="J99" i="70"/>
  <c r="V29" i="72"/>
  <c r="Z122" i="74"/>
  <c r="J42" i="68"/>
  <c r="J46" i="68"/>
  <c r="V58" i="68"/>
  <c r="J64" i="68"/>
  <c r="V66" i="68"/>
  <c r="J74" i="68"/>
  <c r="V82" i="68"/>
  <c r="J86" i="68"/>
  <c r="V48" i="69"/>
  <c r="V56" i="69"/>
  <c r="P12" i="70"/>
  <c r="V37" i="70"/>
  <c r="V41" i="70"/>
  <c r="V45" i="70"/>
  <c r="J51" i="70"/>
  <c r="J53" i="70"/>
  <c r="J57" i="70"/>
  <c r="J61" i="70"/>
  <c r="J77" i="70"/>
  <c r="V81" i="70"/>
  <c r="V21" i="72"/>
  <c r="V36" i="72"/>
  <c r="V61" i="72"/>
  <c r="F65" i="72"/>
  <c r="Z75" i="74"/>
  <c r="R53" i="75"/>
  <c r="V39" i="68"/>
  <c r="V43" i="68"/>
  <c r="J51" i="68"/>
  <c r="J55" i="68"/>
  <c r="J63" i="68"/>
  <c r="V67" i="68"/>
  <c r="J73" i="68"/>
  <c r="V75" i="68"/>
  <c r="L13" i="69"/>
  <c r="N13" i="69" s="1"/>
  <c r="V21" i="69"/>
  <c r="V25" i="69"/>
  <c r="V29" i="69"/>
  <c r="J33" i="69"/>
  <c r="J37" i="69"/>
  <c r="J43" i="69"/>
  <c r="V49" i="69"/>
  <c r="J53" i="69"/>
  <c r="J61" i="69"/>
  <c r="J63" i="69"/>
  <c r="V98" i="70"/>
  <c r="V92" i="70"/>
  <c r="V116" i="70"/>
  <c r="V113" i="70"/>
  <c r="V111" i="70"/>
  <c r="V99" i="70"/>
  <c r="V91" i="70"/>
  <c r="V94" i="70"/>
  <c r="V101" i="70"/>
  <c r="V93" i="70"/>
  <c r="J52" i="70"/>
  <c r="V54" i="70"/>
  <c r="V58" i="70"/>
  <c r="V62" i="70"/>
  <c r="J66" i="70"/>
  <c r="J70" i="70"/>
  <c r="J76" i="70"/>
  <c r="J85" i="70"/>
  <c r="J93" i="70"/>
  <c r="D70" i="72"/>
  <c r="L19" i="72"/>
  <c r="V26" i="72"/>
  <c r="F56" i="79"/>
  <c r="F55" i="79"/>
  <c r="F44" i="79"/>
  <c r="F40" i="79"/>
  <c r="F36" i="79"/>
  <c r="F85" i="79"/>
  <c r="F82" i="79"/>
  <c r="F65" i="79"/>
  <c r="F64" i="79"/>
  <c r="F72" i="79"/>
  <c r="F71" i="79"/>
  <c r="F48" i="79"/>
  <c r="F47" i="79"/>
  <c r="F32" i="79"/>
  <c r="F28" i="79"/>
  <c r="F74" i="79"/>
  <c r="F73" i="79"/>
  <c r="F66" i="79"/>
  <c r="F50" i="79"/>
  <c r="F49" i="79"/>
  <c r="F42" i="79"/>
  <c r="F38" i="79"/>
  <c r="F80" i="79"/>
  <c r="F62" i="79"/>
  <c r="F61" i="79"/>
  <c r="F54" i="79"/>
  <c r="F53" i="79"/>
  <c r="F46" i="79"/>
  <c r="F68" i="79"/>
  <c r="F60" i="79"/>
  <c r="F27" i="79"/>
  <c r="F78" i="79"/>
  <c r="F43" i="79"/>
  <c r="F30" i="79"/>
  <c r="F69" i="79"/>
  <c r="F63" i="79"/>
  <c r="F57" i="79"/>
  <c r="F51" i="79"/>
  <c r="F33" i="79"/>
  <c r="F21" i="79"/>
  <c r="F37" i="79"/>
  <c r="F25" i="79"/>
  <c r="F24" i="79"/>
  <c r="F23" i="79"/>
  <c r="D21" i="79"/>
  <c r="F34" i="79"/>
  <c r="F31" i="79"/>
  <c r="F58" i="79"/>
  <c r="F52" i="79"/>
  <c r="F41" i="79"/>
  <c r="F17" i="79"/>
  <c r="F76" i="79"/>
  <c r="F59" i="79"/>
  <c r="F35" i="79"/>
  <c r="F18" i="79"/>
  <c r="F45" i="79"/>
  <c r="F26" i="79"/>
  <c r="F70" i="79"/>
  <c r="F67" i="79"/>
  <c r="F29" i="79"/>
  <c r="L12" i="79"/>
  <c r="F19" i="79"/>
  <c r="F39" i="79"/>
  <c r="V25" i="68"/>
  <c r="V29" i="68"/>
  <c r="V33" i="68"/>
  <c r="V37" i="68"/>
  <c r="J41" i="68"/>
  <c r="J45" i="68"/>
  <c r="J61" i="68"/>
  <c r="V65" i="68"/>
  <c r="J71" i="68"/>
  <c r="J79" i="68"/>
  <c r="V81" i="68"/>
  <c r="J85" i="68"/>
  <c r="V47" i="69"/>
  <c r="V55" i="69"/>
  <c r="J59" i="69"/>
  <c r="V65" i="69"/>
  <c r="J34" i="70"/>
  <c r="V36" i="70"/>
  <c r="V40" i="70"/>
  <c r="V44" i="70"/>
  <c r="J56" i="70"/>
  <c r="J60" i="70"/>
  <c r="J74" i="70"/>
  <c r="V80" i="70"/>
  <c r="J84" i="70"/>
  <c r="V87" i="70"/>
  <c r="Z94" i="70"/>
  <c r="N98" i="70"/>
  <c r="J101" i="70"/>
  <c r="N19" i="72"/>
  <c r="H70" i="72"/>
  <c r="V16" i="72"/>
  <c r="T19" i="72"/>
  <c r="Z45" i="72"/>
  <c r="F58" i="72"/>
  <c r="N50" i="74"/>
  <c r="Z105" i="74"/>
  <c r="V38" i="68"/>
  <c r="V42" i="68"/>
  <c r="V46" i="68"/>
  <c r="J50" i="68"/>
  <c r="J54" i="68"/>
  <c r="J60" i="68"/>
  <c r="J70" i="68"/>
  <c r="V74" i="68"/>
  <c r="J78" i="68"/>
  <c r="J84" i="68"/>
  <c r="V86" i="68"/>
  <c r="X13" i="69"/>
  <c r="Z13" i="69" s="1"/>
  <c r="V24" i="69"/>
  <c r="V28" i="69"/>
  <c r="J32" i="69"/>
  <c r="J36" i="69"/>
  <c r="J40" i="69"/>
  <c r="V44" i="69"/>
  <c r="J58" i="69"/>
  <c r="V53" i="70"/>
  <c r="V57" i="70"/>
  <c r="V61" i="70"/>
  <c r="J65" i="70"/>
  <c r="J69" i="70"/>
  <c r="J73" i="70"/>
  <c r="V77" i="70"/>
  <c r="V90" i="70"/>
  <c r="J98" i="70"/>
  <c r="V109" i="70"/>
  <c r="J15" i="72"/>
  <c r="L32" i="72"/>
  <c r="F37" i="72"/>
  <c r="F49" i="72"/>
  <c r="L51" i="72"/>
  <c r="X54" i="72"/>
  <c r="Z54" i="72" s="1"/>
  <c r="D12" i="74"/>
  <c r="V65" i="72"/>
  <c r="V57" i="72"/>
  <c r="V49" i="72"/>
  <c r="V64" i="72"/>
  <c r="V48" i="72"/>
  <c r="V51" i="72"/>
  <c r="V31" i="72"/>
  <c r="V27" i="72"/>
  <c r="V23" i="72"/>
  <c r="V68" i="72"/>
  <c r="V66" i="72"/>
  <c r="V58" i="72"/>
  <c r="V50" i="72"/>
  <c r="V41" i="72"/>
  <c r="V37" i="72"/>
  <c r="V33" i="72"/>
  <c r="V60" i="72"/>
  <c r="V52" i="72"/>
  <c r="V28" i="72"/>
  <c r="V24" i="72"/>
  <c r="V59" i="72"/>
  <c r="V43" i="72"/>
  <c r="V15" i="72"/>
  <c r="V72" i="72"/>
  <c r="V54" i="72"/>
  <c r="V42" i="72"/>
  <c r="V38" i="72"/>
  <c r="V34" i="72"/>
  <c r="V63" i="72"/>
  <c r="V55" i="72"/>
  <c r="V47" i="72"/>
  <c r="V62" i="72"/>
  <c r="V46" i="72"/>
  <c r="N51" i="72"/>
  <c r="J40" i="68"/>
  <c r="J44" i="68"/>
  <c r="J58" i="68"/>
  <c r="V64" i="68"/>
  <c r="J68" i="68"/>
  <c r="V72" i="68"/>
  <c r="V80" i="68"/>
  <c r="J94" i="68"/>
  <c r="V42" i="69"/>
  <c r="L13" i="70"/>
  <c r="N13" i="70" s="1"/>
  <c r="V35" i="70"/>
  <c r="V39" i="70"/>
  <c r="V43" i="70"/>
  <c r="V47" i="70"/>
  <c r="V49" i="70"/>
  <c r="V51" i="70"/>
  <c r="J55" i="70"/>
  <c r="J59" i="70"/>
  <c r="V75" i="70"/>
  <c r="N82" i="70"/>
  <c r="X101" i="70"/>
  <c r="V105" i="70"/>
  <c r="L107" i="70"/>
  <c r="D104" i="70"/>
  <c r="L104" i="70" s="1"/>
  <c r="N104" i="70" s="1"/>
  <c r="X12" i="72"/>
  <c r="Z12" i="72" s="1"/>
  <c r="V25" i="72"/>
  <c r="V30" i="72"/>
  <c r="N32" i="72"/>
  <c r="V35" i="72"/>
  <c r="F41" i="72"/>
  <c r="J51" i="72"/>
  <c r="V56" i="72"/>
  <c r="F66" i="72"/>
  <c r="F75" i="75"/>
  <c r="F74" i="75"/>
  <c r="F62" i="75"/>
  <c r="F61" i="75"/>
  <c r="F77" i="75"/>
  <c r="F82" i="75"/>
  <c r="F70" i="75"/>
  <c r="F71" i="75"/>
  <c r="F67" i="75"/>
  <c r="F66" i="75"/>
  <c r="F73" i="75"/>
  <c r="F58" i="75"/>
  <c r="F48" i="75"/>
  <c r="F44" i="75"/>
  <c r="F40" i="75"/>
  <c r="F39" i="75"/>
  <c r="D26" i="75"/>
  <c r="F59" i="75"/>
  <c r="F35" i="75"/>
  <c r="F31" i="75"/>
  <c r="F55" i="75"/>
  <c r="F54" i="75"/>
  <c r="F69" i="75"/>
  <c r="F49" i="75"/>
  <c r="F45" i="75"/>
  <c r="F41" i="75"/>
  <c r="F63" i="75"/>
  <c r="F36" i="75"/>
  <c r="F32" i="75"/>
  <c r="L12" i="75"/>
  <c r="N12" i="75" s="1"/>
  <c r="F56" i="75"/>
  <c r="F50" i="75"/>
  <c r="F46" i="75"/>
  <c r="F42" i="75"/>
  <c r="F60" i="75"/>
  <c r="F57" i="75"/>
  <c r="F51" i="75"/>
  <c r="F37" i="75"/>
  <c r="F33" i="75"/>
  <c r="F78" i="75"/>
  <c r="F72" i="75"/>
  <c r="F65" i="75"/>
  <c r="F47" i="75"/>
  <c r="F43" i="75"/>
  <c r="F68" i="75"/>
  <c r="F52" i="75"/>
  <c r="F38" i="75"/>
  <c r="F34" i="75"/>
  <c r="F30" i="75"/>
  <c r="F29" i="75"/>
  <c r="F53" i="75"/>
  <c r="F28" i="75"/>
  <c r="F26" i="75"/>
  <c r="F24" i="75"/>
  <c r="V41" i="68"/>
  <c r="V45" i="68"/>
  <c r="J49" i="68"/>
  <c r="J53" i="68"/>
  <c r="J57" i="68"/>
  <c r="V61" i="68"/>
  <c r="J67" i="68"/>
  <c r="V73" i="68"/>
  <c r="J77" i="68"/>
  <c r="V85" i="68"/>
  <c r="J21" i="69"/>
  <c r="V23" i="69"/>
  <c r="V27" i="69"/>
  <c r="J31" i="69"/>
  <c r="J35" i="69"/>
  <c r="J39" i="69"/>
  <c r="V43" i="69"/>
  <c r="J49" i="69"/>
  <c r="V51" i="69"/>
  <c r="V59" i="69"/>
  <c r="V61" i="69"/>
  <c r="V52" i="70"/>
  <c r="V56" i="70"/>
  <c r="V60" i="70"/>
  <c r="J64" i="70"/>
  <c r="J68" i="70"/>
  <c r="J72" i="70"/>
  <c r="V76" i="70"/>
  <c r="J82" i="70"/>
  <c r="P104" i="70"/>
  <c r="X104" i="70" s="1"/>
  <c r="Z104" i="70" s="1"/>
  <c r="P19" i="72"/>
  <c r="X15" i="72"/>
  <c r="F24" i="72"/>
  <c r="V44" i="72"/>
  <c r="X86" i="74"/>
  <c r="Z86" i="74" s="1"/>
  <c r="Z114" i="74"/>
  <c r="Z133" i="74"/>
  <c r="N61" i="75"/>
  <c r="J26" i="68"/>
  <c r="J30" i="68"/>
  <c r="H35" i="68"/>
  <c r="V50" i="68"/>
  <c r="V54" i="68"/>
  <c r="V62" i="68"/>
  <c r="J66" i="68"/>
  <c r="L67" i="68"/>
  <c r="N67" i="68" s="1"/>
  <c r="V70" i="68"/>
  <c r="X73" i="68"/>
  <c r="Z73" i="68" s="1"/>
  <c r="J76" i="68"/>
  <c r="V78" i="68"/>
  <c r="J82" i="68"/>
  <c r="J90" i="68"/>
  <c r="L21" i="69"/>
  <c r="V32" i="69"/>
  <c r="V36" i="69"/>
  <c r="V40" i="69"/>
  <c r="X43" i="69"/>
  <c r="J48" i="69"/>
  <c r="L49" i="69"/>
  <c r="V52" i="69"/>
  <c r="J56" i="69"/>
  <c r="X61" i="69"/>
  <c r="J37" i="70"/>
  <c r="J41" i="70"/>
  <c r="J45" i="70"/>
  <c r="J63" i="70"/>
  <c r="V65" i="70"/>
  <c r="V69" i="70"/>
  <c r="V73" i="70"/>
  <c r="J81" i="70"/>
  <c r="V83" i="70"/>
  <c r="V84" i="70"/>
  <c r="V39" i="72"/>
  <c r="Z49" i="72"/>
  <c r="R82" i="75"/>
  <c r="R70" i="75"/>
  <c r="R74" i="75"/>
  <c r="R73" i="75"/>
  <c r="R68" i="75"/>
  <c r="R75" i="75"/>
  <c r="R69" i="75"/>
  <c r="R55" i="75"/>
  <c r="R50" i="75"/>
  <c r="R36" i="75"/>
  <c r="R32" i="75"/>
  <c r="X12" i="75"/>
  <c r="Z12" i="75" s="1"/>
  <c r="R77" i="75"/>
  <c r="R71" i="75"/>
  <c r="R56" i="75"/>
  <c r="R67" i="75"/>
  <c r="R63" i="75"/>
  <c r="R46" i="75"/>
  <c r="R42" i="75"/>
  <c r="R64" i="75"/>
  <c r="R60" i="75"/>
  <c r="R51" i="75"/>
  <c r="R37" i="75"/>
  <c r="R33" i="75"/>
  <c r="R61" i="75"/>
  <c r="R52" i="75"/>
  <c r="R29" i="75"/>
  <c r="R78" i="75"/>
  <c r="R57" i="75"/>
  <c r="R47" i="75"/>
  <c r="R43" i="75"/>
  <c r="R28" i="75"/>
  <c r="R26" i="75"/>
  <c r="R24" i="75"/>
  <c r="R72" i="75"/>
  <c r="R39" i="75"/>
  <c r="R38" i="75"/>
  <c r="R34" i="75"/>
  <c r="R30" i="75"/>
  <c r="P26" i="75"/>
  <c r="R65" i="75"/>
  <c r="R58" i="75"/>
  <c r="R62" i="75"/>
  <c r="R35" i="75"/>
  <c r="R31" i="75"/>
  <c r="R66" i="75"/>
  <c r="R59" i="75"/>
  <c r="R49" i="75"/>
  <c r="R45" i="75"/>
  <c r="R41" i="75"/>
  <c r="R44" i="75"/>
  <c r="J25" i="68"/>
  <c r="V27" i="68"/>
  <c r="V31" i="68"/>
  <c r="J35" i="68"/>
  <c r="J37" i="68"/>
  <c r="J39" i="68"/>
  <c r="J43" i="68"/>
  <c r="V59" i="68"/>
  <c r="V71" i="68"/>
  <c r="J75" i="68"/>
  <c r="V79" i="68"/>
  <c r="V83" i="68"/>
  <c r="V41" i="69"/>
  <c r="J47" i="69"/>
  <c r="J55" i="69"/>
  <c r="V57" i="69"/>
  <c r="J102" i="70"/>
  <c r="J105" i="70"/>
  <c r="J104" i="70"/>
  <c r="J96" i="70"/>
  <c r="J88" i="70"/>
  <c r="J106" i="70"/>
  <c r="J107" i="70"/>
  <c r="J90" i="70"/>
  <c r="J97" i="70"/>
  <c r="V34" i="70"/>
  <c r="V38" i="70"/>
  <c r="V42" i="70"/>
  <c r="V46" i="70"/>
  <c r="J54" i="70"/>
  <c r="J58" i="70"/>
  <c r="J62" i="70"/>
  <c r="V74" i="70"/>
  <c r="J80" i="70"/>
  <c r="J87" i="70"/>
  <c r="J91" i="70"/>
  <c r="V95" i="70"/>
  <c r="V97" i="70"/>
  <c r="V100" i="70"/>
  <c r="V107" i="70"/>
  <c r="F72" i="72"/>
  <c r="F61" i="72"/>
  <c r="F60" i="72"/>
  <c r="F53" i="72"/>
  <c r="F44" i="72"/>
  <c r="F43" i="72"/>
  <c r="F16" i="72"/>
  <c r="F15" i="72"/>
  <c r="F77" i="72"/>
  <c r="F74" i="72"/>
  <c r="F55" i="72"/>
  <c r="F54" i="72"/>
  <c r="F39" i="72"/>
  <c r="F35" i="72"/>
  <c r="F62" i="72"/>
  <c r="F46" i="72"/>
  <c r="F45" i="72"/>
  <c r="F30" i="72"/>
  <c r="F26" i="72"/>
  <c r="L12" i="72"/>
  <c r="N12" i="72" s="1"/>
  <c r="F57" i="72"/>
  <c r="F56" i="72"/>
  <c r="F17" i="72"/>
  <c r="F64" i="72"/>
  <c r="F63" i="72"/>
  <c r="F48" i="72"/>
  <c r="F47" i="72"/>
  <c r="F40" i="72"/>
  <c r="F36" i="72"/>
  <c r="F31" i="72"/>
  <c r="F27" i="72"/>
  <c r="F23" i="72"/>
  <c r="F22" i="72"/>
  <c r="F52" i="72"/>
  <c r="F51" i="72"/>
  <c r="F70" i="72"/>
  <c r="F68" i="72"/>
  <c r="F59" i="72"/>
  <c r="Z15" i="72"/>
  <c r="N21" i="72"/>
  <c r="V22" i="72"/>
  <c r="F38" i="72"/>
  <c r="V53" i="72"/>
  <c r="X141" i="74"/>
  <c r="P139" i="74"/>
  <c r="X139" i="74" s="1"/>
  <c r="Z139" i="74" s="1"/>
  <c r="R40" i="75"/>
  <c r="J38" i="68"/>
  <c r="V40" i="68"/>
  <c r="V44" i="68"/>
  <c r="J48" i="68"/>
  <c r="J52" i="68"/>
  <c r="J56" i="68"/>
  <c r="V60" i="68"/>
  <c r="V68" i="68"/>
  <c r="V84" i="68"/>
  <c r="V94" i="68"/>
  <c r="Z12" i="69"/>
  <c r="V22" i="69"/>
  <c r="V26" i="69"/>
  <c r="J46" i="69"/>
  <c r="V50" i="69"/>
  <c r="V55" i="70"/>
  <c r="V59" i="70"/>
  <c r="J67" i="70"/>
  <c r="J71" i="70"/>
  <c r="J79" i="70"/>
  <c r="J86" i="70"/>
  <c r="V89" i="70"/>
  <c r="J94" i="70"/>
  <c r="V104" i="70"/>
  <c r="V17" i="72"/>
  <c r="V32" i="72"/>
  <c r="N43" i="72"/>
  <c r="L43" i="72"/>
  <c r="P12" i="74"/>
  <c r="X13" i="74"/>
  <c r="Z13" i="74" s="1"/>
  <c r="X122" i="74"/>
  <c r="R54" i="75"/>
  <c r="X49" i="72"/>
  <c r="J60" i="72"/>
  <c r="X65" i="72"/>
  <c r="L75" i="74"/>
  <c r="N75" i="74" s="1"/>
  <c r="V78" i="74"/>
  <c r="V82" i="74"/>
  <c r="J102" i="74"/>
  <c r="V106" i="74"/>
  <c r="J112" i="74"/>
  <c r="V118" i="74"/>
  <c r="V134" i="74"/>
  <c r="J141" i="74"/>
  <c r="V146" i="74"/>
  <c r="V32" i="75"/>
  <c r="V36" i="75"/>
  <c r="V55" i="75"/>
  <c r="V56" i="75"/>
  <c r="V69" i="75"/>
  <c r="N72" i="76"/>
  <c r="V94" i="76"/>
  <c r="J63" i="79"/>
  <c r="J45" i="79"/>
  <c r="J31" i="79"/>
  <c r="J27" i="79"/>
  <c r="J17" i="79"/>
  <c r="J72" i="79"/>
  <c r="J73" i="79"/>
  <c r="J59" i="79"/>
  <c r="J49" i="79"/>
  <c r="J51" i="79"/>
  <c r="J33" i="79"/>
  <c r="J29" i="79"/>
  <c r="J25" i="79"/>
  <c r="J76" i="79"/>
  <c r="J60" i="79"/>
  <c r="J69" i="79"/>
  <c r="J55" i="79"/>
  <c r="J71" i="79"/>
  <c r="J65" i="79"/>
  <c r="J50" i="79"/>
  <c r="J36" i="79"/>
  <c r="J47" i="79"/>
  <c r="J43" i="79"/>
  <c r="J30" i="79"/>
  <c r="J57" i="79"/>
  <c r="J54" i="79"/>
  <c r="J24" i="79"/>
  <c r="J23" i="79"/>
  <c r="H21" i="79"/>
  <c r="J21" i="79" s="1"/>
  <c r="J40" i="79"/>
  <c r="J37" i="79"/>
  <c r="J74" i="79"/>
  <c r="J61" i="79"/>
  <c r="J34" i="79"/>
  <c r="J58" i="79"/>
  <c r="J48" i="79"/>
  <c r="J28" i="79"/>
  <c r="J66" i="79"/>
  <c r="J52" i="79"/>
  <c r="J44" i="79"/>
  <c r="J41" i="79"/>
  <c r="J64" i="79"/>
  <c r="J38" i="79"/>
  <c r="J35" i="79"/>
  <c r="J18" i="79"/>
  <c r="J26" i="79"/>
  <c r="J80" i="79"/>
  <c r="J70" i="79"/>
  <c r="J67" i="79"/>
  <c r="J53" i="79"/>
  <c r="N12" i="79"/>
  <c r="J62" i="79"/>
  <c r="J56" i="79"/>
  <c r="J42" i="79"/>
  <c r="J39" i="79"/>
  <c r="J32" i="79"/>
  <c r="J19" i="79"/>
  <c r="V87" i="74"/>
  <c r="V91" i="74"/>
  <c r="V95" i="74"/>
  <c r="J101" i="74"/>
  <c r="V107" i="74"/>
  <c r="J111" i="74"/>
  <c r="V115" i="74"/>
  <c r="V123" i="74"/>
  <c r="J127" i="74"/>
  <c r="J131" i="74"/>
  <c r="V135" i="74"/>
  <c r="J139" i="74"/>
  <c r="J140" i="74"/>
  <c r="H26" i="75"/>
  <c r="J39" i="75"/>
  <c r="V41" i="75"/>
  <c r="V45" i="75"/>
  <c r="V50" i="75"/>
  <c r="J58" i="75"/>
  <c r="L72" i="75"/>
  <c r="N72" i="75" s="1"/>
  <c r="J75" i="75"/>
  <c r="V33" i="76"/>
  <c r="Z78" i="76"/>
  <c r="V116" i="74"/>
  <c r="V128" i="74"/>
  <c r="V132" i="74"/>
  <c r="V97" i="76"/>
  <c r="V77" i="76"/>
  <c r="V98" i="76"/>
  <c r="V88" i="76"/>
  <c r="V68" i="76"/>
  <c r="V64" i="76"/>
  <c r="V60" i="76"/>
  <c r="V79" i="76"/>
  <c r="V55" i="76"/>
  <c r="V51" i="76"/>
  <c r="V70" i="76"/>
  <c r="V89" i="76"/>
  <c r="V81" i="76"/>
  <c r="V69" i="76"/>
  <c r="V65" i="76"/>
  <c r="V61" i="76"/>
  <c r="V102" i="76"/>
  <c r="V80" i="76"/>
  <c r="V72" i="76"/>
  <c r="V56" i="76"/>
  <c r="V52" i="76"/>
  <c r="V48" i="76"/>
  <c r="V91" i="76"/>
  <c r="V83" i="76"/>
  <c r="V71" i="76"/>
  <c r="V47" i="76"/>
  <c r="V43" i="76"/>
  <c r="V39" i="76"/>
  <c r="V35" i="76"/>
  <c r="V90" i="76"/>
  <c r="V82" i="76"/>
  <c r="V74" i="76"/>
  <c r="V66" i="76"/>
  <c r="V62" i="76"/>
  <c r="T45" i="76"/>
  <c r="V45" i="76" s="1"/>
  <c r="V93" i="76"/>
  <c r="V85" i="76"/>
  <c r="V73" i="76"/>
  <c r="V57" i="76"/>
  <c r="V53" i="76"/>
  <c r="V49" i="76"/>
  <c r="V92" i="76"/>
  <c r="V84" i="76"/>
  <c r="V76" i="76"/>
  <c r="V40" i="76"/>
  <c r="V36" i="76"/>
  <c r="V32" i="76"/>
  <c r="V87" i="76"/>
  <c r="V37" i="76"/>
  <c r="V78" i="76"/>
  <c r="X87" i="76"/>
  <c r="Z87" i="76" s="1"/>
  <c r="J46" i="79"/>
  <c r="J32" i="72"/>
  <c r="J50" i="72"/>
  <c r="J58" i="72"/>
  <c r="R59" i="72"/>
  <c r="R60" i="72"/>
  <c r="J66" i="72"/>
  <c r="J54" i="74"/>
  <c r="J58" i="74"/>
  <c r="J62" i="74"/>
  <c r="J66" i="74"/>
  <c r="J70" i="74"/>
  <c r="T73" i="74"/>
  <c r="V86" i="74"/>
  <c r="V90" i="74"/>
  <c r="V94" i="74"/>
  <c r="J98" i="74"/>
  <c r="V102" i="74"/>
  <c r="V114" i="74"/>
  <c r="V122" i="74"/>
  <c r="J126" i="74"/>
  <c r="J130" i="74"/>
  <c r="V142" i="74"/>
  <c r="V40" i="75"/>
  <c r="V44" i="75"/>
  <c r="V48" i="75"/>
  <c r="V53" i="75"/>
  <c r="D12" i="76"/>
  <c r="Z76" i="76"/>
  <c r="N81" i="76"/>
  <c r="J81" i="76"/>
  <c r="Z85" i="76"/>
  <c r="D12" i="84"/>
  <c r="L15" i="84"/>
  <c r="J19" i="72"/>
  <c r="J21" i="72"/>
  <c r="J23" i="72"/>
  <c r="R24" i="72"/>
  <c r="J27" i="72"/>
  <c r="R28" i="72"/>
  <c r="J31" i="72"/>
  <c r="J49" i="72"/>
  <c r="R52" i="72"/>
  <c r="J65" i="72"/>
  <c r="V51" i="74"/>
  <c r="V55" i="74"/>
  <c r="V59" i="74"/>
  <c r="V63" i="74"/>
  <c r="V67" i="74"/>
  <c r="V71" i="74"/>
  <c r="V73" i="74"/>
  <c r="V75" i="74"/>
  <c r="J79" i="74"/>
  <c r="J83" i="74"/>
  <c r="J97" i="74"/>
  <c r="V103" i="74"/>
  <c r="V111" i="74"/>
  <c r="J119" i="74"/>
  <c r="J125" i="74"/>
  <c r="V127" i="74"/>
  <c r="V131" i="74"/>
  <c r="V141" i="74"/>
  <c r="J33" i="75"/>
  <c r="J37" i="75"/>
  <c r="J51" i="75"/>
  <c r="V54" i="75"/>
  <c r="J60" i="75"/>
  <c r="V58" i="76"/>
  <c r="P12" i="79"/>
  <c r="J22" i="72"/>
  <c r="R33" i="72"/>
  <c r="J36" i="72"/>
  <c r="R37" i="72"/>
  <c r="J40" i="72"/>
  <c r="R41" i="72"/>
  <c r="J48" i="72"/>
  <c r="J64" i="72"/>
  <c r="R68" i="72"/>
  <c r="R70" i="72"/>
  <c r="V76" i="74"/>
  <c r="V80" i="74"/>
  <c r="V84" i="74"/>
  <c r="J88" i="74"/>
  <c r="J92" i="74"/>
  <c r="J96" i="74"/>
  <c r="V100" i="74"/>
  <c r="J108" i="74"/>
  <c r="V112" i="74"/>
  <c r="J118" i="74"/>
  <c r="V120" i="74"/>
  <c r="J124" i="74"/>
  <c r="J136" i="74"/>
  <c r="V140" i="74"/>
  <c r="J78" i="75"/>
  <c r="J77" i="75"/>
  <c r="J69" i="75"/>
  <c r="J53" i="75"/>
  <c r="J63" i="75"/>
  <c r="J55" i="75"/>
  <c r="J82" i="75"/>
  <c r="J65" i="75"/>
  <c r="J57" i="75"/>
  <c r="J71" i="75"/>
  <c r="J67" i="75"/>
  <c r="J72" i="75"/>
  <c r="X13" i="75"/>
  <c r="Z13" i="75" s="1"/>
  <c r="V30" i="75"/>
  <c r="V34" i="75"/>
  <c r="V38" i="75"/>
  <c r="J42" i="75"/>
  <c r="J46" i="75"/>
  <c r="X52" i="75"/>
  <c r="Z52" i="75" s="1"/>
  <c r="V58" i="75"/>
  <c r="J74" i="75"/>
  <c r="P12" i="76"/>
  <c r="V96" i="76"/>
  <c r="J47" i="72"/>
  <c r="R50" i="72"/>
  <c r="R51" i="72"/>
  <c r="J57" i="72"/>
  <c r="R58" i="72"/>
  <c r="J63" i="72"/>
  <c r="R66" i="72"/>
  <c r="J53" i="74"/>
  <c r="J57" i="74"/>
  <c r="J61" i="74"/>
  <c r="J65" i="74"/>
  <c r="J69" i="74"/>
  <c r="V89" i="74"/>
  <c r="V93" i="74"/>
  <c r="V101" i="74"/>
  <c r="J107" i="74"/>
  <c r="V109" i="74"/>
  <c r="J117" i="74"/>
  <c r="J129" i="74"/>
  <c r="J135" i="74"/>
  <c r="V137" i="74"/>
  <c r="V139" i="74"/>
  <c r="T26" i="75"/>
  <c r="V26" i="75" s="1"/>
  <c r="V39" i="75"/>
  <c r="V43" i="75"/>
  <c r="V47" i="75"/>
  <c r="J50" i="75"/>
  <c r="J56" i="75"/>
  <c r="V72" i="75"/>
  <c r="L74" i="75"/>
  <c r="V34" i="76"/>
  <c r="V54" i="76"/>
  <c r="V67" i="76"/>
  <c r="L73" i="79"/>
  <c r="N73" i="79" s="1"/>
  <c r="J46" i="72"/>
  <c r="J56" i="72"/>
  <c r="J62" i="72"/>
  <c r="V50" i="74"/>
  <c r="V54" i="74"/>
  <c r="V58" i="74"/>
  <c r="V62" i="74"/>
  <c r="V66" i="74"/>
  <c r="V70" i="74"/>
  <c r="J78" i="74"/>
  <c r="J82" i="74"/>
  <c r="V98" i="74"/>
  <c r="J106" i="74"/>
  <c r="V110" i="74"/>
  <c r="J116" i="74"/>
  <c r="V126" i="74"/>
  <c r="V130" i="74"/>
  <c r="J134" i="74"/>
  <c r="J146" i="74"/>
  <c r="V24" i="75"/>
  <c r="V28" i="75"/>
  <c r="J32" i="75"/>
  <c r="J36" i="75"/>
  <c r="Z61" i="75"/>
  <c r="X32" i="76"/>
  <c r="V38" i="76"/>
  <c r="N48" i="76"/>
  <c r="V63" i="76"/>
  <c r="V75" i="76"/>
  <c r="V86" i="76"/>
  <c r="N66" i="83"/>
  <c r="L66" i="83"/>
  <c r="L78" i="83"/>
  <c r="N78" i="83" s="1"/>
  <c r="R19" i="72"/>
  <c r="R21" i="72"/>
  <c r="J35" i="72"/>
  <c r="R36" i="72"/>
  <c r="J39" i="72"/>
  <c r="R40" i="72"/>
  <c r="J45" i="72"/>
  <c r="R48" i="72"/>
  <c r="R49" i="72"/>
  <c r="R64" i="72"/>
  <c r="V79" i="74"/>
  <c r="V83" i="74"/>
  <c r="J87" i="74"/>
  <c r="J91" i="74"/>
  <c r="J95" i="74"/>
  <c r="V99" i="74"/>
  <c r="J105" i="74"/>
  <c r="J115" i="74"/>
  <c r="V119" i="74"/>
  <c r="J123" i="74"/>
  <c r="J133" i="74"/>
  <c r="H144" i="74"/>
  <c r="V29" i="75"/>
  <c r="V33" i="75"/>
  <c r="V37" i="75"/>
  <c r="J41" i="75"/>
  <c r="J45" i="75"/>
  <c r="J49" i="75"/>
  <c r="V51" i="75"/>
  <c r="V52" i="75"/>
  <c r="V42" i="76"/>
  <c r="L70" i="76"/>
  <c r="Z64" i="79"/>
  <c r="V88" i="74"/>
  <c r="V92" i="74"/>
  <c r="V96" i="74"/>
  <c r="J104" i="74"/>
  <c r="V108" i="74"/>
  <c r="J114" i="74"/>
  <c r="J122" i="74"/>
  <c r="V124" i="74"/>
  <c r="J128" i="74"/>
  <c r="J132" i="74"/>
  <c r="V136" i="74"/>
  <c r="J144" i="74"/>
  <c r="V82" i="75"/>
  <c r="V70" i="75"/>
  <c r="V65" i="75"/>
  <c r="V57" i="75"/>
  <c r="V71" i="75"/>
  <c r="V67" i="75"/>
  <c r="V59" i="75"/>
  <c r="V73" i="75"/>
  <c r="V61" i="75"/>
  <c r="V49" i="75"/>
  <c r="V68" i="75"/>
  <c r="V77" i="75"/>
  <c r="V75" i="75"/>
  <c r="V78" i="75"/>
  <c r="V42" i="75"/>
  <c r="V46" i="75"/>
  <c r="L58" i="75"/>
  <c r="N58" i="75" s="1"/>
  <c r="V63" i="75"/>
  <c r="V64" i="75"/>
  <c r="V74" i="75"/>
  <c r="Z32" i="76"/>
  <c r="V57" i="74"/>
  <c r="V61" i="74"/>
  <c r="V65" i="74"/>
  <c r="V69" i="74"/>
  <c r="V97" i="74"/>
  <c r="J103" i="74"/>
  <c r="J113" i="74"/>
  <c r="V117" i="74"/>
  <c r="J121" i="74"/>
  <c r="V125" i="74"/>
  <c r="V50" i="76"/>
  <c r="X59" i="76"/>
  <c r="Z59" i="76" s="1"/>
  <c r="N70" i="76"/>
  <c r="Z51" i="79"/>
  <c r="F64" i="80"/>
  <c r="F63" i="80"/>
  <c r="F40" i="80"/>
  <c r="F36" i="80"/>
  <c r="F32" i="80"/>
  <c r="F31" i="80"/>
  <c r="F59" i="80"/>
  <c r="F58" i="80"/>
  <c r="F51" i="80"/>
  <c r="F50" i="80"/>
  <c r="F27" i="80"/>
  <c r="F23" i="80"/>
  <c r="F22" i="80"/>
  <c r="F66" i="80"/>
  <c r="F65" i="80"/>
  <c r="F21" i="80"/>
  <c r="F19" i="80"/>
  <c r="F53" i="80"/>
  <c r="F52" i="80"/>
  <c r="F41" i="80"/>
  <c r="F37" i="80"/>
  <c r="F33" i="80"/>
  <c r="D19" i="80"/>
  <c r="F60" i="80"/>
  <c r="F28" i="80"/>
  <c r="F24" i="80"/>
  <c r="F72" i="80"/>
  <c r="F54" i="80"/>
  <c r="F38" i="80"/>
  <c r="F34" i="80"/>
  <c r="F61" i="80"/>
  <c r="F45" i="80"/>
  <c r="F44" i="80"/>
  <c r="F29" i="80"/>
  <c r="F25" i="80"/>
  <c r="F56" i="80"/>
  <c r="F55" i="80"/>
  <c r="F77" i="80"/>
  <c r="F74" i="80"/>
  <c r="F47" i="80"/>
  <c r="F46" i="80"/>
  <c r="F39" i="80"/>
  <c r="F35" i="80"/>
  <c r="F62" i="80"/>
  <c r="F30" i="80"/>
  <c r="F26" i="80"/>
  <c r="L12" i="80"/>
  <c r="Z31" i="80"/>
  <c r="X31" i="80"/>
  <c r="N48" i="83"/>
  <c r="N50" i="83"/>
  <c r="L50" i="83"/>
  <c r="J52" i="76"/>
  <c r="J56" i="76"/>
  <c r="J70" i="76"/>
  <c r="J80" i="76"/>
  <c r="J102" i="76"/>
  <c r="V27" i="79"/>
  <c r="Z71" i="79"/>
  <c r="L76" i="79"/>
  <c r="F43" i="80"/>
  <c r="F57" i="80"/>
  <c r="J61" i="76"/>
  <c r="J65" i="76"/>
  <c r="J69" i="76"/>
  <c r="J89" i="76"/>
  <c r="T21" i="79"/>
  <c r="V21" i="79" s="1"/>
  <c r="V24" i="79"/>
  <c r="V36" i="79"/>
  <c r="V47" i="79"/>
  <c r="V50" i="79"/>
  <c r="F16" i="80"/>
  <c r="J32" i="80"/>
  <c r="J34" i="80"/>
  <c r="J36" i="80"/>
  <c r="J38" i="80"/>
  <c r="J40" i="80"/>
  <c r="R53" i="80"/>
  <c r="F68" i="80"/>
  <c r="Z44" i="83"/>
  <c r="X44" i="83"/>
  <c r="V44" i="83"/>
  <c r="J34" i="76"/>
  <c r="J38" i="76"/>
  <c r="J42" i="76"/>
  <c r="V59" i="79"/>
  <c r="V51" i="79"/>
  <c r="V23" i="79"/>
  <c r="V19" i="79"/>
  <c r="V76" i="79"/>
  <c r="V68" i="79"/>
  <c r="V67" i="79"/>
  <c r="V55" i="79"/>
  <c r="V43" i="79"/>
  <c r="V39" i="79"/>
  <c r="V35" i="79"/>
  <c r="V69" i="79"/>
  <c r="V45" i="79"/>
  <c r="V64" i="79"/>
  <c r="V56" i="79"/>
  <c r="V73" i="79"/>
  <c r="V65" i="79"/>
  <c r="V57" i="79"/>
  <c r="V32" i="79"/>
  <c r="V46" i="79"/>
  <c r="V62" i="79"/>
  <c r="X73" i="79"/>
  <c r="Z73" i="79" s="1"/>
  <c r="V80" i="79"/>
  <c r="P74" i="80"/>
  <c r="F42" i="80"/>
  <c r="N63" i="80"/>
  <c r="L63" i="80"/>
  <c r="D49" i="82"/>
  <c r="L23" i="82"/>
  <c r="J51" i="76"/>
  <c r="J55" i="76"/>
  <c r="J79" i="76"/>
  <c r="J98" i="76"/>
  <c r="V29" i="79"/>
  <c r="V42" i="79"/>
  <c r="Z53" i="79"/>
  <c r="L61" i="79"/>
  <c r="N61" i="79" s="1"/>
  <c r="N64" i="79"/>
  <c r="V70" i="79"/>
  <c r="H53" i="82"/>
  <c r="J21" i="83"/>
  <c r="H88" i="83"/>
  <c r="J88" i="83" s="1"/>
  <c r="X47" i="76"/>
  <c r="Z47" i="76" s="1"/>
  <c r="J60" i="76"/>
  <c r="J64" i="76"/>
  <c r="J68" i="76"/>
  <c r="J78" i="76"/>
  <c r="J88" i="76"/>
  <c r="J96" i="76"/>
  <c r="J97" i="76"/>
  <c r="V26" i="79"/>
  <c r="V53" i="79"/>
  <c r="X64" i="79"/>
  <c r="Z63" i="80"/>
  <c r="X63" i="80"/>
  <c r="J33" i="76"/>
  <c r="J37" i="76"/>
  <c r="J41" i="76"/>
  <c r="J59" i="76"/>
  <c r="J77" i="76"/>
  <c r="J87" i="76"/>
  <c r="V49" i="79"/>
  <c r="V72" i="79"/>
  <c r="J65" i="80"/>
  <c r="J59" i="80"/>
  <c r="J51" i="80"/>
  <c r="J27" i="80"/>
  <c r="J23" i="80"/>
  <c r="J21" i="80"/>
  <c r="J19" i="80"/>
  <c r="J66" i="80"/>
  <c r="J52" i="80"/>
  <c r="H19" i="80"/>
  <c r="J53" i="80"/>
  <c r="J41" i="80"/>
  <c r="J37" i="80"/>
  <c r="J33" i="80"/>
  <c r="J70" i="80"/>
  <c r="J68" i="80"/>
  <c r="J60" i="80"/>
  <c r="J42" i="80"/>
  <c r="J28" i="80"/>
  <c r="J24" i="80"/>
  <c r="J43" i="80"/>
  <c r="J61" i="80"/>
  <c r="J55" i="80"/>
  <c r="J45" i="80"/>
  <c r="J29" i="80"/>
  <c r="J25" i="80"/>
  <c r="J15" i="80"/>
  <c r="J77" i="80"/>
  <c r="J74" i="80"/>
  <c r="J56" i="80"/>
  <c r="J46" i="80"/>
  <c r="J16" i="80"/>
  <c r="J47" i="80"/>
  <c r="J39" i="80"/>
  <c r="J35" i="80"/>
  <c r="J62" i="80"/>
  <c r="J48" i="80"/>
  <c r="J30" i="80"/>
  <c r="J26" i="80"/>
  <c r="J63" i="80"/>
  <c r="J57" i="80"/>
  <c r="J49" i="80"/>
  <c r="J31" i="80"/>
  <c r="J17" i="80"/>
  <c r="N21" i="80"/>
  <c r="J54" i="80"/>
  <c r="T21" i="83"/>
  <c r="X16" i="83"/>
  <c r="Z16" i="83" s="1"/>
  <c r="V16" i="83"/>
  <c r="J76" i="76"/>
  <c r="J86" i="76"/>
  <c r="J94" i="76"/>
  <c r="Z45" i="79"/>
  <c r="V52" i="79"/>
  <c r="F15" i="80"/>
  <c r="H19" i="87"/>
  <c r="N16" i="87"/>
  <c r="J63" i="76"/>
  <c r="J67" i="76"/>
  <c r="J75" i="76"/>
  <c r="J85" i="76"/>
  <c r="J93" i="76"/>
  <c r="P96" i="76"/>
  <c r="X96" i="76" s="1"/>
  <c r="Z96" i="76" s="1"/>
  <c r="L13" i="79"/>
  <c r="V28" i="79"/>
  <c r="V31" i="79"/>
  <c r="X34" i="79"/>
  <c r="Z34" i="79" s="1"/>
  <c r="V41" i="79"/>
  <c r="V44" i="79"/>
  <c r="V48" i="79"/>
  <c r="N51" i="79"/>
  <c r="Z61" i="79"/>
  <c r="V66" i="79"/>
  <c r="R60" i="80"/>
  <c r="R28" i="80"/>
  <c r="R24" i="80"/>
  <c r="R44" i="80"/>
  <c r="R43" i="80"/>
  <c r="R72" i="80"/>
  <c r="R55" i="80"/>
  <c r="R54" i="80"/>
  <c r="R38" i="80"/>
  <c r="R34" i="80"/>
  <c r="R15" i="80"/>
  <c r="R77" i="80"/>
  <c r="R74" i="80"/>
  <c r="R61" i="80"/>
  <c r="R46" i="80"/>
  <c r="R45" i="80"/>
  <c r="R29" i="80"/>
  <c r="R25" i="80"/>
  <c r="R56" i="80"/>
  <c r="R16" i="80"/>
  <c r="R63" i="80"/>
  <c r="R62" i="80"/>
  <c r="R31" i="80"/>
  <c r="R30" i="80"/>
  <c r="R26" i="80"/>
  <c r="X12" i="80"/>
  <c r="R58" i="80"/>
  <c r="R57" i="80"/>
  <c r="R50" i="80"/>
  <c r="R49" i="80"/>
  <c r="R22" i="80"/>
  <c r="R17" i="80"/>
  <c r="R65" i="80"/>
  <c r="R64" i="80"/>
  <c r="R40" i="80"/>
  <c r="R36" i="80"/>
  <c r="R32" i="80"/>
  <c r="R21" i="80"/>
  <c r="R19" i="80"/>
  <c r="R59" i="80"/>
  <c r="R52" i="80"/>
  <c r="R51" i="80"/>
  <c r="R27" i="80"/>
  <c r="R23" i="80"/>
  <c r="R66" i="80"/>
  <c r="R42" i="80"/>
  <c r="F49" i="80"/>
  <c r="R95" i="83"/>
  <c r="R92" i="83"/>
  <c r="R75" i="83"/>
  <c r="R63" i="83"/>
  <c r="R44" i="83"/>
  <c r="R43" i="83"/>
  <c r="R39" i="83"/>
  <c r="R35" i="83"/>
  <c r="R16" i="83"/>
  <c r="R83" i="83"/>
  <c r="R82" i="83"/>
  <c r="R55" i="83"/>
  <c r="R54" i="83"/>
  <c r="R30" i="83"/>
  <c r="R26" i="83"/>
  <c r="R70" i="83"/>
  <c r="R69" i="83"/>
  <c r="R46" i="83"/>
  <c r="R45" i="83"/>
  <c r="R17" i="83"/>
  <c r="R84" i="83"/>
  <c r="R76" i="83"/>
  <c r="R64" i="83"/>
  <c r="R57" i="83"/>
  <c r="R56" i="83"/>
  <c r="R40" i="83"/>
  <c r="R36" i="83"/>
  <c r="R72" i="83"/>
  <c r="R71" i="83"/>
  <c r="R48" i="83"/>
  <c r="R47" i="83"/>
  <c r="R31" i="83"/>
  <c r="R27" i="83"/>
  <c r="R86" i="83"/>
  <c r="R59" i="83"/>
  <c r="R58" i="83"/>
  <c r="R18" i="83"/>
  <c r="R88" i="83"/>
  <c r="R78" i="83"/>
  <c r="R77" i="83"/>
  <c r="R73" i="83"/>
  <c r="R66" i="83"/>
  <c r="R65" i="83"/>
  <c r="R50" i="83"/>
  <c r="R49" i="83"/>
  <c r="R41" i="83"/>
  <c r="R37" i="83"/>
  <c r="R61" i="83"/>
  <c r="R60" i="83"/>
  <c r="R33" i="83"/>
  <c r="R32" i="83"/>
  <c r="R28" i="83"/>
  <c r="R79" i="83"/>
  <c r="R67" i="83"/>
  <c r="R51" i="83"/>
  <c r="R24" i="83"/>
  <c r="R19" i="83"/>
  <c r="R74" i="83"/>
  <c r="R62" i="83"/>
  <c r="R42" i="83"/>
  <c r="R38" i="83"/>
  <c r="R34" i="83"/>
  <c r="R23" i="83"/>
  <c r="R21" i="83"/>
  <c r="R90" i="83"/>
  <c r="R29" i="83"/>
  <c r="R25" i="83"/>
  <c r="P21" i="83"/>
  <c r="R53" i="83"/>
  <c r="J36" i="76"/>
  <c r="J40" i="76"/>
  <c r="H45" i="76"/>
  <c r="J74" i="76"/>
  <c r="J84" i="76"/>
  <c r="J92" i="76"/>
  <c r="V61" i="79"/>
  <c r="F17" i="80"/>
  <c r="J44" i="80"/>
  <c r="J58" i="80"/>
  <c r="F32" i="82"/>
  <c r="F28" i="82"/>
  <c r="L12" i="82"/>
  <c r="N12" i="82" s="1"/>
  <c r="F19" i="82"/>
  <c r="F18" i="82"/>
  <c r="F49" i="82"/>
  <c r="F47" i="82"/>
  <c r="F42" i="82"/>
  <c r="F38" i="82"/>
  <c r="F51" i="82"/>
  <c r="F33" i="82"/>
  <c r="F29" i="82"/>
  <c r="F20" i="82"/>
  <c r="F43" i="82"/>
  <c r="F39" i="82"/>
  <c r="F34" i="82"/>
  <c r="F30" i="82"/>
  <c r="F21" i="82"/>
  <c r="F44" i="82"/>
  <c r="F40" i="82"/>
  <c r="F36" i="82"/>
  <c r="F35" i="82"/>
  <c r="F31" i="82"/>
  <c r="F27" i="82"/>
  <c r="F26" i="82"/>
  <c r="F25" i="82"/>
  <c r="F23" i="82"/>
  <c r="Z72" i="83"/>
  <c r="J73" i="76"/>
  <c r="J83" i="76"/>
  <c r="Z58" i="79"/>
  <c r="V63" i="79"/>
  <c r="N68" i="79"/>
  <c r="V74" i="79"/>
  <c r="N31" i="80"/>
  <c r="L31" i="80"/>
  <c r="F70" i="80"/>
  <c r="R80" i="83"/>
  <c r="V33" i="80"/>
  <c r="V37" i="80"/>
  <c r="V41" i="80"/>
  <c r="V53" i="80"/>
  <c r="P12" i="82"/>
  <c r="V29" i="82"/>
  <c r="V33" i="82"/>
  <c r="J37" i="82"/>
  <c r="J41" i="82"/>
  <c r="J45" i="82"/>
  <c r="V51" i="82"/>
  <c r="F37" i="83"/>
  <c r="F41" i="83"/>
  <c r="F48" i="83"/>
  <c r="F49" i="83"/>
  <c r="J50" i="83"/>
  <c r="J60" i="83"/>
  <c r="F65" i="83"/>
  <c r="J66" i="83"/>
  <c r="V68" i="83"/>
  <c r="F72" i="83"/>
  <c r="F73" i="83"/>
  <c r="F77" i="83"/>
  <c r="J78" i="83"/>
  <c r="V80" i="83"/>
  <c r="F86" i="83"/>
  <c r="X66" i="84"/>
  <c r="Z68" i="84"/>
  <c r="Z97" i="84"/>
  <c r="J100" i="84"/>
  <c r="D20" i="85"/>
  <c r="F28" i="85"/>
  <c r="F26" i="85"/>
  <c r="F30" i="85"/>
  <c r="L12" i="85"/>
  <c r="N12" i="85" s="1"/>
  <c r="F35" i="85"/>
  <c r="F32" i="85"/>
  <c r="F17" i="85"/>
  <c r="F16" i="85"/>
  <c r="F18" i="85"/>
  <c r="F22" i="85"/>
  <c r="F20" i="85"/>
  <c r="X16" i="85"/>
  <c r="V66" i="80"/>
  <c r="V68" i="80"/>
  <c r="V70" i="80"/>
  <c r="V38" i="82"/>
  <c r="V42" i="82"/>
  <c r="F18" i="83"/>
  <c r="F57" i="83"/>
  <c r="F58" i="83"/>
  <c r="J65" i="83"/>
  <c r="J73" i="83"/>
  <c r="J77" i="83"/>
  <c r="V81" i="83"/>
  <c r="V90" i="83"/>
  <c r="P12" i="84"/>
  <c r="T117" i="84"/>
  <c r="Z66" i="84"/>
  <c r="Z16" i="85"/>
  <c r="P12" i="87"/>
  <c r="X13" i="87"/>
  <c r="V59" i="80"/>
  <c r="F27" i="83"/>
  <c r="F31" i="83"/>
  <c r="F46" i="83"/>
  <c r="F47" i="83"/>
  <c r="J48" i="83"/>
  <c r="J58" i="83"/>
  <c r="F70" i="83"/>
  <c r="F71" i="83"/>
  <c r="J72" i="83"/>
  <c r="V74" i="83"/>
  <c r="J49" i="84"/>
  <c r="J60" i="84"/>
  <c r="N87" i="84"/>
  <c r="H28" i="85"/>
  <c r="J20" i="85"/>
  <c r="T19" i="80"/>
  <c r="V32" i="80"/>
  <c r="V36" i="80"/>
  <c r="V40" i="80"/>
  <c r="V52" i="80"/>
  <c r="V64" i="80"/>
  <c r="J26" i="82"/>
  <c r="V28" i="82"/>
  <c r="V32" i="82"/>
  <c r="J36" i="82"/>
  <c r="J40" i="82"/>
  <c r="J44" i="82"/>
  <c r="J27" i="83"/>
  <c r="J31" i="83"/>
  <c r="F36" i="83"/>
  <c r="F40" i="83"/>
  <c r="J47" i="83"/>
  <c r="V51" i="83"/>
  <c r="F55" i="83"/>
  <c r="F56" i="83"/>
  <c r="J57" i="83"/>
  <c r="F64" i="83"/>
  <c r="V67" i="83"/>
  <c r="J71" i="83"/>
  <c r="F76" i="83"/>
  <c r="V79" i="83"/>
  <c r="F83" i="83"/>
  <c r="F84" i="83"/>
  <c r="X53" i="84"/>
  <c r="Z53" i="84" s="1"/>
  <c r="L22" i="85"/>
  <c r="V17" i="80"/>
  <c r="V19" i="80"/>
  <c r="V21" i="80"/>
  <c r="V49" i="80"/>
  <c r="V57" i="80"/>
  <c r="V65" i="80"/>
  <c r="J21" i="82"/>
  <c r="N23" i="82"/>
  <c r="J35" i="82"/>
  <c r="V37" i="82"/>
  <c r="V41" i="82"/>
  <c r="V45" i="82"/>
  <c r="V47" i="82"/>
  <c r="F16" i="83"/>
  <c r="F17" i="83"/>
  <c r="J36" i="83"/>
  <c r="J40" i="83"/>
  <c r="F44" i="83"/>
  <c r="F45" i="83"/>
  <c r="J46" i="83"/>
  <c r="J56" i="83"/>
  <c r="V60" i="83"/>
  <c r="J64" i="83"/>
  <c r="F69" i="83"/>
  <c r="J70" i="83"/>
  <c r="J76" i="83"/>
  <c r="J84" i="83"/>
  <c r="F95" i="83"/>
  <c r="J106" i="84"/>
  <c r="J78" i="84"/>
  <c r="J68" i="84"/>
  <c r="J38" i="84"/>
  <c r="J34" i="84"/>
  <c r="J119" i="84"/>
  <c r="J107" i="84"/>
  <c r="J101" i="84"/>
  <c r="J89" i="84"/>
  <c r="J79" i="84"/>
  <c r="J69" i="84"/>
  <c r="J61" i="84"/>
  <c r="J57" i="84"/>
  <c r="J43" i="84"/>
  <c r="J108" i="84"/>
  <c r="J96" i="84"/>
  <c r="J90" i="84"/>
  <c r="J80" i="84"/>
  <c r="J70" i="84"/>
  <c r="J52" i="84"/>
  <c r="J48" i="84"/>
  <c r="J44" i="84"/>
  <c r="J42" i="84"/>
  <c r="J109" i="84"/>
  <c r="J97" i="84"/>
  <c r="J91" i="84"/>
  <c r="J81" i="84"/>
  <c r="J71" i="84"/>
  <c r="J53" i="84"/>
  <c r="H40" i="84"/>
  <c r="J110" i="84"/>
  <c r="J102" i="84"/>
  <c r="J98" i="84"/>
  <c r="J82" i="84"/>
  <c r="J72" i="84"/>
  <c r="J62" i="84"/>
  <c r="J58" i="84"/>
  <c r="J54" i="84"/>
  <c r="J92" i="84"/>
  <c r="J84" i="84"/>
  <c r="J74" i="84"/>
  <c r="J36" i="84"/>
  <c r="J111" i="84"/>
  <c r="J103" i="84"/>
  <c r="J99" i="84"/>
  <c r="J85" i="84"/>
  <c r="J75" i="84"/>
  <c r="J63" i="84"/>
  <c r="J59" i="84"/>
  <c r="J55" i="84"/>
  <c r="J112" i="84"/>
  <c r="J104" i="84"/>
  <c r="J86" i="84"/>
  <c r="J76" i="84"/>
  <c r="J64" i="84"/>
  <c r="J50" i="84"/>
  <c r="J46" i="84"/>
  <c r="J113" i="84"/>
  <c r="J105" i="84"/>
  <c r="J93" i="84"/>
  <c r="J87" i="84"/>
  <c r="J77" i="84"/>
  <c r="J65" i="84"/>
  <c r="J115" i="84"/>
  <c r="J95" i="84"/>
  <c r="J67" i="84"/>
  <c r="J51" i="84"/>
  <c r="J47" i="84"/>
  <c r="X81" i="84"/>
  <c r="J94" i="84"/>
  <c r="N22" i="85"/>
  <c r="J22" i="85"/>
  <c r="F24" i="85"/>
  <c r="Z49" i="87"/>
  <c r="F26" i="83"/>
  <c r="F30" i="83"/>
  <c r="F53" i="83"/>
  <c r="F54" i="83"/>
  <c r="F81" i="83"/>
  <c r="F82" i="83"/>
  <c r="F92" i="83"/>
  <c r="J56" i="84"/>
  <c r="Z81" i="84"/>
  <c r="D32" i="88"/>
  <c r="V31" i="80"/>
  <c r="V35" i="80"/>
  <c r="V39" i="80"/>
  <c r="V47" i="80"/>
  <c r="V63" i="80"/>
  <c r="L13" i="82"/>
  <c r="N13" i="82" s="1"/>
  <c r="V27" i="82"/>
  <c r="V31" i="82"/>
  <c r="J39" i="82"/>
  <c r="J43" i="82"/>
  <c r="J53" i="82"/>
  <c r="J86" i="83"/>
  <c r="X13" i="83"/>
  <c r="Z13" i="83" s="1"/>
  <c r="J16" i="83"/>
  <c r="D21" i="83"/>
  <c r="J26" i="83"/>
  <c r="J30" i="83"/>
  <c r="F35" i="83"/>
  <c r="F39" i="83"/>
  <c r="F43" i="83"/>
  <c r="J44" i="83"/>
  <c r="V50" i="83"/>
  <c r="J54" i="83"/>
  <c r="V58" i="83"/>
  <c r="F63" i="83"/>
  <c r="V66" i="83"/>
  <c r="F75" i="83"/>
  <c r="V78" i="83"/>
  <c r="J82" i="83"/>
  <c r="Z42" i="84"/>
  <c r="N74" i="84"/>
  <c r="Z94" i="84"/>
  <c r="X109" i="84"/>
  <c r="F63" i="87"/>
  <c r="F47" i="87"/>
  <c r="F46" i="87"/>
  <c r="F39" i="87"/>
  <c r="F35" i="87"/>
  <c r="F64" i="87"/>
  <c r="F48" i="87"/>
  <c r="F86" i="87"/>
  <c r="F84" i="87"/>
  <c r="F75" i="87"/>
  <c r="F71" i="87"/>
  <c r="F59" i="87"/>
  <c r="F58" i="87"/>
  <c r="F88" i="87"/>
  <c r="F61" i="87"/>
  <c r="F60" i="87"/>
  <c r="F41" i="87"/>
  <c r="F93" i="87"/>
  <c r="F90" i="87"/>
  <c r="F78" i="87"/>
  <c r="F77" i="87"/>
  <c r="F69" i="87"/>
  <c r="F43" i="87"/>
  <c r="F32" i="87"/>
  <c r="F31" i="87"/>
  <c r="F80" i="87"/>
  <c r="F65" i="87"/>
  <c r="F36" i="87"/>
  <c r="F27" i="87"/>
  <c r="F23" i="87"/>
  <c r="F22" i="87"/>
  <c r="F66" i="87"/>
  <c r="F62" i="87"/>
  <c r="F21" i="87"/>
  <c r="F19" i="87"/>
  <c r="F55" i="87"/>
  <c r="F51" i="87"/>
  <c r="F40" i="87"/>
  <c r="F33" i="87"/>
  <c r="D19" i="87"/>
  <c r="F81" i="87"/>
  <c r="F56" i="87"/>
  <c r="F52" i="87"/>
  <c r="F44" i="87"/>
  <c r="F37" i="87"/>
  <c r="F28" i="87"/>
  <c r="F24" i="87"/>
  <c r="F76" i="87"/>
  <c r="F74" i="87"/>
  <c r="F82" i="87"/>
  <c r="F72" i="87"/>
  <c r="F70" i="87"/>
  <c r="F67" i="87"/>
  <c r="F34" i="87"/>
  <c r="F68" i="87"/>
  <c r="F45" i="87"/>
  <c r="F38" i="87"/>
  <c r="F29" i="87"/>
  <c r="F25" i="87"/>
  <c r="F57" i="87"/>
  <c r="F53" i="87"/>
  <c r="L12" i="87"/>
  <c r="F79" i="87"/>
  <c r="F42" i="87"/>
  <c r="F73" i="87"/>
  <c r="F54" i="87"/>
  <c r="F50" i="87"/>
  <c r="F17" i="87"/>
  <c r="F16" i="87"/>
  <c r="V48" i="80"/>
  <c r="V56" i="80"/>
  <c r="T23" i="82"/>
  <c r="V36" i="82"/>
  <c r="V40" i="82"/>
  <c r="V44" i="82"/>
  <c r="L12" i="83"/>
  <c r="N12" i="83" s="1"/>
  <c r="L16" i="83"/>
  <c r="F21" i="83"/>
  <c r="F23" i="83"/>
  <c r="L44" i="83"/>
  <c r="N44" i="83" s="1"/>
  <c r="X50" i="83"/>
  <c r="Z50" i="83" s="1"/>
  <c r="F52" i="83"/>
  <c r="J53" i="83"/>
  <c r="J63" i="83"/>
  <c r="X66" i="83"/>
  <c r="Z66" i="83" s="1"/>
  <c r="F68" i="83"/>
  <c r="V71" i="83"/>
  <c r="J75" i="83"/>
  <c r="X78" i="83"/>
  <c r="Z78" i="83" s="1"/>
  <c r="F80" i="83"/>
  <c r="J81" i="83"/>
  <c r="V86" i="83"/>
  <c r="J88" i="84"/>
  <c r="Z109" i="84"/>
  <c r="V61" i="80"/>
  <c r="V21" i="82"/>
  <c r="V23" i="82"/>
  <c r="V25" i="82"/>
  <c r="N16" i="83"/>
  <c r="F24" i="83"/>
  <c r="F25" i="83"/>
  <c r="F29" i="83"/>
  <c r="J68" i="83"/>
  <c r="V72" i="83"/>
  <c r="V76" i="83"/>
  <c r="J80" i="83"/>
  <c r="V84" i="83"/>
  <c r="J45" i="84"/>
  <c r="V34" i="80"/>
  <c r="V38" i="80"/>
  <c r="V46" i="80"/>
  <c r="V54" i="80"/>
  <c r="V72" i="80"/>
  <c r="V74" i="80"/>
  <c r="V77" i="80"/>
  <c r="V26" i="82"/>
  <c r="V30" i="82"/>
  <c r="V34" i="82"/>
  <c r="J38" i="82"/>
  <c r="J42" i="82"/>
  <c r="F33" i="83"/>
  <c r="F34" i="83"/>
  <c r="F38" i="83"/>
  <c r="F42" i="83"/>
  <c r="V57" i="83"/>
  <c r="F61" i="83"/>
  <c r="F62" i="83"/>
  <c r="V69" i="83"/>
  <c r="F74" i="83"/>
  <c r="F90" i="83"/>
  <c r="Z90" i="84"/>
  <c r="N112" i="84"/>
  <c r="V15" i="80"/>
  <c r="V43" i="80"/>
  <c r="J19" i="82"/>
  <c r="V35" i="82"/>
  <c r="V39" i="82"/>
  <c r="J47" i="82"/>
  <c r="F19" i="83"/>
  <c r="J24" i="83"/>
  <c r="V26" i="83"/>
  <c r="V30" i="83"/>
  <c r="J34" i="83"/>
  <c r="J38" i="83"/>
  <c r="J42" i="83"/>
  <c r="V46" i="83"/>
  <c r="F50" i="83"/>
  <c r="F51" i="83"/>
  <c r="V54" i="83"/>
  <c r="J62" i="83"/>
  <c r="F66" i="83"/>
  <c r="F67" i="83"/>
  <c r="V70" i="83"/>
  <c r="J74" i="83"/>
  <c r="F78" i="83"/>
  <c r="J90" i="83"/>
  <c r="J37" i="84"/>
  <c r="N66" i="84"/>
  <c r="N104" i="84"/>
  <c r="F23" i="85"/>
  <c r="L16" i="87"/>
  <c r="N46" i="87"/>
  <c r="V71" i="84"/>
  <c r="V83" i="84"/>
  <c r="V91" i="84"/>
  <c r="R16" i="85"/>
  <c r="J26" i="85"/>
  <c r="V24" i="87"/>
  <c r="V28" i="87"/>
  <c r="V37" i="87"/>
  <c r="J39" i="87"/>
  <c r="V59" i="87"/>
  <c r="V67" i="87"/>
  <c r="F39" i="88"/>
  <c r="F36" i="88"/>
  <c r="F24" i="88"/>
  <c r="F23" i="88"/>
  <c r="F26" i="88"/>
  <c r="F25" i="88"/>
  <c r="F28" i="88"/>
  <c r="F27" i="88"/>
  <c r="L12" i="88"/>
  <c r="F32" i="88"/>
  <c r="F30" i="88"/>
  <c r="F34" i="88"/>
  <c r="F20" i="88"/>
  <c r="F19" i="88"/>
  <c r="Z18" i="88"/>
  <c r="V53" i="84"/>
  <c r="V57" i="84"/>
  <c r="V61" i="84"/>
  <c r="V69" i="84"/>
  <c r="V81" i="84"/>
  <c r="V89" i="84"/>
  <c r="V97" i="84"/>
  <c r="V101" i="84"/>
  <c r="V109" i="84"/>
  <c r="V119" i="84"/>
  <c r="Z12" i="85"/>
  <c r="V16" i="85"/>
  <c r="J24" i="85"/>
  <c r="V30" i="85"/>
  <c r="J82" i="87"/>
  <c r="J74" i="87"/>
  <c r="J70" i="87"/>
  <c r="J86" i="87"/>
  <c r="J84" i="87"/>
  <c r="J75" i="87"/>
  <c r="J71" i="87"/>
  <c r="J65" i="87"/>
  <c r="J59" i="87"/>
  <c r="J49" i="87"/>
  <c r="J88" i="87"/>
  <c r="J66" i="87"/>
  <c r="J60" i="87"/>
  <c r="J50" i="87"/>
  <c r="J93" i="87"/>
  <c r="J90" i="87"/>
  <c r="J76" i="87"/>
  <c r="J72" i="87"/>
  <c r="J68" i="87"/>
  <c r="J52" i="87"/>
  <c r="J42" i="87"/>
  <c r="J78" i="87"/>
  <c r="J79" i="87"/>
  <c r="J73" i="87"/>
  <c r="J69" i="87"/>
  <c r="J16" i="87"/>
  <c r="J26" i="87"/>
  <c r="J30" i="87"/>
  <c r="J35" i="87"/>
  <c r="J46" i="87"/>
  <c r="L53" i="87"/>
  <c r="N53" i="87" s="1"/>
  <c r="J58" i="87"/>
  <c r="V75" i="87"/>
  <c r="J77" i="87"/>
  <c r="F16" i="88"/>
  <c r="T16" i="91"/>
  <c r="V34" i="84"/>
  <c r="V38" i="84"/>
  <c r="V40" i="84"/>
  <c r="V42" i="84"/>
  <c r="V70" i="84"/>
  <c r="V78" i="84"/>
  <c r="V90" i="84"/>
  <c r="V106" i="84"/>
  <c r="V23" i="87"/>
  <c r="V27" i="87"/>
  <c r="V36" i="87"/>
  <c r="V51" i="87"/>
  <c r="P36" i="88"/>
  <c r="F76" i="91"/>
  <c r="F75" i="91"/>
  <c r="F68" i="91"/>
  <c r="F64" i="91"/>
  <c r="F63" i="91"/>
  <c r="F84" i="91"/>
  <c r="F70" i="91"/>
  <c r="F61" i="91"/>
  <c r="F45" i="91"/>
  <c r="F44" i="91"/>
  <c r="F37" i="91"/>
  <c r="F33" i="91"/>
  <c r="F73" i="91"/>
  <c r="F69" i="91"/>
  <c r="F56" i="91"/>
  <c r="F55" i="91"/>
  <c r="F28" i="91"/>
  <c r="F24" i="91"/>
  <c r="F20" i="91"/>
  <c r="F19" i="91"/>
  <c r="F66" i="91"/>
  <c r="F18" i="91"/>
  <c r="F16" i="91"/>
  <c r="F14" i="91"/>
  <c r="F78" i="91"/>
  <c r="F46" i="91"/>
  <c r="F38" i="91"/>
  <c r="F34" i="91"/>
  <c r="F30" i="91"/>
  <c r="F29" i="91"/>
  <c r="D16" i="91"/>
  <c r="F86" i="91"/>
  <c r="F79" i="91"/>
  <c r="F74" i="91"/>
  <c r="F62" i="91"/>
  <c r="F57" i="91"/>
  <c r="F25" i="91"/>
  <c r="F21" i="91"/>
  <c r="F67" i="91"/>
  <c r="F48" i="91"/>
  <c r="F47" i="91"/>
  <c r="F80" i="91"/>
  <c r="F59" i="91"/>
  <c r="F58" i="91"/>
  <c r="F39" i="91"/>
  <c r="F35" i="91"/>
  <c r="F31" i="91"/>
  <c r="F89" i="91"/>
  <c r="F71" i="91"/>
  <c r="F50" i="91"/>
  <c r="F49" i="91"/>
  <c r="F41" i="91"/>
  <c r="F40" i="91"/>
  <c r="F82" i="91"/>
  <c r="F60" i="91"/>
  <c r="F52" i="91"/>
  <c r="F51" i="91"/>
  <c r="F36" i="91"/>
  <c r="F32" i="91"/>
  <c r="L12" i="91"/>
  <c r="F72" i="91"/>
  <c r="F43" i="91"/>
  <c r="F42" i="91"/>
  <c r="F27" i="91"/>
  <c r="F23" i="91"/>
  <c r="Z19" i="91"/>
  <c r="F54" i="91"/>
  <c r="N75" i="91"/>
  <c r="V43" i="84"/>
  <c r="V47" i="84"/>
  <c r="V51" i="84"/>
  <c r="V67" i="84"/>
  <c r="V79" i="84"/>
  <c r="V95" i="84"/>
  <c r="V107" i="84"/>
  <c r="R26" i="85"/>
  <c r="T19" i="87"/>
  <c r="V32" i="87"/>
  <c r="V39" i="87"/>
  <c r="J57" i="87"/>
  <c r="N79" i="87"/>
  <c r="V56" i="84"/>
  <c r="V60" i="84"/>
  <c r="V68" i="84"/>
  <c r="V88" i="84"/>
  <c r="V100" i="84"/>
  <c r="L13" i="85"/>
  <c r="N13" i="85" s="1"/>
  <c r="P20" i="85"/>
  <c r="R24" i="85"/>
  <c r="V17" i="87"/>
  <c r="V19" i="87"/>
  <c r="V21" i="87"/>
  <c r="J25" i="87"/>
  <c r="J29" i="87"/>
  <c r="J38" i="87"/>
  <c r="J41" i="87"/>
  <c r="J45" i="87"/>
  <c r="X46" i="87"/>
  <c r="Z46" i="87" s="1"/>
  <c r="J48" i="87"/>
  <c r="J53" i="87"/>
  <c r="V61" i="87"/>
  <c r="J63" i="87"/>
  <c r="V64" i="87"/>
  <c r="V65" i="87"/>
  <c r="F22" i="88"/>
  <c r="R73" i="91"/>
  <c r="R72" i="91"/>
  <c r="R75" i="91"/>
  <c r="R74" i="91"/>
  <c r="R86" i="91"/>
  <c r="R79" i="91"/>
  <c r="R62" i="91"/>
  <c r="R58" i="91"/>
  <c r="R57" i="91"/>
  <c r="R25" i="91"/>
  <c r="R21" i="91"/>
  <c r="R80" i="91"/>
  <c r="R70" i="91"/>
  <c r="R67" i="91"/>
  <c r="R63" i="91"/>
  <c r="R49" i="91"/>
  <c r="R48" i="91"/>
  <c r="R59" i="91"/>
  <c r="R40" i="91"/>
  <c r="R39" i="91"/>
  <c r="R35" i="91"/>
  <c r="R31" i="91"/>
  <c r="R89" i="91"/>
  <c r="R71" i="91"/>
  <c r="R51" i="91"/>
  <c r="R50" i="91"/>
  <c r="R26" i="91"/>
  <c r="R22" i="91"/>
  <c r="R64" i="91"/>
  <c r="R42" i="91"/>
  <c r="R41" i="91"/>
  <c r="R82" i="91"/>
  <c r="R60" i="91"/>
  <c r="R53" i="91"/>
  <c r="R52" i="91"/>
  <c r="R36" i="91"/>
  <c r="R32" i="91"/>
  <c r="X12" i="91"/>
  <c r="R68" i="91"/>
  <c r="R44" i="91"/>
  <c r="R43" i="91"/>
  <c r="R27" i="91"/>
  <c r="R23" i="91"/>
  <c r="R76" i="91"/>
  <c r="R65" i="91"/>
  <c r="R55" i="91"/>
  <c r="R54" i="91"/>
  <c r="R61" i="91"/>
  <c r="R45" i="91"/>
  <c r="R37" i="91"/>
  <c r="R33" i="91"/>
  <c r="R18" i="91"/>
  <c r="R16" i="91"/>
  <c r="R14" i="91"/>
  <c r="R84" i="91"/>
  <c r="R69" i="91"/>
  <c r="R56" i="91"/>
  <c r="R29" i="91"/>
  <c r="R28" i="91"/>
  <c r="R24" i="91"/>
  <c r="R20" i="91"/>
  <c r="P16" i="91"/>
  <c r="R78" i="91"/>
  <c r="R66" i="91"/>
  <c r="F26" i="91"/>
  <c r="V105" i="84"/>
  <c r="V113" i="84"/>
  <c r="V115" i="84"/>
  <c r="V93" i="87"/>
  <c r="V90" i="87"/>
  <c r="V88" i="87"/>
  <c r="V66" i="87"/>
  <c r="V50" i="87"/>
  <c r="V42" i="87"/>
  <c r="V76" i="87"/>
  <c r="V79" i="87"/>
  <c r="V55" i="87"/>
  <c r="V43" i="87"/>
  <c r="V78" i="87"/>
  <c r="V62" i="87"/>
  <c r="V54" i="87"/>
  <c r="V46" i="87"/>
  <c r="V38" i="87"/>
  <c r="V81" i="87"/>
  <c r="V73" i="87"/>
  <c r="V69" i="87"/>
  <c r="V80" i="87"/>
  <c r="V56" i="87"/>
  <c r="V86" i="87"/>
  <c r="V84" i="87"/>
  <c r="V82" i="87"/>
  <c r="V74" i="87"/>
  <c r="V70" i="87"/>
  <c r="V22" i="87"/>
  <c r="V26" i="87"/>
  <c r="V30" i="87"/>
  <c r="V35" i="87"/>
  <c r="P12" i="92"/>
  <c r="X13" i="92"/>
  <c r="V46" i="84"/>
  <c r="V50" i="84"/>
  <c r="V66" i="84"/>
  <c r="V86" i="84"/>
  <c r="V94" i="84"/>
  <c r="R18" i="85"/>
  <c r="T20" i="85"/>
  <c r="R23" i="85"/>
  <c r="V31" i="87"/>
  <c r="V58" i="87"/>
  <c r="J67" i="87"/>
  <c r="V68" i="87"/>
  <c r="F18" i="88"/>
  <c r="F21" i="88"/>
  <c r="Z58" i="91"/>
  <c r="X58" i="91"/>
  <c r="V55" i="84"/>
  <c r="V59" i="84"/>
  <c r="V63" i="84"/>
  <c r="V75" i="84"/>
  <c r="V87" i="84"/>
  <c r="V99" i="84"/>
  <c r="V103" i="84"/>
  <c r="V111" i="84"/>
  <c r="J16" i="85"/>
  <c r="V18" i="85"/>
  <c r="V22" i="85"/>
  <c r="Z12" i="87"/>
  <c r="V16" i="87"/>
  <c r="J24" i="87"/>
  <c r="J28" i="87"/>
  <c r="J37" i="87"/>
  <c r="X42" i="87"/>
  <c r="V45" i="87"/>
  <c r="V48" i="87"/>
  <c r="V49" i="87"/>
  <c r="J56" i="87"/>
  <c r="V57" i="87"/>
  <c r="V72" i="87"/>
  <c r="N18" i="88"/>
  <c r="R34" i="91"/>
  <c r="V36" i="84"/>
  <c r="V64" i="84"/>
  <c r="V76" i="84"/>
  <c r="V84" i="84"/>
  <c r="V92" i="84"/>
  <c r="V104" i="84"/>
  <c r="V112" i="84"/>
  <c r="V23" i="85"/>
  <c r="V25" i="87"/>
  <c r="V29" i="87"/>
  <c r="J33" i="87"/>
  <c r="J40" i="87"/>
  <c r="V41" i="87"/>
  <c r="J44" i="87"/>
  <c r="J47" i="87"/>
  <c r="X49" i="87"/>
  <c r="V53" i="87"/>
  <c r="V60" i="87"/>
  <c r="V63" i="87"/>
  <c r="J81" i="87"/>
  <c r="N40" i="91"/>
  <c r="L40" i="91"/>
  <c r="F53" i="91"/>
  <c r="F65" i="91"/>
  <c r="V45" i="84"/>
  <c r="V49" i="84"/>
  <c r="V73" i="84"/>
  <c r="V85" i="84"/>
  <c r="V34" i="87"/>
  <c r="J51" i="87"/>
  <c r="V52" i="87"/>
  <c r="J55" i="87"/>
  <c r="J62" i="87"/>
  <c r="V54" i="84"/>
  <c r="V58" i="84"/>
  <c r="V62" i="84"/>
  <c r="V74" i="84"/>
  <c r="V82" i="84"/>
  <c r="V98" i="84"/>
  <c r="V102" i="84"/>
  <c r="J80" i="87"/>
  <c r="L30" i="88"/>
  <c r="X14" i="91"/>
  <c r="N44" i="91"/>
  <c r="J44" i="91"/>
  <c r="J54" i="91"/>
  <c r="J65" i="91"/>
  <c r="J76" i="91"/>
  <c r="V86" i="91"/>
  <c r="J41" i="92"/>
  <c r="H16" i="88"/>
  <c r="L16" i="88" s="1"/>
  <c r="V27" i="88"/>
  <c r="J23" i="91"/>
  <c r="J27" i="91"/>
  <c r="J43" i="91"/>
  <c r="V47" i="91"/>
  <c r="J53" i="91"/>
  <c r="V66" i="91"/>
  <c r="J68" i="91"/>
  <c r="J72" i="91"/>
  <c r="D12" i="92"/>
  <c r="V64" i="92"/>
  <c r="H79" i="93"/>
  <c r="N19" i="93"/>
  <c r="N26" i="95"/>
  <c r="V24" i="88"/>
  <c r="N12" i="91"/>
  <c r="J32" i="91"/>
  <c r="J36" i="91"/>
  <c r="J42" i="91"/>
  <c r="J52" i="91"/>
  <c r="J60" i="91"/>
  <c r="V69" i="91"/>
  <c r="V78" i="91"/>
  <c r="J82" i="91"/>
  <c r="J73" i="92"/>
  <c r="J67" i="92"/>
  <c r="J55" i="92"/>
  <c r="J45" i="92"/>
  <c r="J78" i="92"/>
  <c r="J76" i="92"/>
  <c r="J68" i="92"/>
  <c r="J56" i="92"/>
  <c r="J63" i="92"/>
  <c r="J57" i="92"/>
  <c r="J47" i="92"/>
  <c r="J39" i="92"/>
  <c r="J35" i="92"/>
  <c r="J31" i="92"/>
  <c r="J21" i="92"/>
  <c r="J80" i="92"/>
  <c r="J64" i="92"/>
  <c r="J58" i="92"/>
  <c r="J48" i="92"/>
  <c r="J69" i="92"/>
  <c r="J65" i="92"/>
  <c r="J59" i="92"/>
  <c r="J49" i="92"/>
  <c r="H18" i="92"/>
  <c r="J85" i="92"/>
  <c r="J82" i="92"/>
  <c r="J70" i="92"/>
  <c r="J60" i="92"/>
  <c r="J71" i="92"/>
  <c r="J51" i="92"/>
  <c r="J66" i="92"/>
  <c r="J52" i="92"/>
  <c r="J42" i="92"/>
  <c r="J61" i="92"/>
  <c r="J53" i="92"/>
  <c r="J43" i="92"/>
  <c r="J25" i="92"/>
  <c r="J28" i="92"/>
  <c r="J50" i="92"/>
  <c r="D12" i="93"/>
  <c r="L13" i="93"/>
  <c r="L21" i="93"/>
  <c r="N21" i="93" s="1"/>
  <c r="V22" i="88"/>
  <c r="J30" i="88"/>
  <c r="J32" i="88"/>
  <c r="R36" i="88"/>
  <c r="R39" i="88"/>
  <c r="V71" i="91"/>
  <c r="V75" i="91"/>
  <c r="V67" i="91"/>
  <c r="V14" i="91"/>
  <c r="V16" i="91"/>
  <c r="V18" i="91"/>
  <c r="J22" i="91"/>
  <c r="J26" i="91"/>
  <c r="J40" i="91"/>
  <c r="J50" i="91"/>
  <c r="V54" i="91"/>
  <c r="V65" i="91"/>
  <c r="N71" i="91"/>
  <c r="V72" i="91"/>
  <c r="J75" i="91"/>
  <c r="V76" i="91"/>
  <c r="V63" i="92"/>
  <c r="V59" i="92"/>
  <c r="V47" i="92"/>
  <c r="V39" i="92"/>
  <c r="V35" i="92"/>
  <c r="V31" i="92"/>
  <c r="T18" i="92"/>
  <c r="V69" i="92"/>
  <c r="V65" i="92"/>
  <c r="V49" i="92"/>
  <c r="V41" i="92"/>
  <c r="V60" i="92"/>
  <c r="V52" i="92"/>
  <c r="V40" i="92"/>
  <c r="V71" i="92"/>
  <c r="V51" i="92"/>
  <c r="V43" i="92"/>
  <c r="V27" i="92"/>
  <c r="V23" i="92"/>
  <c r="V66" i="92"/>
  <c r="V54" i="92"/>
  <c r="V42" i="92"/>
  <c r="V73" i="92"/>
  <c r="V61" i="92"/>
  <c r="V53" i="92"/>
  <c r="V45" i="92"/>
  <c r="V37" i="92"/>
  <c r="V33" i="92"/>
  <c r="V72" i="92"/>
  <c r="V67" i="92"/>
  <c r="V55" i="92"/>
  <c r="V78" i="92"/>
  <c r="V76" i="92"/>
  <c r="V74" i="92"/>
  <c r="V62" i="92"/>
  <c r="V46" i="92"/>
  <c r="V38" i="92"/>
  <c r="V34" i="92"/>
  <c r="V57" i="92"/>
  <c r="J15" i="92"/>
  <c r="V30" i="92"/>
  <c r="J32" i="92"/>
  <c r="J40" i="92"/>
  <c r="L45" i="92"/>
  <c r="N45" i="92" s="1"/>
  <c r="V82" i="92"/>
  <c r="P12" i="93"/>
  <c r="V23" i="88"/>
  <c r="R34" i="88"/>
  <c r="J31" i="91"/>
  <c r="J35" i="91"/>
  <c r="J39" i="91"/>
  <c r="J49" i="91"/>
  <c r="V55" i="91"/>
  <c r="J59" i="91"/>
  <c r="J63" i="91"/>
  <c r="V68" i="91"/>
  <c r="L79" i="91"/>
  <c r="D78" i="91"/>
  <c r="L78" i="91" s="1"/>
  <c r="J80" i="91"/>
  <c r="J89" i="91"/>
  <c r="J24" i="92"/>
  <c r="X30" i="92"/>
  <c r="V50" i="92"/>
  <c r="N12" i="88"/>
  <c r="R14" i="88"/>
  <c r="R16" i="88"/>
  <c r="R18" i="88"/>
  <c r="V20" i="88"/>
  <c r="J28" i="88"/>
  <c r="V34" i="88"/>
  <c r="V36" i="88"/>
  <c r="V39" i="88"/>
  <c r="Z12" i="91"/>
  <c r="V32" i="91"/>
  <c r="V36" i="91"/>
  <c r="V44" i="91"/>
  <c r="J48" i="91"/>
  <c r="V52" i="91"/>
  <c r="J58" i="91"/>
  <c r="V60" i="91"/>
  <c r="J67" i="91"/>
  <c r="J70" i="91"/>
  <c r="Z12" i="92"/>
  <c r="J20" i="92"/>
  <c r="V25" i="92"/>
  <c r="V28" i="92"/>
  <c r="J44" i="92"/>
  <c r="X59" i="92"/>
  <c r="V85" i="92"/>
  <c r="N48" i="94"/>
  <c r="T16" i="88"/>
  <c r="V21" i="88"/>
  <c r="J27" i="88"/>
  <c r="J21" i="91"/>
  <c r="J25" i="91"/>
  <c r="V41" i="91"/>
  <c r="J47" i="91"/>
  <c r="V53" i="91"/>
  <c r="J57" i="91"/>
  <c r="J62" i="91"/>
  <c r="V64" i="91"/>
  <c r="J74" i="91"/>
  <c r="J79" i="91"/>
  <c r="V82" i="91"/>
  <c r="J27" i="92"/>
  <c r="V32" i="92"/>
  <c r="J37" i="92"/>
  <c r="Z45" i="92"/>
  <c r="X45" i="92"/>
  <c r="J62" i="92"/>
  <c r="J72" i="92"/>
  <c r="J74" i="92"/>
  <c r="F49" i="94"/>
  <c r="F48" i="94"/>
  <c r="F41" i="94"/>
  <c r="F37" i="94"/>
  <c r="F68" i="94"/>
  <c r="F60" i="94"/>
  <c r="F59" i="94"/>
  <c r="F32" i="94"/>
  <c r="F28" i="94"/>
  <c r="F24" i="94"/>
  <c r="F23" i="94"/>
  <c r="F85" i="94"/>
  <c r="F82" i="94"/>
  <c r="F51" i="94"/>
  <c r="F50" i="94"/>
  <c r="F22" i="94"/>
  <c r="F20" i="94"/>
  <c r="F70" i="94"/>
  <c r="F69" i="94"/>
  <c r="F62" i="94"/>
  <c r="F61" i="94"/>
  <c r="F42" i="94"/>
  <c r="F38" i="94"/>
  <c r="F34" i="94"/>
  <c r="F33" i="94"/>
  <c r="D20" i="94"/>
  <c r="L12" i="94"/>
  <c r="F53" i="94"/>
  <c r="F52" i="94"/>
  <c r="F29" i="94"/>
  <c r="F25" i="94"/>
  <c r="F72" i="94"/>
  <c r="F71" i="94"/>
  <c r="F64" i="94"/>
  <c r="F63" i="94"/>
  <c r="F55" i="94"/>
  <c r="F54" i="94"/>
  <c r="F43" i="94"/>
  <c r="F39" i="94"/>
  <c r="F35" i="94"/>
  <c r="F74" i="94"/>
  <c r="F73" i="94"/>
  <c r="F66" i="94"/>
  <c r="F65" i="94"/>
  <c r="F30" i="94"/>
  <c r="F26" i="94"/>
  <c r="F57" i="94"/>
  <c r="F56" i="94"/>
  <c r="F45" i="94"/>
  <c r="F44" i="94"/>
  <c r="F40" i="94"/>
  <c r="F36" i="94"/>
  <c r="F78" i="94"/>
  <c r="F76" i="94"/>
  <c r="F67" i="94"/>
  <c r="F47" i="94"/>
  <c r="F46" i="94"/>
  <c r="F31" i="94"/>
  <c r="F27" i="94"/>
  <c r="H82" i="94"/>
  <c r="V14" i="88"/>
  <c r="V16" i="88"/>
  <c r="V18" i="88"/>
  <c r="J30" i="91"/>
  <c r="J34" i="91"/>
  <c r="J38" i="91"/>
  <c r="J46" i="91"/>
  <c r="J86" i="91"/>
  <c r="J18" i="92"/>
  <c r="J34" i="92"/>
  <c r="J54" i="92"/>
  <c r="H16" i="91"/>
  <c r="J29" i="91"/>
  <c r="V51" i="91"/>
  <c r="V59" i="91"/>
  <c r="J66" i="91"/>
  <c r="X71" i="91"/>
  <c r="Z71" i="91" s="1"/>
  <c r="X75" i="91"/>
  <c r="Z75" i="91" s="1"/>
  <c r="J78" i="91"/>
  <c r="V89" i="91"/>
  <c r="J46" i="92"/>
  <c r="H23" i="95"/>
  <c r="N18" i="95"/>
  <c r="J18" i="95"/>
  <c r="Z12" i="88"/>
  <c r="V28" i="88"/>
  <c r="V30" i="88"/>
  <c r="J14" i="91"/>
  <c r="J16" i="91"/>
  <c r="J18" i="91"/>
  <c r="J20" i="91"/>
  <c r="J24" i="91"/>
  <c r="J28" i="91"/>
  <c r="V40" i="91"/>
  <c r="V48" i="91"/>
  <c r="J56" i="91"/>
  <c r="J69" i="91"/>
  <c r="V70" i="91"/>
  <c r="V74" i="91"/>
  <c r="V80" i="91"/>
  <c r="J84" i="91"/>
  <c r="J23" i="92"/>
  <c r="J26" i="92"/>
  <c r="J30" i="92"/>
  <c r="V44" i="92"/>
  <c r="V56" i="92"/>
  <c r="V58" i="92"/>
  <c r="V68" i="92"/>
  <c r="L49" i="93"/>
  <c r="N49" i="93" s="1"/>
  <c r="F58" i="94"/>
  <c r="J19" i="93"/>
  <c r="J21" i="93"/>
  <c r="J23" i="93"/>
  <c r="J27" i="93"/>
  <c r="J31" i="93"/>
  <c r="V43" i="93"/>
  <c r="J49" i="93"/>
  <c r="V55" i="93"/>
  <c r="V71" i="93"/>
  <c r="J75" i="93"/>
  <c r="V81" i="93"/>
  <c r="V83" i="93"/>
  <c r="V86" i="93"/>
  <c r="N20" i="94"/>
  <c r="J48" i="94"/>
  <c r="R51" i="94"/>
  <c r="R52" i="94"/>
  <c r="J58" i="94"/>
  <c r="J80" i="94"/>
  <c r="V20" i="95"/>
  <c r="N62" i="95"/>
  <c r="J22" i="93"/>
  <c r="V24" i="93"/>
  <c r="V28" i="93"/>
  <c r="J36" i="93"/>
  <c r="J40" i="93"/>
  <c r="J48" i="93"/>
  <c r="V52" i="93"/>
  <c r="V60" i="93"/>
  <c r="J64" i="93"/>
  <c r="J68" i="93"/>
  <c r="J74" i="93"/>
  <c r="P20" i="94"/>
  <c r="R24" i="94"/>
  <c r="J27" i="94"/>
  <c r="R28" i="94"/>
  <c r="J31" i="94"/>
  <c r="R32" i="94"/>
  <c r="R33" i="94"/>
  <c r="J47" i="94"/>
  <c r="R60" i="94"/>
  <c r="R61" i="94"/>
  <c r="J67" i="94"/>
  <c r="R68" i="94"/>
  <c r="R69" i="94"/>
  <c r="V71" i="94"/>
  <c r="P12" i="95"/>
  <c r="Z17" i="98"/>
  <c r="T23" i="98"/>
  <c r="J17" i="93"/>
  <c r="V33" i="93"/>
  <c r="V37" i="93"/>
  <c r="V41" i="93"/>
  <c r="J47" i="93"/>
  <c r="V53" i="93"/>
  <c r="J57" i="93"/>
  <c r="V65" i="93"/>
  <c r="V69" i="93"/>
  <c r="J73" i="93"/>
  <c r="R20" i="94"/>
  <c r="R22" i="94"/>
  <c r="R37" i="94"/>
  <c r="R41" i="94"/>
  <c r="J46" i="94"/>
  <c r="R49" i="94"/>
  <c r="R50" i="94"/>
  <c r="J76" i="94"/>
  <c r="J78" i="94"/>
  <c r="V80" i="95"/>
  <c r="V76" i="95"/>
  <c r="V64" i="95"/>
  <c r="V52" i="95"/>
  <c r="V44" i="95"/>
  <c r="V40" i="95"/>
  <c r="V36" i="95"/>
  <c r="V87" i="95"/>
  <c r="V63" i="95"/>
  <c r="V70" i="95"/>
  <c r="V54" i="95"/>
  <c r="V89" i="95"/>
  <c r="V81" i="95"/>
  <c r="V77" i="95"/>
  <c r="V65" i="95"/>
  <c r="V45" i="95"/>
  <c r="V41" i="95"/>
  <c r="V37" i="95"/>
  <c r="V88" i="95"/>
  <c r="V56" i="95"/>
  <c r="V83" i="95"/>
  <c r="V71" i="95"/>
  <c r="V67" i="95"/>
  <c r="V55" i="95"/>
  <c r="V47" i="95"/>
  <c r="V92" i="95"/>
  <c r="V90" i="95"/>
  <c r="V82" i="95"/>
  <c r="V78" i="95"/>
  <c r="V66" i="95"/>
  <c r="V58" i="95"/>
  <c r="V46" i="95"/>
  <c r="V42" i="95"/>
  <c r="V38" i="95"/>
  <c r="V73" i="95"/>
  <c r="V57" i="95"/>
  <c r="V49" i="95"/>
  <c r="V33" i="95"/>
  <c r="V84" i="95"/>
  <c r="V72" i="95"/>
  <c r="V68" i="95"/>
  <c r="V60" i="95"/>
  <c r="V79" i="95"/>
  <c r="V75" i="95"/>
  <c r="V59" i="95"/>
  <c r="V51" i="95"/>
  <c r="V43" i="95"/>
  <c r="V96" i="95"/>
  <c r="V86" i="95"/>
  <c r="V74" i="95"/>
  <c r="V62" i="95"/>
  <c r="V85" i="95"/>
  <c r="V69" i="95"/>
  <c r="V61" i="95"/>
  <c r="V28" i="95"/>
  <c r="V53" i="95"/>
  <c r="F19" i="98"/>
  <c r="F17" i="98"/>
  <c r="F15" i="98"/>
  <c r="F21" i="98"/>
  <c r="D17" i="98"/>
  <c r="L12" i="98"/>
  <c r="F25" i="98"/>
  <c r="J16" i="93"/>
  <c r="J26" i="93"/>
  <c r="J30" i="93"/>
  <c r="J46" i="93"/>
  <c r="V50" i="93"/>
  <c r="V58" i="93"/>
  <c r="R18" i="94"/>
  <c r="R23" i="94"/>
  <c r="J45" i="94"/>
  <c r="J57" i="94"/>
  <c r="R58" i="94"/>
  <c r="R59" i="94"/>
  <c r="V69" i="94"/>
  <c r="R80" i="94"/>
  <c r="V19" i="95"/>
  <c r="J25" i="95"/>
  <c r="Z49" i="95"/>
  <c r="Z51" i="95"/>
  <c r="X51" i="95"/>
  <c r="N56" i="95"/>
  <c r="V23" i="93"/>
  <c r="V27" i="93"/>
  <c r="V31" i="93"/>
  <c r="J35" i="93"/>
  <c r="J39" i="93"/>
  <c r="J45" i="93"/>
  <c r="V51" i="93"/>
  <c r="V59" i="93"/>
  <c r="J63" i="93"/>
  <c r="J67" i="93"/>
  <c r="V75" i="93"/>
  <c r="V77" i="93"/>
  <c r="V79" i="93"/>
  <c r="J26" i="94"/>
  <c r="R27" i="94"/>
  <c r="J30" i="94"/>
  <c r="R31" i="94"/>
  <c r="J44" i="94"/>
  <c r="R47" i="94"/>
  <c r="R48" i="94"/>
  <c r="V50" i="94"/>
  <c r="J56" i="94"/>
  <c r="V58" i="94"/>
  <c r="J66" i="94"/>
  <c r="R67" i="94"/>
  <c r="J74" i="94"/>
  <c r="V80" i="94"/>
  <c r="V82" i="94"/>
  <c r="V85" i="94"/>
  <c r="J26" i="95"/>
  <c r="X36" i="95"/>
  <c r="Z36" i="95" s="1"/>
  <c r="L59" i="92"/>
  <c r="X73" i="92"/>
  <c r="N12" i="93"/>
  <c r="T19" i="93"/>
  <c r="V32" i="93"/>
  <c r="V36" i="93"/>
  <c r="V40" i="93"/>
  <c r="J44" i="93"/>
  <c r="V48" i="93"/>
  <c r="J56" i="93"/>
  <c r="J62" i="93"/>
  <c r="V64" i="93"/>
  <c r="V68" i="93"/>
  <c r="J72" i="93"/>
  <c r="R17" i="94"/>
  <c r="J35" i="94"/>
  <c r="R36" i="94"/>
  <c r="J39" i="94"/>
  <c r="R40" i="94"/>
  <c r="J43" i="94"/>
  <c r="J55" i="94"/>
  <c r="V59" i="94"/>
  <c r="J65" i="94"/>
  <c r="V67" i="94"/>
  <c r="J73" i="94"/>
  <c r="V30" i="95"/>
  <c r="V35" i="95"/>
  <c r="Z60" i="95"/>
  <c r="Z73" i="95"/>
  <c r="N46" i="97"/>
  <c r="V17" i="93"/>
  <c r="V19" i="93"/>
  <c r="V21" i="93"/>
  <c r="J25" i="93"/>
  <c r="J29" i="93"/>
  <c r="J43" i="93"/>
  <c r="V49" i="93"/>
  <c r="J55" i="93"/>
  <c r="V57" i="93"/>
  <c r="J61" i="93"/>
  <c r="J71" i="93"/>
  <c r="V73" i="93"/>
  <c r="J83" i="93"/>
  <c r="J86" i="93"/>
  <c r="Z20" i="94"/>
  <c r="R45" i="94"/>
  <c r="R46" i="94"/>
  <c r="J54" i="94"/>
  <c r="R57" i="94"/>
  <c r="J64" i="94"/>
  <c r="J72" i="94"/>
  <c r="R76" i="94"/>
  <c r="V18" i="95"/>
  <c r="V27" i="95"/>
  <c r="Z56" i="95"/>
  <c r="V22" i="93"/>
  <c r="V26" i="93"/>
  <c r="V30" i="93"/>
  <c r="J34" i="93"/>
  <c r="J38" i="93"/>
  <c r="J42" i="93"/>
  <c r="V46" i="93"/>
  <c r="J54" i="93"/>
  <c r="J66" i="93"/>
  <c r="J70" i="93"/>
  <c r="V74" i="93"/>
  <c r="R26" i="94"/>
  <c r="R30" i="94"/>
  <c r="J53" i="94"/>
  <c r="J63" i="94"/>
  <c r="R66" i="94"/>
  <c r="J71" i="94"/>
  <c r="R74" i="94"/>
  <c r="V50" i="95"/>
  <c r="V35" i="93"/>
  <c r="V39" i="93"/>
  <c r="V47" i="93"/>
  <c r="J53" i="93"/>
  <c r="V63" i="93"/>
  <c r="V67" i="93"/>
  <c r="J81" i="93"/>
  <c r="R35" i="94"/>
  <c r="R39" i="94"/>
  <c r="J42" i="94"/>
  <c r="R43" i="94"/>
  <c r="R44" i="94"/>
  <c r="J52" i="94"/>
  <c r="R55" i="94"/>
  <c r="R56" i="94"/>
  <c r="J62" i="94"/>
  <c r="J70" i="94"/>
  <c r="T23" i="95"/>
  <c r="V23" i="95" s="1"/>
  <c r="V48" i="95"/>
  <c r="J60" i="93"/>
  <c r="V72" i="93"/>
  <c r="J51" i="94"/>
  <c r="J61" i="94"/>
  <c r="R64" i="94"/>
  <c r="R65" i="94"/>
  <c r="J69" i="94"/>
  <c r="R72" i="94"/>
  <c r="R73" i="94"/>
  <c r="X76" i="94"/>
  <c r="D12" i="95"/>
  <c r="V21" i="95"/>
  <c r="V25" i="95"/>
  <c r="V32" i="95"/>
  <c r="V25" i="93"/>
  <c r="V29" i="93"/>
  <c r="J33" i="93"/>
  <c r="J37" i="93"/>
  <c r="J41" i="93"/>
  <c r="V45" i="93"/>
  <c r="J51" i="93"/>
  <c r="J59" i="93"/>
  <c r="J65" i="93"/>
  <c r="J69" i="93"/>
  <c r="J77" i="93"/>
  <c r="J20" i="94"/>
  <c r="J22" i="94"/>
  <c r="J24" i="94"/>
  <c r="R25" i="94"/>
  <c r="J28" i="94"/>
  <c r="R29" i="94"/>
  <c r="J32" i="94"/>
  <c r="V44" i="94"/>
  <c r="J50" i="94"/>
  <c r="R53" i="94"/>
  <c r="V56" i="94"/>
  <c r="J60" i="94"/>
  <c r="V64" i="94"/>
  <c r="J68" i="94"/>
  <c r="J82" i="94"/>
  <c r="J92" i="95"/>
  <c r="J84" i="95"/>
  <c r="J72" i="95"/>
  <c r="J68" i="95"/>
  <c r="J58" i="95"/>
  <c r="J48" i="95"/>
  <c r="J79" i="95"/>
  <c r="J73" i="95"/>
  <c r="J59" i="95"/>
  <c r="J49" i="95"/>
  <c r="J43" i="95"/>
  <c r="J96" i="95"/>
  <c r="J74" i="95"/>
  <c r="J60" i="95"/>
  <c r="J50" i="95"/>
  <c r="J34" i="95"/>
  <c r="J30" i="95"/>
  <c r="J85" i="95"/>
  <c r="J75" i="95"/>
  <c r="J69" i="95"/>
  <c r="J61" i="95"/>
  <c r="J51" i="95"/>
  <c r="J86" i="95"/>
  <c r="J80" i="95"/>
  <c r="J76" i="95"/>
  <c r="J62" i="95"/>
  <c r="J52" i="95"/>
  <c r="J44" i="95"/>
  <c r="J40" i="95"/>
  <c r="J87" i="95"/>
  <c r="J63" i="95"/>
  <c r="J53" i="95"/>
  <c r="J70" i="95"/>
  <c r="J64" i="95"/>
  <c r="J54" i="95"/>
  <c r="J36" i="95"/>
  <c r="J81" i="95"/>
  <c r="J77" i="95"/>
  <c r="J65" i="95"/>
  <c r="J45" i="95"/>
  <c r="J41" i="95"/>
  <c r="J37" i="95"/>
  <c r="J88" i="95"/>
  <c r="J89" i="95"/>
  <c r="J71" i="95"/>
  <c r="J55" i="95"/>
  <c r="J90" i="95"/>
  <c r="J82" i="95"/>
  <c r="J78" i="95"/>
  <c r="J66" i="95"/>
  <c r="J83" i="95"/>
  <c r="J67" i="95"/>
  <c r="J57" i="95"/>
  <c r="V26" i="95"/>
  <c r="V29" i="95"/>
  <c r="V34" i="95"/>
  <c r="R91" i="97"/>
  <c r="R88" i="97"/>
  <c r="R42" i="97"/>
  <c r="R41" i="97"/>
  <c r="R37" i="97"/>
  <c r="R33" i="97"/>
  <c r="R76" i="97"/>
  <c r="R60" i="97"/>
  <c r="R53" i="97"/>
  <c r="R52" i="97"/>
  <c r="R28" i="97"/>
  <c r="R24" i="97"/>
  <c r="R71" i="97"/>
  <c r="R67" i="97"/>
  <c r="R44" i="97"/>
  <c r="R43" i="97"/>
  <c r="R55" i="97"/>
  <c r="R54" i="97"/>
  <c r="R38" i="97"/>
  <c r="R34" i="97"/>
  <c r="R78" i="97"/>
  <c r="R77" i="97"/>
  <c r="R62" i="97"/>
  <c r="R61" i="97"/>
  <c r="R46" i="97"/>
  <c r="R45" i="97"/>
  <c r="R29" i="97"/>
  <c r="R25" i="97"/>
  <c r="R72" i="97"/>
  <c r="R68" i="97"/>
  <c r="R56" i="97"/>
  <c r="X12" i="97"/>
  <c r="R79" i="97"/>
  <c r="R64" i="97"/>
  <c r="R63" i="97"/>
  <c r="R47" i="97"/>
  <c r="R39" i="97"/>
  <c r="R35" i="97"/>
  <c r="R16" i="97"/>
  <c r="R82" i="97"/>
  <c r="R81" i="97"/>
  <c r="R31" i="97"/>
  <c r="R30" i="97"/>
  <c r="R26" i="97"/>
  <c r="R84" i="97"/>
  <c r="R73" i="97"/>
  <c r="R69" i="97"/>
  <c r="R65" i="97"/>
  <c r="R57" i="97"/>
  <c r="R22" i="97"/>
  <c r="R17" i="97"/>
  <c r="R49" i="97"/>
  <c r="R48" i="97"/>
  <c r="R40" i="97"/>
  <c r="R36" i="97"/>
  <c r="R32" i="97"/>
  <c r="R21" i="97"/>
  <c r="R19" i="97"/>
  <c r="R27" i="97"/>
  <c r="R23" i="97"/>
  <c r="P19" i="97"/>
  <c r="R86" i="97"/>
  <c r="R75" i="97"/>
  <c r="R74" i="97"/>
  <c r="R70" i="97"/>
  <c r="R66" i="97"/>
  <c r="R59" i="97"/>
  <c r="R58" i="97"/>
  <c r="R51" i="97"/>
  <c r="R50" i="97"/>
  <c r="J17" i="97"/>
  <c r="F26" i="97"/>
  <c r="F30" i="97"/>
  <c r="J31" i="97"/>
  <c r="J57" i="97"/>
  <c r="J65" i="97"/>
  <c r="J69" i="97"/>
  <c r="J73" i="97"/>
  <c r="J81" i="97"/>
  <c r="J82" i="97"/>
  <c r="N18" i="99"/>
  <c r="H34" i="100"/>
  <c r="J16" i="97"/>
  <c r="J26" i="97"/>
  <c r="J30" i="97"/>
  <c r="F35" i="97"/>
  <c r="F39" i="97"/>
  <c r="F46" i="97"/>
  <c r="F47" i="97"/>
  <c r="V50" i="97"/>
  <c r="V58" i="97"/>
  <c r="F62" i="97"/>
  <c r="F63" i="97"/>
  <c r="J64" i="97"/>
  <c r="V66" i="97"/>
  <c r="V70" i="97"/>
  <c r="V74" i="97"/>
  <c r="F78" i="97"/>
  <c r="F79" i="97"/>
  <c r="L82" i="97"/>
  <c r="V86" i="97"/>
  <c r="V88" i="97"/>
  <c r="V91" i="97"/>
  <c r="R56" i="99"/>
  <c r="R36" i="99"/>
  <c r="R44" i="99"/>
  <c r="R43" i="99"/>
  <c r="R28" i="99"/>
  <c r="R27" i="99"/>
  <c r="R23" i="99"/>
  <c r="R58" i="99"/>
  <c r="R63" i="99"/>
  <c r="R60" i="99"/>
  <c r="R46" i="99"/>
  <c r="R45" i="99"/>
  <c r="R37" i="99"/>
  <c r="R33" i="99"/>
  <c r="R29" i="99"/>
  <c r="R18" i="99"/>
  <c r="R16" i="99"/>
  <c r="R14" i="99"/>
  <c r="R24" i="99"/>
  <c r="R20" i="99"/>
  <c r="R48" i="99"/>
  <c r="R47" i="99"/>
  <c r="R39" i="99"/>
  <c r="R38" i="99"/>
  <c r="R34" i="99"/>
  <c r="R30" i="99"/>
  <c r="R52" i="99"/>
  <c r="R51" i="99"/>
  <c r="R41" i="99"/>
  <c r="R40" i="99"/>
  <c r="R53" i="99"/>
  <c r="R35" i="99"/>
  <c r="R31" i="99"/>
  <c r="D16" i="99"/>
  <c r="R19" i="99"/>
  <c r="F30" i="99"/>
  <c r="L48" i="99"/>
  <c r="J22" i="100"/>
  <c r="J23" i="100"/>
  <c r="J24" i="100"/>
  <c r="J25" i="100"/>
  <c r="J26" i="100"/>
  <c r="J30" i="100"/>
  <c r="J28" i="100"/>
  <c r="N12" i="100"/>
  <c r="J19" i="100"/>
  <c r="J37" i="100"/>
  <c r="J34" i="100"/>
  <c r="J20" i="100"/>
  <c r="J18" i="100"/>
  <c r="J16" i="100"/>
  <c r="J14" i="100"/>
  <c r="J21" i="100"/>
  <c r="N16" i="100"/>
  <c r="X62" i="95"/>
  <c r="Z62" i="95" s="1"/>
  <c r="L12" i="97"/>
  <c r="J35" i="97"/>
  <c r="J39" i="97"/>
  <c r="J47" i="97"/>
  <c r="V51" i="97"/>
  <c r="F55" i="97"/>
  <c r="F56" i="97"/>
  <c r="V59" i="97"/>
  <c r="J63" i="97"/>
  <c r="F68" i="97"/>
  <c r="F72" i="97"/>
  <c r="V75" i="97"/>
  <c r="J79" i="97"/>
  <c r="R21" i="98"/>
  <c r="V44" i="99"/>
  <c r="V36" i="99"/>
  <c r="V32" i="99"/>
  <c r="V28" i="99"/>
  <c r="Z12" i="99"/>
  <c r="V43" i="99"/>
  <c r="V63" i="99"/>
  <c r="V60" i="99"/>
  <c r="V58" i="99"/>
  <c r="V46" i="99"/>
  <c r="V45" i="99"/>
  <c r="V37" i="99"/>
  <c r="V33" i="99"/>
  <c r="V48" i="99"/>
  <c r="V24" i="99"/>
  <c r="V20" i="99"/>
  <c r="V47" i="99"/>
  <c r="V39" i="99"/>
  <c r="V38" i="99"/>
  <c r="V34" i="99"/>
  <c r="V30" i="99"/>
  <c r="V51" i="99"/>
  <c r="V49" i="99"/>
  <c r="V41" i="99"/>
  <c r="V53" i="99"/>
  <c r="V56" i="99"/>
  <c r="V54" i="99"/>
  <c r="V42" i="99"/>
  <c r="V26" i="99"/>
  <c r="F16" i="99"/>
  <c r="Z28" i="99"/>
  <c r="F34" i="99"/>
  <c r="F38" i="99"/>
  <c r="F44" i="99"/>
  <c r="L31" i="101"/>
  <c r="X75" i="95"/>
  <c r="Z75" i="95" s="1"/>
  <c r="L89" i="95"/>
  <c r="N89" i="95" s="1"/>
  <c r="N12" i="97"/>
  <c r="F25" i="97"/>
  <c r="F29" i="97"/>
  <c r="V36" i="97"/>
  <c r="V40" i="97"/>
  <c r="F44" i="97"/>
  <c r="F45" i="97"/>
  <c r="J46" i="97"/>
  <c r="V48" i="97"/>
  <c r="X51" i="97"/>
  <c r="J56" i="97"/>
  <c r="X59" i="97"/>
  <c r="F61" i="97"/>
  <c r="J62" i="97"/>
  <c r="J68" i="97"/>
  <c r="J72" i="97"/>
  <c r="F77" i="97"/>
  <c r="J78" i="97"/>
  <c r="P17" i="98"/>
  <c r="R19" i="98"/>
  <c r="X12" i="99"/>
  <c r="H56" i="99"/>
  <c r="N16" i="99"/>
  <c r="V19" i="99"/>
  <c r="J25" i="97"/>
  <c r="J29" i="97"/>
  <c r="F34" i="97"/>
  <c r="F38" i="97"/>
  <c r="J45" i="97"/>
  <c r="V49" i="97"/>
  <c r="F53" i="97"/>
  <c r="F54" i="97"/>
  <c r="J55" i="97"/>
  <c r="V57" i="97"/>
  <c r="J61" i="97"/>
  <c r="V65" i="97"/>
  <c r="V69" i="97"/>
  <c r="V73" i="97"/>
  <c r="J77" i="97"/>
  <c r="T84" i="97"/>
  <c r="L13" i="98"/>
  <c r="R15" i="98"/>
  <c r="R17" i="98"/>
  <c r="V21" i="99"/>
  <c r="R32" i="99"/>
  <c r="R42" i="99"/>
  <c r="Z51" i="99"/>
  <c r="J32" i="100"/>
  <c r="V22" i="97"/>
  <c r="V26" i="97"/>
  <c r="V30" i="97"/>
  <c r="J34" i="97"/>
  <c r="J38" i="97"/>
  <c r="F42" i="97"/>
  <c r="F43" i="97"/>
  <c r="J44" i="97"/>
  <c r="J54" i="97"/>
  <c r="F67" i="97"/>
  <c r="F71" i="97"/>
  <c r="V82" i="97"/>
  <c r="V84" i="97"/>
  <c r="F88" i="97"/>
  <c r="F91" i="97"/>
  <c r="F14" i="99"/>
  <c r="V18" i="99"/>
  <c r="V23" i="99"/>
  <c r="R25" i="99"/>
  <c r="F29" i="99"/>
  <c r="V40" i="99"/>
  <c r="Z42" i="102"/>
  <c r="F24" i="97"/>
  <c r="F28" i="97"/>
  <c r="V31" i="97"/>
  <c r="V35" i="97"/>
  <c r="V39" i="97"/>
  <c r="J43" i="97"/>
  <c r="V47" i="97"/>
  <c r="F51" i="97"/>
  <c r="F52" i="97"/>
  <c r="J53" i="97"/>
  <c r="F59" i="97"/>
  <c r="F60" i="97"/>
  <c r="V63" i="97"/>
  <c r="J67" i="97"/>
  <c r="J71" i="97"/>
  <c r="F75" i="97"/>
  <c r="F76" i="97"/>
  <c r="V79" i="97"/>
  <c r="V81" i="97"/>
  <c r="P16" i="99"/>
  <c r="X18" i="99"/>
  <c r="Z18" i="99" s="1"/>
  <c r="F20" i="99"/>
  <c r="V25" i="99"/>
  <c r="V27" i="99"/>
  <c r="D19" i="97"/>
  <c r="J24" i="97"/>
  <c r="J28" i="97"/>
  <c r="F33" i="97"/>
  <c r="F37" i="97"/>
  <c r="F41" i="97"/>
  <c r="J42" i="97"/>
  <c r="J52" i="97"/>
  <c r="V56" i="97"/>
  <c r="J60" i="97"/>
  <c r="V64" i="97"/>
  <c r="V68" i="97"/>
  <c r="V72" i="97"/>
  <c r="J76" i="97"/>
  <c r="J88" i="97"/>
  <c r="J91" i="97"/>
  <c r="J25" i="98"/>
  <c r="T16" i="99"/>
  <c r="F22" i="99"/>
  <c r="N16" i="101"/>
  <c r="H36" i="101"/>
  <c r="F19" i="97"/>
  <c r="F21" i="97"/>
  <c r="V25" i="97"/>
  <c r="V29" i="97"/>
  <c r="J33" i="97"/>
  <c r="J37" i="97"/>
  <c r="J41" i="97"/>
  <c r="V45" i="97"/>
  <c r="F49" i="97"/>
  <c r="F50" i="97"/>
  <c r="J51" i="97"/>
  <c r="F58" i="97"/>
  <c r="J59" i="97"/>
  <c r="V61" i="97"/>
  <c r="F66" i="97"/>
  <c r="F70" i="97"/>
  <c r="F74" i="97"/>
  <c r="J75" i="97"/>
  <c r="V77" i="97"/>
  <c r="F86" i="97"/>
  <c r="V16" i="99"/>
  <c r="L19" i="99"/>
  <c r="F33" i="99"/>
  <c r="F37" i="99"/>
  <c r="F45" i="99"/>
  <c r="N46" i="102"/>
  <c r="H19" i="97"/>
  <c r="F22" i="97"/>
  <c r="F23" i="97"/>
  <c r="F27" i="97"/>
  <c r="V34" i="97"/>
  <c r="V38" i="97"/>
  <c r="V46" i="97"/>
  <c r="J50" i="97"/>
  <c r="V54" i="97"/>
  <c r="J58" i="97"/>
  <c r="V62" i="97"/>
  <c r="J66" i="97"/>
  <c r="J70" i="97"/>
  <c r="J74" i="97"/>
  <c r="V78" i="97"/>
  <c r="F84" i="97"/>
  <c r="J86" i="97"/>
  <c r="N12" i="98"/>
  <c r="F19" i="99"/>
  <c r="V29" i="99"/>
  <c r="V52" i="99"/>
  <c r="R54" i="99"/>
  <c r="Z23" i="100"/>
  <c r="X23" i="100"/>
  <c r="J19" i="97"/>
  <c r="J21" i="97"/>
  <c r="J23" i="97"/>
  <c r="J27" i="97"/>
  <c r="F31" i="97"/>
  <c r="F32" i="97"/>
  <c r="F36" i="97"/>
  <c r="F40" i="97"/>
  <c r="F48" i="97"/>
  <c r="J49" i="97"/>
  <c r="V55" i="97"/>
  <c r="V67" i="97"/>
  <c r="V71" i="97"/>
  <c r="F81" i="97"/>
  <c r="F49" i="99"/>
  <c r="F48" i="99"/>
  <c r="F25" i="99"/>
  <c r="F21" i="99"/>
  <c r="F40" i="99"/>
  <c r="F39" i="99"/>
  <c r="F52" i="99"/>
  <c r="F35" i="99"/>
  <c r="F31" i="99"/>
  <c r="F53" i="99"/>
  <c r="F51" i="99"/>
  <c r="F42" i="99"/>
  <c r="F41" i="99"/>
  <c r="F54" i="99"/>
  <c r="F36" i="99"/>
  <c r="F32" i="99"/>
  <c r="F56" i="99"/>
  <c r="F43" i="99"/>
  <c r="F27" i="99"/>
  <c r="F23" i="99"/>
  <c r="F58" i="99"/>
  <c r="F63" i="99"/>
  <c r="F60" i="99"/>
  <c r="F47" i="99"/>
  <c r="F46" i="99"/>
  <c r="N19" i="99"/>
  <c r="R22" i="99"/>
  <c r="F26" i="99"/>
  <c r="L28" i="99"/>
  <c r="N28" i="99" s="1"/>
  <c r="V31" i="99"/>
  <c r="T30" i="100"/>
  <c r="Z16" i="100"/>
  <c r="F16" i="97"/>
  <c r="F17" i="97"/>
  <c r="J22" i="97"/>
  <c r="V24" i="97"/>
  <c r="V28" i="97"/>
  <c r="J32" i="97"/>
  <c r="J36" i="97"/>
  <c r="J40" i="97"/>
  <c r="V44" i="97"/>
  <c r="J48" i="97"/>
  <c r="V52" i="97"/>
  <c r="F57" i="97"/>
  <c r="V60" i="97"/>
  <c r="F64" i="97"/>
  <c r="F65" i="97"/>
  <c r="F69" i="97"/>
  <c r="F73" i="97"/>
  <c r="V30" i="98"/>
  <c r="V27" i="98"/>
  <c r="V25" i="98"/>
  <c r="H17" i="98"/>
  <c r="J21" i="98"/>
  <c r="V14" i="99"/>
  <c r="F18" i="99"/>
  <c r="V22" i="99"/>
  <c r="F28" i="99"/>
  <c r="V35" i="99"/>
  <c r="X41" i="99"/>
  <c r="R49" i="99"/>
  <c r="R49" i="102"/>
  <c r="R48" i="102"/>
  <c r="T16" i="102"/>
  <c r="R19" i="102"/>
  <c r="F26" i="102"/>
  <c r="J41" i="102"/>
  <c r="F54" i="102"/>
  <c r="R58" i="102"/>
  <c r="J18" i="103"/>
  <c r="R19" i="103"/>
  <c r="T88" i="103"/>
  <c r="V88" i="103" s="1"/>
  <c r="R29" i="103"/>
  <c r="J31" i="103"/>
  <c r="R43" i="103"/>
  <c r="R49" i="103"/>
  <c r="R59" i="103"/>
  <c r="J30" i="99"/>
  <c r="J34" i="99"/>
  <c r="J38" i="99"/>
  <c r="J48" i="99"/>
  <c r="V24" i="100"/>
  <c r="N14" i="101"/>
  <c r="F23" i="101"/>
  <c r="V26" i="101"/>
  <c r="J34" i="101"/>
  <c r="J36" i="101"/>
  <c r="R40" i="101"/>
  <c r="R43" i="101"/>
  <c r="V14" i="102"/>
  <c r="V16" i="102"/>
  <c r="V18" i="102"/>
  <c r="J22" i="102"/>
  <c r="R23" i="102"/>
  <c r="J26" i="102"/>
  <c r="R27" i="102"/>
  <c r="F31" i="102"/>
  <c r="F35" i="102"/>
  <c r="F39" i="102"/>
  <c r="J40" i="102"/>
  <c r="R43" i="102"/>
  <c r="F46" i="102"/>
  <c r="F47" i="102"/>
  <c r="J56" i="102"/>
  <c r="V58" i="102"/>
  <c r="V29" i="103"/>
  <c r="L37" i="103"/>
  <c r="N37" i="103" s="1"/>
  <c r="R39" i="103"/>
  <c r="L62" i="103"/>
  <c r="Z52" i="105"/>
  <c r="J47" i="99"/>
  <c r="F32" i="100"/>
  <c r="L12" i="101"/>
  <c r="P16" i="101"/>
  <c r="R25" i="101"/>
  <c r="F31" i="101"/>
  <c r="F32" i="101"/>
  <c r="R38" i="101"/>
  <c r="X12" i="102"/>
  <c r="R32" i="102"/>
  <c r="R36" i="102"/>
  <c r="V43" i="102"/>
  <c r="J47" i="102"/>
  <c r="V48" i="102"/>
  <c r="V49" i="102"/>
  <c r="J54" i="102"/>
  <c r="J67" i="103"/>
  <c r="J55" i="103"/>
  <c r="J37" i="103"/>
  <c r="J19" i="103"/>
  <c r="J82" i="103"/>
  <c r="J78" i="103"/>
  <c r="J83" i="103"/>
  <c r="J73" i="103"/>
  <c r="J57" i="103"/>
  <c r="J33" i="103"/>
  <c r="J29" i="103"/>
  <c r="J84" i="103"/>
  <c r="J74" i="103"/>
  <c r="J68" i="103"/>
  <c r="J58" i="103"/>
  <c r="J79" i="103"/>
  <c r="J75" i="103"/>
  <c r="J69" i="103"/>
  <c r="J59" i="103"/>
  <c r="J47" i="103"/>
  <c r="J43" i="103"/>
  <c r="J39" i="103"/>
  <c r="J86" i="103"/>
  <c r="J70" i="103"/>
  <c r="J60" i="103"/>
  <c r="J48" i="103"/>
  <c r="J34" i="103"/>
  <c r="J30" i="103"/>
  <c r="J61" i="103"/>
  <c r="J49" i="103"/>
  <c r="J21" i="103"/>
  <c r="J90" i="103"/>
  <c r="J80" i="103"/>
  <c r="J76" i="103"/>
  <c r="J62" i="103"/>
  <c r="J50" i="103"/>
  <c r="J44" i="103"/>
  <c r="J40" i="103"/>
  <c r="J71" i="103"/>
  <c r="J64" i="103"/>
  <c r="J52" i="103"/>
  <c r="J81" i="103"/>
  <c r="J77" i="103"/>
  <c r="J65" i="103"/>
  <c r="J53" i="103"/>
  <c r="J45" i="103"/>
  <c r="J41" i="103"/>
  <c r="J72" i="103"/>
  <c r="J66" i="103"/>
  <c r="J54" i="103"/>
  <c r="J26" i="103"/>
  <c r="J28" i="103"/>
  <c r="V55" i="103"/>
  <c r="N62" i="103"/>
  <c r="R85" i="105"/>
  <c r="R70" i="105"/>
  <c r="R69" i="105"/>
  <c r="R62" i="105"/>
  <c r="R61" i="105"/>
  <c r="R80" i="105"/>
  <c r="R76" i="105"/>
  <c r="R71" i="105"/>
  <c r="R64" i="105"/>
  <c r="R63" i="105"/>
  <c r="R87" i="105"/>
  <c r="R86" i="105"/>
  <c r="R81" i="105"/>
  <c r="R77" i="105"/>
  <c r="R66" i="105"/>
  <c r="R65" i="105"/>
  <c r="R90" i="105"/>
  <c r="R67" i="105"/>
  <c r="R82" i="105"/>
  <c r="R78" i="105"/>
  <c r="R94" i="105"/>
  <c r="R68" i="105"/>
  <c r="R84" i="105"/>
  <c r="R83" i="105"/>
  <c r="R79" i="105"/>
  <c r="R75" i="105"/>
  <c r="R37" i="105"/>
  <c r="R36" i="105"/>
  <c r="R32" i="105"/>
  <c r="R28" i="105"/>
  <c r="X12" i="105"/>
  <c r="R88" i="105"/>
  <c r="R59" i="105"/>
  <c r="R55" i="105"/>
  <c r="R19" i="105"/>
  <c r="R56" i="105"/>
  <c r="R46" i="105"/>
  <c r="R42" i="105"/>
  <c r="R38" i="105"/>
  <c r="R33" i="105"/>
  <c r="R29" i="105"/>
  <c r="R60" i="105"/>
  <c r="R20" i="105"/>
  <c r="R48" i="105"/>
  <c r="R47" i="105"/>
  <c r="R43" i="105"/>
  <c r="R39" i="105"/>
  <c r="R73" i="105"/>
  <c r="R34" i="105"/>
  <c r="R30" i="105"/>
  <c r="R57" i="105"/>
  <c r="R50" i="105"/>
  <c r="R49" i="105"/>
  <c r="R26" i="105"/>
  <c r="R21" i="105"/>
  <c r="R44" i="105"/>
  <c r="R40" i="105"/>
  <c r="R25" i="105"/>
  <c r="R58" i="105"/>
  <c r="R52" i="105"/>
  <c r="R51" i="105"/>
  <c r="R35" i="105"/>
  <c r="R31" i="105"/>
  <c r="R27" i="105"/>
  <c r="P23" i="105"/>
  <c r="R74" i="105"/>
  <c r="R72" i="105"/>
  <c r="R54" i="105"/>
  <c r="R53" i="105"/>
  <c r="R45" i="105"/>
  <c r="R41" i="105"/>
  <c r="R18" i="105"/>
  <c r="J33" i="99"/>
  <c r="J37" i="99"/>
  <c r="J45" i="99"/>
  <c r="L12" i="100"/>
  <c r="P16" i="100"/>
  <c r="T16" i="101"/>
  <c r="R19" i="101"/>
  <c r="F22" i="101"/>
  <c r="V25" i="101"/>
  <c r="F29" i="101"/>
  <c r="F30" i="101"/>
  <c r="J31" i="101"/>
  <c r="D16" i="102"/>
  <c r="J21" i="102"/>
  <c r="R22" i="102"/>
  <c r="J25" i="102"/>
  <c r="R26" i="102"/>
  <c r="F29" i="102"/>
  <c r="F30" i="102"/>
  <c r="F34" i="102"/>
  <c r="F38" i="102"/>
  <c r="V41" i="102"/>
  <c r="J45" i="102"/>
  <c r="F51" i="102"/>
  <c r="J52" i="102"/>
  <c r="J63" i="102"/>
  <c r="R84" i="103"/>
  <c r="R69" i="103"/>
  <c r="R68" i="103"/>
  <c r="R20" i="103"/>
  <c r="R86" i="103"/>
  <c r="R79" i="103"/>
  <c r="R75" i="103"/>
  <c r="R70" i="103"/>
  <c r="R34" i="103"/>
  <c r="R30" i="103"/>
  <c r="R62" i="103"/>
  <c r="R61" i="103"/>
  <c r="R90" i="103"/>
  <c r="R80" i="103"/>
  <c r="R76" i="103"/>
  <c r="R44" i="103"/>
  <c r="R40" i="103"/>
  <c r="R25" i="103"/>
  <c r="R71" i="103"/>
  <c r="R64" i="103"/>
  <c r="R63" i="103"/>
  <c r="R52" i="103"/>
  <c r="R51" i="103"/>
  <c r="R35" i="103"/>
  <c r="R31" i="103"/>
  <c r="R27" i="103"/>
  <c r="R81" i="103"/>
  <c r="R77" i="103"/>
  <c r="R66" i="103"/>
  <c r="R65" i="103"/>
  <c r="R54" i="103"/>
  <c r="R53" i="103"/>
  <c r="R45" i="103"/>
  <c r="R41" i="103"/>
  <c r="R72" i="103"/>
  <c r="R67" i="103"/>
  <c r="R56" i="103"/>
  <c r="R55" i="103"/>
  <c r="R83" i="103"/>
  <c r="R82" i="103"/>
  <c r="R78" i="103"/>
  <c r="R46" i="103"/>
  <c r="R42" i="103"/>
  <c r="R38" i="103"/>
  <c r="R74" i="103"/>
  <c r="R73" i="103"/>
  <c r="R58" i="103"/>
  <c r="R57" i="103"/>
  <c r="R18" i="103"/>
  <c r="N25" i="103"/>
  <c r="R26" i="103"/>
  <c r="J32" i="103"/>
  <c r="Z37" i="103"/>
  <c r="J42" i="103"/>
  <c r="N50" i="103"/>
  <c r="Z83" i="103"/>
  <c r="J28" i="99"/>
  <c r="J44" i="99"/>
  <c r="J58" i="99"/>
  <c r="R14" i="100"/>
  <c r="R16" i="100"/>
  <c r="R18" i="100"/>
  <c r="R34" i="100"/>
  <c r="R37" i="100"/>
  <c r="V14" i="101"/>
  <c r="V16" i="101"/>
  <c r="V18" i="101"/>
  <c r="J22" i="101"/>
  <c r="R23" i="101"/>
  <c r="J30" i="101"/>
  <c r="R34" i="101"/>
  <c r="R36" i="101"/>
  <c r="F14" i="102"/>
  <c r="F16" i="102"/>
  <c r="F18" i="102"/>
  <c r="V22" i="102"/>
  <c r="V26" i="102"/>
  <c r="J30" i="102"/>
  <c r="R31" i="102"/>
  <c r="J34" i="102"/>
  <c r="R35" i="102"/>
  <c r="J38" i="102"/>
  <c r="R39" i="102"/>
  <c r="R40" i="102"/>
  <c r="V42" i="102"/>
  <c r="R47" i="102"/>
  <c r="R56" i="102"/>
  <c r="F60" i="102"/>
  <c r="V79" i="103"/>
  <c r="V75" i="103"/>
  <c r="V59" i="103"/>
  <c r="V47" i="103"/>
  <c r="V43" i="103"/>
  <c r="V39" i="103"/>
  <c r="V70" i="103"/>
  <c r="V62" i="103"/>
  <c r="V61" i="103"/>
  <c r="V49" i="103"/>
  <c r="V25" i="103"/>
  <c r="V23" i="103"/>
  <c r="V21" i="103"/>
  <c r="V90" i="103"/>
  <c r="V80" i="103"/>
  <c r="V76" i="103"/>
  <c r="V64" i="103"/>
  <c r="V71" i="103"/>
  <c r="V63" i="103"/>
  <c r="V51" i="103"/>
  <c r="V35" i="103"/>
  <c r="V31" i="103"/>
  <c r="V27" i="103"/>
  <c r="V66" i="103"/>
  <c r="V54" i="103"/>
  <c r="V81" i="103"/>
  <c r="V77" i="103"/>
  <c r="V65" i="103"/>
  <c r="V53" i="103"/>
  <c r="V45" i="103"/>
  <c r="V41" i="103"/>
  <c r="V37" i="103"/>
  <c r="V72" i="103"/>
  <c r="V56" i="103"/>
  <c r="V36" i="103"/>
  <c r="V32" i="103"/>
  <c r="V83" i="103"/>
  <c r="V82" i="103"/>
  <c r="V78" i="103"/>
  <c r="V74" i="103"/>
  <c r="V58" i="103"/>
  <c r="V46" i="103"/>
  <c r="V42" i="103"/>
  <c r="V38" i="103"/>
  <c r="V73" i="103"/>
  <c r="V69" i="103"/>
  <c r="V57" i="103"/>
  <c r="V86" i="103"/>
  <c r="V84" i="103"/>
  <c r="V68" i="103"/>
  <c r="V60" i="103"/>
  <c r="V48" i="103"/>
  <c r="J20" i="103"/>
  <c r="J25" i="103"/>
  <c r="R28" i="103"/>
  <c r="J36" i="103"/>
  <c r="J23" i="99"/>
  <c r="J27" i="99"/>
  <c r="J43" i="99"/>
  <c r="R19" i="100"/>
  <c r="V21" i="100"/>
  <c r="F25" i="100"/>
  <c r="F26" i="100"/>
  <c r="R32" i="100"/>
  <c r="X12" i="101"/>
  <c r="V19" i="101"/>
  <c r="V23" i="101"/>
  <c r="F27" i="101"/>
  <c r="F28" i="101"/>
  <c r="J29" i="101"/>
  <c r="R32" i="101"/>
  <c r="H16" i="102"/>
  <c r="F19" i="102"/>
  <c r="F20" i="102"/>
  <c r="F24" i="102"/>
  <c r="F28" i="102"/>
  <c r="J29" i="102"/>
  <c r="V31" i="102"/>
  <c r="V35" i="102"/>
  <c r="V39" i="102"/>
  <c r="F44" i="102"/>
  <c r="V47" i="102"/>
  <c r="F50" i="102"/>
  <c r="J51" i="102"/>
  <c r="R54" i="102"/>
  <c r="J60" i="102"/>
  <c r="X12" i="103"/>
  <c r="V18" i="103"/>
  <c r="V26" i="103"/>
  <c r="V28" i="103"/>
  <c r="J38" i="103"/>
  <c r="R50" i="103"/>
  <c r="R60" i="103"/>
  <c r="J63" i="103"/>
  <c r="H96" i="105"/>
  <c r="J96" i="105" s="1"/>
  <c r="Z70" i="105"/>
  <c r="N12" i="99"/>
  <c r="J32" i="99"/>
  <c r="J36" i="99"/>
  <c r="D51" i="99"/>
  <c r="L51" i="99" s="1"/>
  <c r="N51" i="99" s="1"/>
  <c r="J56" i="99"/>
  <c r="V14" i="100"/>
  <c r="V16" i="100"/>
  <c r="V18" i="100"/>
  <c r="V32" i="100"/>
  <c r="V34" i="100"/>
  <c r="V37" i="100"/>
  <c r="Z12" i="101"/>
  <c r="F21" i="101"/>
  <c r="J28" i="101"/>
  <c r="V32" i="101"/>
  <c r="V34" i="101"/>
  <c r="V36" i="101"/>
  <c r="F40" i="101"/>
  <c r="F43" i="101"/>
  <c r="J14" i="102"/>
  <c r="J16" i="102"/>
  <c r="J18" i="102"/>
  <c r="J20" i="102"/>
  <c r="R21" i="102"/>
  <c r="J24" i="102"/>
  <c r="R25" i="102"/>
  <c r="J28" i="102"/>
  <c r="F33" i="102"/>
  <c r="F37" i="102"/>
  <c r="V40" i="102"/>
  <c r="J44" i="102"/>
  <c r="R45" i="102"/>
  <c r="R46" i="102"/>
  <c r="F49" i="102"/>
  <c r="J50" i="102"/>
  <c r="R52" i="102"/>
  <c r="V56" i="102"/>
  <c r="R63" i="102"/>
  <c r="Z12" i="103"/>
  <c r="V30" i="103"/>
  <c r="R32" i="103"/>
  <c r="R36" i="103"/>
  <c r="V40" i="103"/>
  <c r="V44" i="103"/>
  <c r="R48" i="103"/>
  <c r="V52" i="103"/>
  <c r="J54" i="99"/>
  <c r="F23" i="100"/>
  <c r="F24" i="100"/>
  <c r="D16" i="101"/>
  <c r="R22" i="101"/>
  <c r="F25" i="101"/>
  <c r="F26" i="101"/>
  <c r="R30" i="101"/>
  <c r="R31" i="101"/>
  <c r="R30" i="102"/>
  <c r="R34" i="102"/>
  <c r="R38" i="102"/>
  <c r="V45" i="102"/>
  <c r="V52" i="102"/>
  <c r="V54" i="102"/>
  <c r="H23" i="103"/>
  <c r="V50" i="103"/>
  <c r="J56" i="103"/>
  <c r="J26" i="99"/>
  <c r="J42" i="99"/>
  <c r="J53" i="99"/>
  <c r="R28" i="100"/>
  <c r="F14" i="101"/>
  <c r="F16" i="101"/>
  <c r="F18" i="101"/>
  <c r="V22" i="101"/>
  <c r="J26" i="101"/>
  <c r="V30" i="101"/>
  <c r="J40" i="101"/>
  <c r="J43" i="101"/>
  <c r="F23" i="102"/>
  <c r="F27" i="102"/>
  <c r="V30" i="102"/>
  <c r="V34" i="102"/>
  <c r="V38" i="102"/>
  <c r="F42" i="102"/>
  <c r="F43" i="102"/>
  <c r="V46" i="102"/>
  <c r="J49" i="102"/>
  <c r="J58" i="102"/>
  <c r="R60" i="102"/>
  <c r="V63" i="102"/>
  <c r="D12" i="103"/>
  <c r="L13" i="103"/>
  <c r="J23" i="103"/>
  <c r="X25" i="103"/>
  <c r="Z25" i="103" s="1"/>
  <c r="V34" i="103"/>
  <c r="X56" i="103"/>
  <c r="J41" i="99"/>
  <c r="J51" i="99"/>
  <c r="J52" i="99"/>
  <c r="D16" i="100"/>
  <c r="F21" i="100"/>
  <c r="F22" i="100"/>
  <c r="F19" i="101"/>
  <c r="F20" i="101"/>
  <c r="F24" i="101"/>
  <c r="J25" i="101"/>
  <c r="R28" i="101"/>
  <c r="R29" i="101"/>
  <c r="V31" i="101"/>
  <c r="F38" i="101"/>
  <c r="L12" i="102"/>
  <c r="P16" i="102"/>
  <c r="R20" i="102"/>
  <c r="R24" i="102"/>
  <c r="R28" i="102"/>
  <c r="R29" i="102"/>
  <c r="F32" i="102"/>
  <c r="F36" i="102"/>
  <c r="J43" i="102"/>
  <c r="R44" i="102"/>
  <c r="X46" i="102"/>
  <c r="Z46" i="102" s="1"/>
  <c r="F48" i="102"/>
  <c r="L49" i="102"/>
  <c r="N49" i="102" s="1"/>
  <c r="R50" i="102"/>
  <c r="R51" i="102"/>
  <c r="J27" i="103"/>
  <c r="J51" i="103"/>
  <c r="Z56" i="103"/>
  <c r="F14" i="100"/>
  <c r="F16" i="100"/>
  <c r="F18" i="100"/>
  <c r="V26" i="100"/>
  <c r="V28" i="100"/>
  <c r="F34" i="100"/>
  <c r="J14" i="101"/>
  <c r="J16" i="101"/>
  <c r="J18" i="101"/>
  <c r="J20" i="101"/>
  <c r="J24" i="101"/>
  <c r="F34" i="101"/>
  <c r="N12" i="102"/>
  <c r="R14" i="102"/>
  <c r="R16" i="102"/>
  <c r="R18" i="102"/>
  <c r="V20" i="102"/>
  <c r="V24" i="102"/>
  <c r="V28" i="102"/>
  <c r="J32" i="102"/>
  <c r="R33" i="102"/>
  <c r="J36" i="102"/>
  <c r="R37" i="102"/>
  <c r="F40" i="102"/>
  <c r="F41" i="102"/>
  <c r="J42" i="102"/>
  <c r="V44" i="102"/>
  <c r="V50" i="102"/>
  <c r="F56" i="102"/>
  <c r="V60" i="102"/>
  <c r="P23" i="103"/>
  <c r="L26" i="103"/>
  <c r="N26" i="103" s="1"/>
  <c r="R47" i="103"/>
  <c r="H24" i="104"/>
  <c r="N16" i="104"/>
  <c r="F90" i="105"/>
  <c r="F73" i="105"/>
  <c r="F57" i="105"/>
  <c r="F56" i="105"/>
  <c r="F94" i="105"/>
  <c r="F68" i="105"/>
  <c r="F83" i="105"/>
  <c r="F79" i="105"/>
  <c r="F75" i="105"/>
  <c r="F74" i="105"/>
  <c r="F59" i="105"/>
  <c r="F58" i="105"/>
  <c r="F85" i="105"/>
  <c r="F84" i="105"/>
  <c r="F69" i="105"/>
  <c r="F61" i="105"/>
  <c r="F60" i="105"/>
  <c r="F71" i="105"/>
  <c r="F70" i="105"/>
  <c r="F86" i="105"/>
  <c r="F81" i="105"/>
  <c r="F88" i="105"/>
  <c r="F87" i="105"/>
  <c r="F72" i="105"/>
  <c r="F44" i="105"/>
  <c r="F40" i="105"/>
  <c r="F65" i="105"/>
  <c r="F51" i="105"/>
  <c r="F50" i="105"/>
  <c r="F35" i="105"/>
  <c r="F31" i="105"/>
  <c r="F27" i="105"/>
  <c r="F26" i="105"/>
  <c r="F76" i="105"/>
  <c r="F62" i="105"/>
  <c r="F25" i="105"/>
  <c r="F53" i="105"/>
  <c r="F52" i="105"/>
  <c r="F45" i="105"/>
  <c r="F41" i="105"/>
  <c r="D23" i="105"/>
  <c r="F78" i="105"/>
  <c r="F66" i="105"/>
  <c r="F36" i="105"/>
  <c r="F32" i="105"/>
  <c r="F28" i="105"/>
  <c r="L12" i="105"/>
  <c r="N12" i="105" s="1"/>
  <c r="F55" i="105"/>
  <c r="F54" i="105"/>
  <c r="F19" i="105"/>
  <c r="F18" i="105"/>
  <c r="F80" i="105"/>
  <c r="F63" i="105"/>
  <c r="F46" i="105"/>
  <c r="F42" i="105"/>
  <c r="F38" i="105"/>
  <c r="F37" i="105"/>
  <c r="F33" i="105"/>
  <c r="F29" i="105"/>
  <c r="F20" i="105"/>
  <c r="F82" i="105"/>
  <c r="F67" i="105"/>
  <c r="F47" i="105"/>
  <c r="F43" i="105"/>
  <c r="F39" i="105"/>
  <c r="F77" i="105"/>
  <c r="F64" i="105"/>
  <c r="F34" i="105"/>
  <c r="F30" i="105"/>
  <c r="F49" i="105"/>
  <c r="F48" i="105"/>
  <c r="F21" i="105"/>
  <c r="Z12" i="105"/>
  <c r="V28" i="105"/>
  <c r="V32" i="105"/>
  <c r="V36" i="105"/>
  <c r="J40" i="105"/>
  <c r="J44" i="105"/>
  <c r="J50" i="105"/>
  <c r="J19" i="104"/>
  <c r="J21" i="105"/>
  <c r="V37" i="105"/>
  <c r="V41" i="105"/>
  <c r="V45" i="105"/>
  <c r="J49" i="105"/>
  <c r="V53" i="105"/>
  <c r="J57" i="105"/>
  <c r="J61" i="105"/>
  <c r="V70" i="105"/>
  <c r="Z16" i="107"/>
  <c r="Z46" i="107"/>
  <c r="N62" i="107"/>
  <c r="Z64" i="107"/>
  <c r="V18" i="105"/>
  <c r="J30" i="105"/>
  <c r="J34" i="105"/>
  <c r="J48" i="105"/>
  <c r="V54" i="105"/>
  <c r="V62" i="105"/>
  <c r="N64" i="105"/>
  <c r="V65" i="105"/>
  <c r="J69" i="105"/>
  <c r="Z74" i="105"/>
  <c r="X90" i="105"/>
  <c r="Z44" i="107"/>
  <c r="P16" i="104"/>
  <c r="V27" i="105"/>
  <c r="V31" i="105"/>
  <c r="V35" i="105"/>
  <c r="J39" i="105"/>
  <c r="J43" i="105"/>
  <c r="J47" i="105"/>
  <c r="V51" i="105"/>
  <c r="Z58" i="105"/>
  <c r="J64" i="105"/>
  <c r="J73" i="105"/>
  <c r="F28" i="104"/>
  <c r="F31" i="104"/>
  <c r="T23" i="105"/>
  <c r="V40" i="105"/>
  <c r="V44" i="105"/>
  <c r="V52" i="105"/>
  <c r="V58" i="105"/>
  <c r="N60" i="105"/>
  <c r="V61" i="105"/>
  <c r="L64" i="105"/>
  <c r="J71" i="105"/>
  <c r="T16" i="104"/>
  <c r="R19" i="104"/>
  <c r="V21" i="105"/>
  <c r="V25" i="105"/>
  <c r="J29" i="105"/>
  <c r="J33" i="105"/>
  <c r="V49" i="105"/>
  <c r="V57" i="105"/>
  <c r="V67" i="105"/>
  <c r="V69" i="105"/>
  <c r="N78" i="107"/>
  <c r="V14" i="104"/>
  <c r="V16" i="104"/>
  <c r="V18" i="104"/>
  <c r="J28" i="104"/>
  <c r="J31" i="104"/>
  <c r="J94" i="105"/>
  <c r="J74" i="105"/>
  <c r="J68" i="105"/>
  <c r="J58" i="105"/>
  <c r="J83" i="105"/>
  <c r="J79" i="105"/>
  <c r="J75" i="105"/>
  <c r="J84" i="105"/>
  <c r="J60" i="105"/>
  <c r="J85" i="105"/>
  <c r="J80" i="105"/>
  <c r="J76" i="105"/>
  <c r="J70" i="105"/>
  <c r="J62" i="105"/>
  <c r="J86" i="105"/>
  <c r="J87" i="105"/>
  <c r="J81" i="105"/>
  <c r="J77" i="105"/>
  <c r="J88" i="105"/>
  <c r="J67" i="105"/>
  <c r="J90" i="105"/>
  <c r="J82" i="105"/>
  <c r="J78" i="105"/>
  <c r="V26" i="105"/>
  <c r="V30" i="105"/>
  <c r="V34" i="105"/>
  <c r="J38" i="105"/>
  <c r="J42" i="105"/>
  <c r="J46" i="105"/>
  <c r="V50" i="105"/>
  <c r="J63" i="105"/>
  <c r="V85" i="105"/>
  <c r="N22" i="107"/>
  <c r="X12" i="104"/>
  <c r="F26" i="104"/>
  <c r="J19" i="105"/>
  <c r="J37" i="105"/>
  <c r="V39" i="105"/>
  <c r="V43" i="105"/>
  <c r="V47" i="105"/>
  <c r="J55" i="105"/>
  <c r="J59" i="105"/>
  <c r="N52" i="107"/>
  <c r="Z78" i="107"/>
  <c r="N81" i="107"/>
  <c r="V20" i="105"/>
  <c r="J28" i="105"/>
  <c r="J32" i="105"/>
  <c r="J36" i="105"/>
  <c r="V48" i="105"/>
  <c r="J54" i="105"/>
  <c r="D16" i="104"/>
  <c r="V29" i="105"/>
  <c r="V33" i="105"/>
  <c r="J41" i="105"/>
  <c r="J45" i="105"/>
  <c r="J53" i="105"/>
  <c r="J66" i="105"/>
  <c r="N70" i="105"/>
  <c r="N50" i="107"/>
  <c r="V80" i="105"/>
  <c r="V76" i="105"/>
  <c r="V64" i="105"/>
  <c r="V87" i="105"/>
  <c r="V71" i="105"/>
  <c r="V63" i="105"/>
  <c r="V86" i="105"/>
  <c r="V66" i="105"/>
  <c r="V81" i="105"/>
  <c r="V77" i="105"/>
  <c r="V90" i="105"/>
  <c r="V88" i="105"/>
  <c r="V72" i="105"/>
  <c r="V56" i="105"/>
  <c r="V82" i="105"/>
  <c r="V78" i="105"/>
  <c r="V74" i="105"/>
  <c r="V73" i="105"/>
  <c r="V94" i="105"/>
  <c r="V84" i="105"/>
  <c r="V83" i="105"/>
  <c r="V79" i="105"/>
  <c r="V75" i="105"/>
  <c r="V38" i="105"/>
  <c r="V42" i="105"/>
  <c r="V46" i="105"/>
  <c r="J52" i="105"/>
  <c r="Z56" i="105"/>
  <c r="N62" i="105"/>
  <c r="J72" i="105"/>
  <c r="F19" i="104"/>
  <c r="V19" i="105"/>
  <c r="J23" i="105"/>
  <c r="J25" i="105"/>
  <c r="J27" i="105"/>
  <c r="J31" i="105"/>
  <c r="J35" i="105"/>
  <c r="J51" i="105"/>
  <c r="V55" i="105"/>
  <c r="V59" i="105"/>
  <c r="J65" i="105"/>
  <c r="X66" i="105"/>
  <c r="Z66" i="105" s="1"/>
  <c r="V68" i="105"/>
  <c r="X70" i="105"/>
  <c r="N46" i="107"/>
  <c r="Z50" i="107"/>
  <c r="N64" i="107"/>
  <c r="J79" i="107"/>
  <c r="R80" i="107"/>
  <c r="R81" i="107"/>
  <c r="R26" i="108"/>
  <c r="X12" i="108"/>
  <c r="Z31" i="109"/>
  <c r="X31" i="109"/>
  <c r="J22" i="107"/>
  <c r="V32" i="107"/>
  <c r="J36" i="107"/>
  <c r="R37" i="107"/>
  <c r="J40" i="107"/>
  <c r="R41" i="107"/>
  <c r="J46" i="107"/>
  <c r="R49" i="107"/>
  <c r="R50" i="107"/>
  <c r="V52" i="107"/>
  <c r="J58" i="107"/>
  <c r="R61" i="107"/>
  <c r="R62" i="107"/>
  <c r="V64" i="107"/>
  <c r="J68" i="107"/>
  <c r="R69" i="107"/>
  <c r="R70" i="107"/>
  <c r="J78" i="107"/>
  <c r="V80" i="107"/>
  <c r="R18" i="108"/>
  <c r="D20" i="108"/>
  <c r="L20" i="108" s="1"/>
  <c r="L21" i="108"/>
  <c r="R22" i="108"/>
  <c r="R31" i="108"/>
  <c r="R58" i="109"/>
  <c r="R31" i="109"/>
  <c r="R30" i="109"/>
  <c r="R26" i="109"/>
  <c r="R22" i="109"/>
  <c r="X12" i="109"/>
  <c r="R49" i="109"/>
  <c r="R65" i="109"/>
  <c r="R64" i="109"/>
  <c r="R40" i="109"/>
  <c r="R36" i="109"/>
  <c r="R32" i="109"/>
  <c r="R59" i="109"/>
  <c r="R27" i="109"/>
  <c r="R23" i="109"/>
  <c r="R66" i="109"/>
  <c r="R51" i="109"/>
  <c r="R50" i="109"/>
  <c r="R69" i="109"/>
  <c r="R68" i="109"/>
  <c r="R42" i="109"/>
  <c r="R41" i="109"/>
  <c r="R37" i="109"/>
  <c r="R33" i="109"/>
  <c r="R60" i="109"/>
  <c r="R53" i="109"/>
  <c r="R52" i="109"/>
  <c r="R28" i="109"/>
  <c r="R24" i="109"/>
  <c r="R55" i="109"/>
  <c r="R54" i="109"/>
  <c r="R38" i="109"/>
  <c r="R34" i="109"/>
  <c r="R19" i="109"/>
  <c r="R17" i="109"/>
  <c r="R15" i="109"/>
  <c r="R73" i="109"/>
  <c r="R62" i="109"/>
  <c r="R61" i="109"/>
  <c r="R46" i="109"/>
  <c r="R45" i="109"/>
  <c r="R29" i="109"/>
  <c r="R25" i="109"/>
  <c r="R21" i="109"/>
  <c r="R57" i="109"/>
  <c r="R56" i="109"/>
  <c r="V34" i="109"/>
  <c r="Z42" i="109"/>
  <c r="V46" i="109"/>
  <c r="R48" i="109"/>
  <c r="N53" i="109"/>
  <c r="L53" i="109"/>
  <c r="D12" i="107"/>
  <c r="J17" i="107"/>
  <c r="V33" i="107"/>
  <c r="V37" i="107"/>
  <c r="V41" i="107"/>
  <c r="J45" i="107"/>
  <c r="V49" i="107"/>
  <c r="X52" i="107"/>
  <c r="Z52" i="107" s="1"/>
  <c r="J57" i="107"/>
  <c r="V61" i="107"/>
  <c r="V69" i="107"/>
  <c r="J73" i="107"/>
  <c r="R74" i="107"/>
  <c r="J77" i="107"/>
  <c r="V81" i="107"/>
  <c r="R44" i="109"/>
  <c r="Z55" i="109"/>
  <c r="J16" i="107"/>
  <c r="P19" i="107"/>
  <c r="R23" i="107"/>
  <c r="J26" i="107"/>
  <c r="R27" i="107"/>
  <c r="J30" i="107"/>
  <c r="R31" i="107"/>
  <c r="J44" i="107"/>
  <c r="R47" i="107"/>
  <c r="R48" i="107"/>
  <c r="V50" i="107"/>
  <c r="J56" i="107"/>
  <c r="R59" i="107"/>
  <c r="R60" i="107"/>
  <c r="V62" i="107"/>
  <c r="V70" i="107"/>
  <c r="V74" i="107"/>
  <c r="R79" i="107"/>
  <c r="X81" i="107"/>
  <c r="Z81" i="107" s="1"/>
  <c r="J88" i="107"/>
  <c r="X19" i="109"/>
  <c r="R19" i="107"/>
  <c r="R21" i="107"/>
  <c r="J35" i="107"/>
  <c r="R36" i="107"/>
  <c r="J39" i="107"/>
  <c r="R40" i="107"/>
  <c r="J43" i="107"/>
  <c r="V47" i="107"/>
  <c r="J55" i="107"/>
  <c r="V59" i="107"/>
  <c r="J67" i="107"/>
  <c r="R68" i="107"/>
  <c r="V79" i="107"/>
  <c r="P16" i="108"/>
  <c r="Z19" i="109"/>
  <c r="V58" i="109"/>
  <c r="N65" i="109"/>
  <c r="R17" i="107"/>
  <c r="T19" i="107"/>
  <c r="R22" i="107"/>
  <c r="V36" i="107"/>
  <c r="V40" i="107"/>
  <c r="R45" i="107"/>
  <c r="R46" i="107"/>
  <c r="V48" i="107"/>
  <c r="J54" i="107"/>
  <c r="R57" i="107"/>
  <c r="R58" i="107"/>
  <c r="V60" i="107"/>
  <c r="J66" i="107"/>
  <c r="V68" i="107"/>
  <c r="J72" i="107"/>
  <c r="R73" i="107"/>
  <c r="J76" i="107"/>
  <c r="R77" i="107"/>
  <c r="R78" i="107"/>
  <c r="J84" i="107"/>
  <c r="R90" i="107"/>
  <c r="R16" i="108"/>
  <c r="R21" i="108"/>
  <c r="X15" i="109"/>
  <c r="R39" i="109"/>
  <c r="D68" i="109"/>
  <c r="L68" i="109" s="1"/>
  <c r="N68" i="109" s="1"/>
  <c r="L69" i="109"/>
  <c r="N69" i="109" s="1"/>
  <c r="J25" i="107"/>
  <c r="R26" i="107"/>
  <c r="J29" i="107"/>
  <c r="R30" i="107"/>
  <c r="J53" i="107"/>
  <c r="V57" i="107"/>
  <c r="J65" i="107"/>
  <c r="V73" i="107"/>
  <c r="V77" i="107"/>
  <c r="L84" i="107"/>
  <c r="R88" i="107"/>
  <c r="V22" i="109"/>
  <c r="R43" i="109"/>
  <c r="R47" i="109"/>
  <c r="R16" i="107"/>
  <c r="V22" i="107"/>
  <c r="V26" i="107"/>
  <c r="V30" i="107"/>
  <c r="J34" i="107"/>
  <c r="R35" i="107"/>
  <c r="J38" i="107"/>
  <c r="R39" i="107"/>
  <c r="J42" i="107"/>
  <c r="R43" i="107"/>
  <c r="R44" i="107"/>
  <c r="V46" i="107"/>
  <c r="J52" i="107"/>
  <c r="R55" i="107"/>
  <c r="R56" i="107"/>
  <c r="V58" i="107"/>
  <c r="J64" i="107"/>
  <c r="R67" i="107"/>
  <c r="V78" i="107"/>
  <c r="J82" i="107"/>
  <c r="V88" i="107"/>
  <c r="R24" i="108"/>
  <c r="R28" i="108"/>
  <c r="N20" i="109"/>
  <c r="R35" i="109"/>
  <c r="R63" i="109"/>
  <c r="X12" i="107"/>
  <c r="Z12" i="107" s="1"/>
  <c r="J33" i="107"/>
  <c r="V39" i="107"/>
  <c r="V43" i="107"/>
  <c r="J51" i="107"/>
  <c r="V55" i="107"/>
  <c r="J63" i="107"/>
  <c r="V67" i="107"/>
  <c r="J71" i="107"/>
  <c r="R72" i="107"/>
  <c r="J75" i="107"/>
  <c r="R76" i="107"/>
  <c r="J81" i="107"/>
  <c r="P20" i="108"/>
  <c r="X20" i="108" s="1"/>
  <c r="T28" i="108"/>
  <c r="Z24" i="108"/>
  <c r="V65" i="109"/>
  <c r="V49" i="109"/>
  <c r="V64" i="109"/>
  <c r="V40" i="109"/>
  <c r="V36" i="109"/>
  <c r="V32" i="109"/>
  <c r="V59" i="109"/>
  <c r="V51" i="109"/>
  <c r="V27" i="109"/>
  <c r="V23" i="109"/>
  <c r="V68" i="109"/>
  <c r="V66" i="109"/>
  <c r="V50" i="109"/>
  <c r="V42" i="109"/>
  <c r="V69" i="109"/>
  <c r="V53" i="109"/>
  <c r="V41" i="109"/>
  <c r="V37" i="109"/>
  <c r="V33" i="109"/>
  <c r="V60" i="109"/>
  <c r="V52" i="109"/>
  <c r="V44" i="109"/>
  <c r="V28" i="109"/>
  <c r="V24" i="109"/>
  <c r="V20" i="109"/>
  <c r="V55" i="109"/>
  <c r="V43" i="109"/>
  <c r="V19" i="109"/>
  <c r="V15" i="109"/>
  <c r="V62" i="109"/>
  <c r="V54" i="109"/>
  <c r="V73" i="109"/>
  <c r="V61" i="109"/>
  <c r="V57" i="109"/>
  <c r="V45" i="109"/>
  <c r="V29" i="109"/>
  <c r="V25" i="109"/>
  <c r="V21" i="109"/>
  <c r="V56" i="109"/>
  <c r="V48" i="109"/>
  <c r="V63" i="109"/>
  <c r="V47" i="109"/>
  <c r="V39" i="109"/>
  <c r="V35" i="109"/>
  <c r="V31" i="109"/>
  <c r="H17" i="109"/>
  <c r="V16" i="107"/>
  <c r="J24" i="107"/>
  <c r="R25" i="107"/>
  <c r="J28" i="107"/>
  <c r="R29" i="107"/>
  <c r="J32" i="107"/>
  <c r="V44" i="107"/>
  <c r="J50" i="107"/>
  <c r="R53" i="107"/>
  <c r="R54" i="107"/>
  <c r="V56" i="107"/>
  <c r="J62" i="107"/>
  <c r="R65" i="107"/>
  <c r="R66" i="107"/>
  <c r="J70" i="107"/>
  <c r="V72" i="107"/>
  <c r="V76" i="107"/>
  <c r="J80" i="107"/>
  <c r="R84" i="107"/>
  <c r="R86" i="107"/>
  <c r="J22" i="108"/>
  <c r="H16" i="108"/>
  <c r="J31" i="108"/>
  <c r="J28" i="108"/>
  <c r="R14" i="108"/>
  <c r="R20" i="108"/>
  <c r="Z12" i="109"/>
  <c r="V25" i="107"/>
  <c r="V29" i="107"/>
  <c r="R34" i="107"/>
  <c r="J37" i="107"/>
  <c r="R38" i="107"/>
  <c r="J41" i="107"/>
  <c r="R42" i="107"/>
  <c r="J49" i="107"/>
  <c r="V53" i="107"/>
  <c r="J61" i="107"/>
  <c r="V65" i="107"/>
  <c r="J69" i="107"/>
  <c r="R82" i="107"/>
  <c r="P17" i="109"/>
  <c r="R20" i="109"/>
  <c r="H19" i="107"/>
  <c r="V34" i="107"/>
  <c r="V38" i="107"/>
  <c r="V42" i="107"/>
  <c r="J48" i="107"/>
  <c r="R51" i="107"/>
  <c r="R52" i="107"/>
  <c r="V54" i="107"/>
  <c r="J60" i="107"/>
  <c r="R63" i="107"/>
  <c r="R64" i="107"/>
  <c r="V66" i="107"/>
  <c r="R71" i="107"/>
  <c r="J74" i="107"/>
  <c r="R75" i="107"/>
  <c r="V82" i="107"/>
  <c r="V84" i="107"/>
  <c r="N12" i="108"/>
  <c r="D12" i="109"/>
  <c r="L13" i="109"/>
  <c r="N13" i="109" s="1"/>
  <c r="T17" i="109"/>
  <c r="V17" i="109" s="1"/>
  <c r="Z20" i="109"/>
  <c r="V26" i="109"/>
  <c r="N48" i="109"/>
  <c r="J43" i="109"/>
  <c r="J53" i="109"/>
  <c r="J24" i="109"/>
  <c r="J28" i="109"/>
  <c r="J42" i="109"/>
  <c r="J52" i="109"/>
  <c r="J60" i="109"/>
  <c r="J68" i="109"/>
  <c r="J69" i="109"/>
  <c r="J33" i="109"/>
  <c r="J37" i="109"/>
  <c r="J41" i="109"/>
  <c r="J51" i="109"/>
  <c r="J66" i="109"/>
  <c r="V21" i="108"/>
  <c r="J23" i="109"/>
  <c r="J27" i="109"/>
  <c r="J59" i="109"/>
  <c r="J65" i="109"/>
  <c r="V14" i="108"/>
  <c r="V16" i="108"/>
  <c r="V18" i="108"/>
  <c r="X13" i="109"/>
  <c r="Z13" i="109" s="1"/>
  <c r="J32" i="109"/>
  <c r="J36" i="109"/>
  <c r="J40" i="109"/>
  <c r="J64" i="109"/>
  <c r="F26" i="108"/>
  <c r="J31" i="109"/>
  <c r="J49" i="109"/>
  <c r="J22" i="109"/>
  <c r="J26" i="109"/>
  <c r="J30" i="109"/>
  <c r="J48" i="109"/>
  <c r="J58" i="109"/>
  <c r="J35" i="109"/>
  <c r="J39" i="109"/>
  <c r="J47" i="109"/>
  <c r="J57" i="109"/>
  <c r="J63" i="109"/>
  <c r="J46" i="109"/>
  <c r="J56" i="109"/>
  <c r="J62" i="109"/>
  <c r="J15" i="109"/>
  <c r="J17" i="109"/>
  <c r="J19" i="109"/>
  <c r="J21" i="109"/>
  <c r="J25" i="109"/>
  <c r="J29" i="109"/>
  <c r="J45" i="109"/>
  <c r="J55" i="109"/>
  <c r="J61" i="109"/>
  <c r="J127" i="39" l="1"/>
  <c r="J123" i="39"/>
  <c r="T130" i="39"/>
  <c r="V130" i="39" s="1"/>
  <c r="V123" i="39"/>
  <c r="T27" i="52"/>
  <c r="Z18" i="52"/>
  <c r="X16" i="108"/>
  <c r="P24" i="108"/>
  <c r="D24" i="108"/>
  <c r="Z16" i="101"/>
  <c r="T36" i="101"/>
  <c r="T56" i="102"/>
  <c r="Z16" i="102"/>
  <c r="H23" i="98"/>
  <c r="N17" i="98"/>
  <c r="H84" i="97"/>
  <c r="N19" i="97"/>
  <c r="Z16" i="99"/>
  <c r="T56" i="99"/>
  <c r="X19" i="97"/>
  <c r="P84" i="97"/>
  <c r="Z19" i="93"/>
  <c r="T79" i="93"/>
  <c r="R75" i="87"/>
  <c r="R71" i="87"/>
  <c r="R60" i="87"/>
  <c r="R59" i="87"/>
  <c r="R93" i="87"/>
  <c r="R90" i="87"/>
  <c r="R77" i="87"/>
  <c r="R76" i="87"/>
  <c r="R72" i="87"/>
  <c r="R68" i="87"/>
  <c r="R53" i="87"/>
  <c r="R52" i="87"/>
  <c r="R44" i="87"/>
  <c r="R43" i="87"/>
  <c r="R79" i="87"/>
  <c r="R78" i="87"/>
  <c r="R73" i="87"/>
  <c r="R69" i="87"/>
  <c r="R46" i="87"/>
  <c r="R45" i="87"/>
  <c r="R82" i="87"/>
  <c r="R74" i="87"/>
  <c r="R70" i="87"/>
  <c r="R88" i="87"/>
  <c r="R56" i="87"/>
  <c r="R37" i="87"/>
  <c r="R28" i="87"/>
  <c r="R24" i="87"/>
  <c r="R67" i="87"/>
  <c r="R34" i="87"/>
  <c r="R63" i="87"/>
  <c r="R41" i="87"/>
  <c r="R38" i="87"/>
  <c r="R29" i="87"/>
  <c r="R25" i="87"/>
  <c r="R86" i="87"/>
  <c r="R57" i="87"/>
  <c r="R48" i="87"/>
  <c r="X12" i="87"/>
  <c r="R49" i="87"/>
  <c r="R42" i="87"/>
  <c r="R16" i="87"/>
  <c r="R58" i="87"/>
  <c r="R35" i="87"/>
  <c r="R31" i="87"/>
  <c r="R30" i="87"/>
  <c r="R26" i="87"/>
  <c r="R64" i="87"/>
  <c r="R61" i="87"/>
  <c r="R22" i="87"/>
  <c r="R17" i="87"/>
  <c r="R65" i="87"/>
  <c r="R54" i="87"/>
  <c r="R50" i="87"/>
  <c r="R39" i="87"/>
  <c r="R32" i="87"/>
  <c r="R21" i="87"/>
  <c r="R19" i="87"/>
  <c r="R84" i="87"/>
  <c r="R80" i="87"/>
  <c r="R55" i="87"/>
  <c r="R36" i="87"/>
  <c r="R27" i="87"/>
  <c r="R23" i="87"/>
  <c r="P19" i="87"/>
  <c r="R66" i="87"/>
  <c r="R47" i="87"/>
  <c r="R40" i="87"/>
  <c r="R33" i="87"/>
  <c r="R81" i="87"/>
  <c r="R62" i="87"/>
  <c r="R51" i="87"/>
  <c r="D70" i="80"/>
  <c r="L19" i="80"/>
  <c r="H80" i="75"/>
  <c r="J26" i="75"/>
  <c r="L16" i="63"/>
  <c r="D96" i="63"/>
  <c r="H67" i="59"/>
  <c r="N16" i="59"/>
  <c r="H73" i="58"/>
  <c r="N16" i="58"/>
  <c r="H100" i="51"/>
  <c r="R29" i="33"/>
  <c r="R64" i="33"/>
  <c r="R63" i="33"/>
  <c r="R56" i="33"/>
  <c r="R55" i="33"/>
  <c r="R47" i="33"/>
  <c r="R43" i="33"/>
  <c r="R28" i="33"/>
  <c r="R24" i="33"/>
  <c r="R82" i="33"/>
  <c r="R70" i="33"/>
  <c r="R39" i="33"/>
  <c r="R38" i="33"/>
  <c r="R34" i="33"/>
  <c r="R30" i="33"/>
  <c r="P26" i="33"/>
  <c r="R26" i="33" s="1"/>
  <c r="R66" i="33"/>
  <c r="R65" i="33"/>
  <c r="R58" i="33"/>
  <c r="R57" i="33"/>
  <c r="R48" i="33"/>
  <c r="R44" i="33"/>
  <c r="R40" i="33"/>
  <c r="R72" i="33"/>
  <c r="R71" i="33"/>
  <c r="R67" i="33"/>
  <c r="R59" i="33"/>
  <c r="R35" i="33"/>
  <c r="R31" i="33"/>
  <c r="R74" i="33"/>
  <c r="R73" i="33"/>
  <c r="R50" i="33"/>
  <c r="R49" i="33"/>
  <c r="R45" i="33"/>
  <c r="R41" i="33"/>
  <c r="R68" i="33"/>
  <c r="R61" i="33"/>
  <c r="R60" i="33"/>
  <c r="R36" i="33"/>
  <c r="R32" i="33"/>
  <c r="X12" i="33"/>
  <c r="Z12" i="33" s="1"/>
  <c r="R75" i="33"/>
  <c r="R52" i="33"/>
  <c r="R51" i="33"/>
  <c r="R78" i="33"/>
  <c r="R77" i="33"/>
  <c r="R62" i="33"/>
  <c r="R46" i="33"/>
  <c r="R42" i="33"/>
  <c r="R33" i="33"/>
  <c r="R54" i="33"/>
  <c r="R37" i="33"/>
  <c r="R69" i="33"/>
  <c r="R53" i="33"/>
  <c r="T225" i="12"/>
  <c r="F215" i="12"/>
  <c r="H27" i="53"/>
  <c r="N18" i="53"/>
  <c r="H27" i="35"/>
  <c r="N18" i="35"/>
  <c r="T27" i="35"/>
  <c r="Z18" i="35"/>
  <c r="T27" i="29"/>
  <c r="Z18" i="29"/>
  <c r="T27" i="26"/>
  <c r="Z18" i="26"/>
  <c r="Z18" i="22"/>
  <c r="T27" i="22"/>
  <c r="P27" i="22"/>
  <c r="X18" i="22"/>
  <c r="T27" i="10"/>
  <c r="Z18" i="10"/>
  <c r="X18" i="5"/>
  <c r="P27" i="5"/>
  <c r="D27" i="11"/>
  <c r="L18" i="11"/>
  <c r="F58" i="93"/>
  <c r="F50" i="93"/>
  <c r="F49" i="93"/>
  <c r="F21" i="93"/>
  <c r="F19" i="93"/>
  <c r="F69" i="93"/>
  <c r="F65" i="93"/>
  <c r="F41" i="93"/>
  <c r="F37" i="93"/>
  <c r="F79" i="93"/>
  <c r="F77" i="93"/>
  <c r="F60" i="93"/>
  <c r="F59" i="93"/>
  <c r="F52" i="93"/>
  <c r="F51" i="93"/>
  <c r="F28" i="93"/>
  <c r="F24" i="93"/>
  <c r="F81" i="93"/>
  <c r="F70" i="93"/>
  <c r="F66" i="93"/>
  <c r="F54" i="93"/>
  <c r="F53" i="93"/>
  <c r="F42" i="93"/>
  <c r="F38" i="93"/>
  <c r="F34" i="93"/>
  <c r="F61" i="93"/>
  <c r="F29" i="93"/>
  <c r="F25" i="93"/>
  <c r="F86" i="93"/>
  <c r="F83" i="93"/>
  <c r="F72" i="93"/>
  <c r="F71" i="93"/>
  <c r="F56" i="93"/>
  <c r="F55" i="93"/>
  <c r="F44" i="93"/>
  <c r="F43" i="93"/>
  <c r="L12" i="93"/>
  <c r="F67" i="93"/>
  <c r="F63" i="93"/>
  <c r="F62" i="93"/>
  <c r="F39" i="93"/>
  <c r="F35" i="93"/>
  <c r="F46" i="93"/>
  <c r="F45" i="93"/>
  <c r="F30" i="93"/>
  <c r="F26" i="93"/>
  <c r="F73" i="93"/>
  <c r="F57" i="93"/>
  <c r="F17" i="93"/>
  <c r="F16" i="93"/>
  <c r="F68" i="93"/>
  <c r="F64" i="93"/>
  <c r="F48" i="93"/>
  <c r="F47" i="93"/>
  <c r="F40" i="93"/>
  <c r="F36" i="93"/>
  <c r="F32" i="93"/>
  <c r="F22" i="93"/>
  <c r="F74" i="93"/>
  <c r="F33" i="93"/>
  <c r="F23" i="93"/>
  <c r="F75" i="93"/>
  <c r="F27" i="93"/>
  <c r="F31" i="93"/>
  <c r="D19" i="93"/>
  <c r="X18" i="16"/>
  <c r="P27" i="16"/>
  <c r="P88" i="103"/>
  <c r="X23" i="103"/>
  <c r="Z23" i="103" s="1"/>
  <c r="H88" i="103"/>
  <c r="D36" i="101"/>
  <c r="L16" i="101"/>
  <c r="Z16" i="88"/>
  <c r="T32" i="88"/>
  <c r="H117" i="84"/>
  <c r="F90" i="76"/>
  <c r="F82" i="76"/>
  <c r="F81" i="76"/>
  <c r="F66" i="76"/>
  <c r="F62" i="76"/>
  <c r="F73" i="76"/>
  <c r="F72" i="76"/>
  <c r="F57" i="76"/>
  <c r="F53" i="76"/>
  <c r="F49" i="76"/>
  <c r="F48" i="76"/>
  <c r="F92" i="76"/>
  <c r="F91" i="76"/>
  <c r="F84" i="76"/>
  <c r="F83" i="76"/>
  <c r="F47" i="76"/>
  <c r="F40" i="76"/>
  <c r="F36" i="76"/>
  <c r="F75" i="76"/>
  <c r="F74" i="76"/>
  <c r="F67" i="76"/>
  <c r="F63" i="76"/>
  <c r="F94" i="76"/>
  <c r="F93" i="76"/>
  <c r="F86" i="76"/>
  <c r="F85" i="76"/>
  <c r="F58" i="76"/>
  <c r="F54" i="76"/>
  <c r="F50" i="76"/>
  <c r="F77" i="76"/>
  <c r="F76" i="76"/>
  <c r="F41" i="76"/>
  <c r="F37" i="76"/>
  <c r="F33" i="76"/>
  <c r="F32" i="76"/>
  <c r="F97" i="76"/>
  <c r="F88" i="76"/>
  <c r="F87" i="76"/>
  <c r="F68" i="76"/>
  <c r="F64" i="76"/>
  <c r="F60" i="76"/>
  <c r="F59" i="76"/>
  <c r="L12" i="76"/>
  <c r="N12" i="76" s="1"/>
  <c r="F98" i="76"/>
  <c r="F96" i="76"/>
  <c r="F79" i="76"/>
  <c r="F78" i="76"/>
  <c r="F55" i="76"/>
  <c r="F51" i="76"/>
  <c r="F42" i="76"/>
  <c r="F38" i="76"/>
  <c r="F34" i="76"/>
  <c r="F89" i="76"/>
  <c r="F69" i="76"/>
  <c r="F65" i="76"/>
  <c r="F61" i="76"/>
  <c r="F102" i="76"/>
  <c r="F35" i="76"/>
  <c r="F70" i="76"/>
  <c r="F80" i="76"/>
  <c r="D45" i="76"/>
  <c r="F45" i="76" s="1"/>
  <c r="F52" i="76"/>
  <c r="F71" i="76"/>
  <c r="F56" i="76"/>
  <c r="F43" i="76"/>
  <c r="F39" i="76"/>
  <c r="R146" i="74"/>
  <c r="R135" i="74"/>
  <c r="R134" i="74"/>
  <c r="R107" i="74"/>
  <c r="R106" i="74"/>
  <c r="R82" i="74"/>
  <c r="R78" i="74"/>
  <c r="R129" i="74"/>
  <c r="R118" i="74"/>
  <c r="R117" i="74"/>
  <c r="R69" i="74"/>
  <c r="R65" i="74"/>
  <c r="R61" i="74"/>
  <c r="R57" i="74"/>
  <c r="R53" i="74"/>
  <c r="R136" i="74"/>
  <c r="R125" i="74"/>
  <c r="R124" i="74"/>
  <c r="R108" i="74"/>
  <c r="R97" i="74"/>
  <c r="R96" i="74"/>
  <c r="R92" i="74"/>
  <c r="R88" i="74"/>
  <c r="X12" i="74"/>
  <c r="Z12" i="74" s="1"/>
  <c r="R119" i="74"/>
  <c r="R83" i="74"/>
  <c r="R79" i="74"/>
  <c r="R130" i="74"/>
  <c r="R126" i="74"/>
  <c r="R99" i="74"/>
  <c r="R98" i="74"/>
  <c r="R70" i="74"/>
  <c r="R66" i="74"/>
  <c r="R62" i="74"/>
  <c r="R58" i="74"/>
  <c r="R54" i="74"/>
  <c r="R137" i="74"/>
  <c r="R110" i="74"/>
  <c r="R109" i="74"/>
  <c r="R93" i="74"/>
  <c r="R89" i="74"/>
  <c r="R50" i="74"/>
  <c r="R140" i="74"/>
  <c r="R139" i="74"/>
  <c r="R120" i="74"/>
  <c r="R101" i="74"/>
  <c r="R100" i="74"/>
  <c r="R84" i="74"/>
  <c r="R80" i="74"/>
  <c r="R141" i="74"/>
  <c r="R131" i="74"/>
  <c r="R127" i="74"/>
  <c r="R112" i="74"/>
  <c r="R111" i="74"/>
  <c r="R76" i="74"/>
  <c r="R71" i="74"/>
  <c r="R67" i="74"/>
  <c r="R63" i="74"/>
  <c r="R59" i="74"/>
  <c r="R55" i="74"/>
  <c r="R51" i="74"/>
  <c r="R122" i="74"/>
  <c r="R121" i="74"/>
  <c r="R114" i="74"/>
  <c r="R113" i="74"/>
  <c r="R86" i="74"/>
  <c r="R85" i="74"/>
  <c r="R81" i="74"/>
  <c r="R77" i="74"/>
  <c r="R133" i="74"/>
  <c r="R132" i="74"/>
  <c r="R128" i="74"/>
  <c r="R105" i="74"/>
  <c r="R104" i="74"/>
  <c r="R68" i="74"/>
  <c r="R64" i="74"/>
  <c r="R60" i="74"/>
  <c r="R56" i="74"/>
  <c r="R52" i="74"/>
  <c r="R123" i="74"/>
  <c r="R116" i="74"/>
  <c r="R115" i="74"/>
  <c r="R95" i="74"/>
  <c r="R91" i="74"/>
  <c r="R87" i="74"/>
  <c r="R102" i="74"/>
  <c r="P73" i="74"/>
  <c r="R90" i="74"/>
  <c r="R142" i="74"/>
  <c r="R103" i="74"/>
  <c r="R94" i="74"/>
  <c r="R75" i="74"/>
  <c r="R107" i="70"/>
  <c r="R98" i="70"/>
  <c r="R97" i="70"/>
  <c r="R111" i="70"/>
  <c r="R99" i="70"/>
  <c r="R92" i="70"/>
  <c r="R91" i="70"/>
  <c r="R84" i="70"/>
  <c r="R83" i="70"/>
  <c r="R88" i="70"/>
  <c r="R82" i="70"/>
  <c r="R72" i="70"/>
  <c r="R68" i="70"/>
  <c r="R64" i="70"/>
  <c r="R59" i="70"/>
  <c r="R55" i="70"/>
  <c r="R104" i="70"/>
  <c r="R100" i="70"/>
  <c r="R95" i="70"/>
  <c r="R89" i="70"/>
  <c r="R46" i="70"/>
  <c r="R42" i="70"/>
  <c r="R38" i="70"/>
  <c r="R101" i="70"/>
  <c r="R74" i="70"/>
  <c r="R73" i="70"/>
  <c r="R69" i="70"/>
  <c r="R65" i="70"/>
  <c r="R34" i="70"/>
  <c r="R60" i="70"/>
  <c r="R56" i="70"/>
  <c r="R105" i="70"/>
  <c r="R76" i="70"/>
  <c r="R75" i="70"/>
  <c r="R52" i="70"/>
  <c r="R47" i="70"/>
  <c r="R43" i="70"/>
  <c r="R39" i="70"/>
  <c r="R35" i="70"/>
  <c r="R93" i="70"/>
  <c r="R85" i="70"/>
  <c r="R70" i="70"/>
  <c r="R66" i="70"/>
  <c r="R51" i="70"/>
  <c r="R49" i="70"/>
  <c r="R90" i="70"/>
  <c r="R78" i="70"/>
  <c r="R77" i="70"/>
  <c r="R61" i="70"/>
  <c r="R57" i="70"/>
  <c r="R53" i="70"/>
  <c r="P49" i="70"/>
  <c r="R106" i="70"/>
  <c r="R102" i="70"/>
  <c r="R96" i="70"/>
  <c r="R87" i="70"/>
  <c r="R86" i="70"/>
  <c r="R80" i="70"/>
  <c r="R79" i="70"/>
  <c r="R71" i="70"/>
  <c r="R67" i="70"/>
  <c r="R63" i="70"/>
  <c r="R62" i="70"/>
  <c r="R58" i="70"/>
  <c r="R54" i="70"/>
  <c r="R81" i="70"/>
  <c r="R45" i="70"/>
  <c r="R41" i="70"/>
  <c r="R37" i="70"/>
  <c r="R44" i="70"/>
  <c r="R40" i="70"/>
  <c r="R36" i="70"/>
  <c r="X12" i="70"/>
  <c r="Z12" i="70" s="1"/>
  <c r="R94" i="70"/>
  <c r="F95" i="70"/>
  <c r="F94" i="70"/>
  <c r="F105" i="70"/>
  <c r="F96" i="70"/>
  <c r="F106" i="70"/>
  <c r="F104" i="70"/>
  <c r="F107" i="70"/>
  <c r="F90" i="70"/>
  <c r="F89" i="70"/>
  <c r="F102" i="70"/>
  <c r="F99" i="70"/>
  <c r="F51" i="70"/>
  <c r="F49" i="70"/>
  <c r="F44" i="70"/>
  <c r="F40" i="70"/>
  <c r="F36" i="70"/>
  <c r="L12" i="70"/>
  <c r="N12" i="70" s="1"/>
  <c r="F86" i="70"/>
  <c r="F79" i="70"/>
  <c r="F78" i="70"/>
  <c r="F71" i="70"/>
  <c r="F67" i="70"/>
  <c r="D49" i="70"/>
  <c r="F91" i="70"/>
  <c r="F62" i="70"/>
  <c r="F58" i="70"/>
  <c r="F54" i="70"/>
  <c r="F111" i="70"/>
  <c r="F88" i="70"/>
  <c r="F87" i="70"/>
  <c r="F81" i="70"/>
  <c r="F80" i="70"/>
  <c r="F45" i="70"/>
  <c r="F41" i="70"/>
  <c r="F37" i="70"/>
  <c r="F97" i="70"/>
  <c r="F72" i="70"/>
  <c r="F68" i="70"/>
  <c r="F64" i="70"/>
  <c r="F63" i="70"/>
  <c r="F82" i="70"/>
  <c r="F59" i="70"/>
  <c r="F55" i="70"/>
  <c r="F100" i="70"/>
  <c r="F83" i="70"/>
  <c r="F46" i="70"/>
  <c r="F42" i="70"/>
  <c r="F38" i="70"/>
  <c r="F92" i="70"/>
  <c r="F73" i="70"/>
  <c r="F69" i="70"/>
  <c r="F65" i="70"/>
  <c r="F101" i="70"/>
  <c r="F84" i="70"/>
  <c r="F75" i="70"/>
  <c r="F74" i="70"/>
  <c r="F47" i="70"/>
  <c r="F43" i="70"/>
  <c r="F39" i="70"/>
  <c r="F35" i="70"/>
  <c r="F34" i="70"/>
  <c r="F93" i="70"/>
  <c r="F85" i="70"/>
  <c r="F70" i="70"/>
  <c r="F66" i="70"/>
  <c r="F77" i="70"/>
  <c r="F76" i="70"/>
  <c r="F61" i="70"/>
  <c r="F57" i="70"/>
  <c r="F53" i="70"/>
  <c r="F52" i="70"/>
  <c r="F56" i="70"/>
  <c r="F98" i="70"/>
  <c r="F60" i="70"/>
  <c r="H79" i="56"/>
  <c r="D22" i="54"/>
  <c r="L16" i="54"/>
  <c r="R89" i="45"/>
  <c r="R69" i="45"/>
  <c r="R58" i="45"/>
  <c r="R57" i="45"/>
  <c r="R33" i="45"/>
  <c r="R29" i="45"/>
  <c r="R84" i="45"/>
  <c r="R80" i="45"/>
  <c r="R75" i="45"/>
  <c r="R60" i="45"/>
  <c r="R59" i="45"/>
  <c r="R48" i="45"/>
  <c r="R47" i="45"/>
  <c r="R43" i="45"/>
  <c r="R39" i="45"/>
  <c r="R91" i="45"/>
  <c r="R90" i="45"/>
  <c r="R70" i="45"/>
  <c r="R34" i="45"/>
  <c r="R30" i="45"/>
  <c r="R85" i="45"/>
  <c r="R81" i="45"/>
  <c r="R93" i="45"/>
  <c r="R92" i="45"/>
  <c r="R77" i="45"/>
  <c r="R76" i="45"/>
  <c r="R72" i="45"/>
  <c r="R71" i="45"/>
  <c r="R64" i="45"/>
  <c r="R63" i="45"/>
  <c r="R52" i="45"/>
  <c r="R51" i="45"/>
  <c r="R35" i="45"/>
  <c r="R31" i="45"/>
  <c r="R27" i="45"/>
  <c r="P23" i="45"/>
  <c r="R94" i="45"/>
  <c r="R86" i="45"/>
  <c r="R82" i="45"/>
  <c r="R78" i="45"/>
  <c r="R96" i="45"/>
  <c r="R73" i="45"/>
  <c r="R66" i="45"/>
  <c r="R65" i="45"/>
  <c r="R54" i="45"/>
  <c r="R53" i="45"/>
  <c r="R45" i="45"/>
  <c r="R41" i="45"/>
  <c r="R18" i="45"/>
  <c r="R37" i="45"/>
  <c r="R36" i="45"/>
  <c r="R32" i="45"/>
  <c r="R28" i="45"/>
  <c r="X12" i="45"/>
  <c r="Z12" i="45" s="1"/>
  <c r="R88" i="45"/>
  <c r="R87" i="45"/>
  <c r="R83" i="45"/>
  <c r="R79" i="45"/>
  <c r="R68" i="45"/>
  <c r="R67" i="45"/>
  <c r="R56" i="45"/>
  <c r="R55" i="45"/>
  <c r="R19" i="45"/>
  <c r="R21" i="45"/>
  <c r="R25" i="45"/>
  <c r="R50" i="45"/>
  <c r="R38" i="45"/>
  <c r="R40" i="45"/>
  <c r="R44" i="45"/>
  <c r="R42" i="45"/>
  <c r="R100" i="45"/>
  <c r="R46" i="45"/>
  <c r="R26" i="45"/>
  <c r="R20" i="45"/>
  <c r="R62" i="45"/>
  <c r="R74" i="45"/>
  <c r="R49" i="45"/>
  <c r="R61" i="45"/>
  <c r="J50" i="27"/>
  <c r="H110" i="27"/>
  <c r="R106" i="27"/>
  <c r="R105" i="27"/>
  <c r="R79" i="27"/>
  <c r="R78" i="27"/>
  <c r="R62" i="27"/>
  <c r="R58" i="27"/>
  <c r="R54" i="27"/>
  <c r="P50" i="27"/>
  <c r="R107" i="27"/>
  <c r="R97" i="27"/>
  <c r="R90" i="27"/>
  <c r="R89" i="27"/>
  <c r="R45" i="27"/>
  <c r="R41" i="27"/>
  <c r="R37" i="27"/>
  <c r="R81" i="27"/>
  <c r="R80" i="27"/>
  <c r="R72" i="27"/>
  <c r="R68" i="27"/>
  <c r="R108" i="27"/>
  <c r="R91" i="27"/>
  <c r="R64" i="27"/>
  <c r="R63" i="27"/>
  <c r="R59" i="27"/>
  <c r="R55" i="27"/>
  <c r="R99" i="27"/>
  <c r="R98" i="27"/>
  <c r="R83" i="27"/>
  <c r="R82" i="27"/>
  <c r="R46" i="27"/>
  <c r="R42" i="27"/>
  <c r="R38" i="27"/>
  <c r="R100" i="27"/>
  <c r="R93" i="27"/>
  <c r="R92" i="27"/>
  <c r="R85" i="27"/>
  <c r="R84" i="27"/>
  <c r="R60" i="27"/>
  <c r="R56" i="27"/>
  <c r="R47" i="27"/>
  <c r="R43" i="27"/>
  <c r="R39" i="27"/>
  <c r="R95" i="27"/>
  <c r="R94" i="27"/>
  <c r="R86" i="27"/>
  <c r="R75" i="27"/>
  <c r="R74" i="27"/>
  <c r="R70" i="27"/>
  <c r="R66" i="27"/>
  <c r="R35" i="27"/>
  <c r="X12" i="27"/>
  <c r="Z12" i="27" s="1"/>
  <c r="R112" i="27"/>
  <c r="R102" i="27"/>
  <c r="R101" i="27"/>
  <c r="R61" i="27"/>
  <c r="R57" i="27"/>
  <c r="R103" i="27"/>
  <c r="R73" i="27"/>
  <c r="R71" i="27"/>
  <c r="R88" i="27"/>
  <c r="R69" i="27"/>
  <c r="R96" i="27"/>
  <c r="R52" i="27"/>
  <c r="R48" i="27"/>
  <c r="R67" i="27"/>
  <c r="R65" i="27"/>
  <c r="R44" i="27"/>
  <c r="R76" i="27"/>
  <c r="R40" i="27"/>
  <c r="R36" i="27"/>
  <c r="R53" i="27"/>
  <c r="R77" i="27"/>
  <c r="R87" i="27"/>
  <c r="R50" i="27"/>
  <c r="H104" i="21"/>
  <c r="F90" i="24"/>
  <c r="F77" i="24"/>
  <c r="F76" i="24"/>
  <c r="F57" i="24"/>
  <c r="F53" i="24"/>
  <c r="F49" i="24"/>
  <c r="D35" i="24"/>
  <c r="F94" i="24"/>
  <c r="F68" i="24"/>
  <c r="F67" i="24"/>
  <c r="F44" i="24"/>
  <c r="F40" i="24"/>
  <c r="F83" i="24"/>
  <c r="F59" i="24"/>
  <c r="F58" i="24"/>
  <c r="F78" i="24"/>
  <c r="F70" i="24"/>
  <c r="F69" i="24"/>
  <c r="F54" i="24"/>
  <c r="F50" i="24"/>
  <c r="F85" i="24"/>
  <c r="F84" i="24"/>
  <c r="F61" i="24"/>
  <c r="F60" i="24"/>
  <c r="F45" i="24"/>
  <c r="F41" i="24"/>
  <c r="F63" i="24"/>
  <c r="F62" i="24"/>
  <c r="F55" i="24"/>
  <c r="F51" i="24"/>
  <c r="F86" i="24"/>
  <c r="F74" i="24"/>
  <c r="F73" i="24"/>
  <c r="F46" i="24"/>
  <c r="F42" i="24"/>
  <c r="F81" i="24"/>
  <c r="F65" i="24"/>
  <c r="F64" i="24"/>
  <c r="F33" i="24"/>
  <c r="F29" i="24"/>
  <c r="F88" i="24"/>
  <c r="F87" i="24"/>
  <c r="F56" i="24"/>
  <c r="F52" i="24"/>
  <c r="F48" i="24"/>
  <c r="F47" i="24"/>
  <c r="F72" i="24"/>
  <c r="F37" i="24"/>
  <c r="F26" i="24"/>
  <c r="L12" i="24"/>
  <c r="N12" i="24" s="1"/>
  <c r="F31" i="24"/>
  <c r="F38" i="24"/>
  <c r="F79" i="24"/>
  <c r="F75" i="24"/>
  <c r="F66" i="24"/>
  <c r="F32" i="24"/>
  <c r="F27" i="24"/>
  <c r="F71" i="24"/>
  <c r="F80" i="24"/>
  <c r="F39" i="24"/>
  <c r="F30" i="24"/>
  <c r="F25" i="24"/>
  <c r="F28" i="24"/>
  <c r="F82" i="24"/>
  <c r="F43" i="24"/>
  <c r="T114" i="27"/>
  <c r="P104" i="21"/>
  <c r="X24" i="21"/>
  <c r="R24" i="21"/>
  <c r="P237" i="18"/>
  <c r="X130" i="18"/>
  <c r="D102" i="9"/>
  <c r="L17" i="9"/>
  <c r="F206" i="15"/>
  <c r="F205" i="15"/>
  <c r="F198" i="15"/>
  <c r="F182" i="15"/>
  <c r="F118" i="15"/>
  <c r="F114" i="15"/>
  <c r="L12" i="15"/>
  <c r="N12" i="15" s="1"/>
  <c r="F193" i="15"/>
  <c r="F189" i="15"/>
  <c r="F177" i="15"/>
  <c r="F165" i="15"/>
  <c r="F164" i="15"/>
  <c r="F157" i="15"/>
  <c r="F156" i="15"/>
  <c r="F141" i="15"/>
  <c r="F140" i="15"/>
  <c r="F105" i="15"/>
  <c r="F101" i="15"/>
  <c r="F97" i="15"/>
  <c r="F93" i="15"/>
  <c r="F209" i="15"/>
  <c r="F200" i="15"/>
  <c r="F199" i="15"/>
  <c r="F184" i="15"/>
  <c r="F183" i="15"/>
  <c r="F172" i="15"/>
  <c r="F148" i="15"/>
  <c r="F132" i="15"/>
  <c r="F128" i="15"/>
  <c r="F124" i="15"/>
  <c r="F210" i="15"/>
  <c r="F208" i="15"/>
  <c r="F179" i="15"/>
  <c r="F178" i="15"/>
  <c r="F167" i="15"/>
  <c r="F166" i="15"/>
  <c r="F119" i="15"/>
  <c r="F115" i="15"/>
  <c r="F211" i="15"/>
  <c r="F202" i="15"/>
  <c r="F201" i="15"/>
  <c r="F194" i="15"/>
  <c r="F190" i="15"/>
  <c r="F174" i="15"/>
  <c r="F173" i="15"/>
  <c r="F158" i="15"/>
  <c r="F150" i="15"/>
  <c r="F149" i="15"/>
  <c r="F142" i="15"/>
  <c r="F134" i="15"/>
  <c r="F133" i="15"/>
  <c r="F106" i="15"/>
  <c r="F102" i="15"/>
  <c r="F98" i="15"/>
  <c r="F94" i="15"/>
  <c r="F90" i="15"/>
  <c r="F86" i="15"/>
  <c r="F82" i="15"/>
  <c r="F78" i="15"/>
  <c r="F212" i="15"/>
  <c r="F185" i="15"/>
  <c r="F169" i="15"/>
  <c r="F168" i="15"/>
  <c r="F129" i="15"/>
  <c r="F125" i="15"/>
  <c r="F180" i="15"/>
  <c r="F152" i="15"/>
  <c r="F151" i="15"/>
  <c r="F144" i="15"/>
  <c r="F143" i="15"/>
  <c r="F136" i="15"/>
  <c r="F135" i="15"/>
  <c r="F120" i="15"/>
  <c r="F116" i="15"/>
  <c r="F112" i="15"/>
  <c r="F111" i="15"/>
  <c r="F203" i="15"/>
  <c r="F195" i="15"/>
  <c r="F191" i="15"/>
  <c r="F187" i="15"/>
  <c r="F186" i="15"/>
  <c r="F175" i="15"/>
  <c r="F159" i="15"/>
  <c r="F110" i="15"/>
  <c r="F103" i="15"/>
  <c r="F99" i="15"/>
  <c r="F95" i="15"/>
  <c r="F91" i="15"/>
  <c r="F87" i="15"/>
  <c r="F83" i="15"/>
  <c r="F79" i="15"/>
  <c r="F216" i="15"/>
  <c r="F170" i="15"/>
  <c r="F154" i="15"/>
  <c r="F153" i="15"/>
  <c r="F130" i="15"/>
  <c r="F126" i="15"/>
  <c r="D108" i="15"/>
  <c r="F108" i="15" s="1"/>
  <c r="F197" i="15"/>
  <c r="F196" i="15"/>
  <c r="F181" i="15"/>
  <c r="F161" i="15"/>
  <c r="F160" i="15"/>
  <c r="F145" i="15"/>
  <c r="F137" i="15"/>
  <c r="F121" i="15"/>
  <c r="F117" i="15"/>
  <c r="F113" i="15"/>
  <c r="F204" i="15"/>
  <c r="F192" i="15"/>
  <c r="F188" i="15"/>
  <c r="F176" i="15"/>
  <c r="F104" i="15"/>
  <c r="F100" i="15"/>
  <c r="F96" i="15"/>
  <c r="F92" i="15"/>
  <c r="F88" i="15"/>
  <c r="F84" i="15"/>
  <c r="F80" i="15"/>
  <c r="F76" i="15"/>
  <c r="F75" i="15"/>
  <c r="F171" i="15"/>
  <c r="F163" i="15"/>
  <c r="F162" i="15"/>
  <c r="F155" i="15"/>
  <c r="F147" i="15"/>
  <c r="F146" i="15"/>
  <c r="F139" i="15"/>
  <c r="F138" i="15"/>
  <c r="F131" i="15"/>
  <c r="F127" i="15"/>
  <c r="F123" i="15"/>
  <c r="F122" i="15"/>
  <c r="F77" i="15"/>
  <c r="F89" i="15"/>
  <c r="F81" i="15"/>
  <c r="F85" i="15"/>
  <c r="X18" i="111"/>
  <c r="P27" i="111"/>
  <c r="X18" i="110"/>
  <c r="P27" i="110"/>
  <c r="X18" i="52"/>
  <c r="P27" i="52"/>
  <c r="L18" i="49"/>
  <c r="D27" i="49"/>
  <c r="H27" i="43"/>
  <c r="N18" i="43"/>
  <c r="X18" i="40"/>
  <c r="P27" i="40"/>
  <c r="T27" i="38"/>
  <c r="Z18" i="38"/>
  <c r="H27" i="38"/>
  <c r="N18" i="38"/>
  <c r="H27" i="37"/>
  <c r="N18" i="37"/>
  <c r="L18" i="37"/>
  <c r="D27" i="37"/>
  <c r="H27" i="32"/>
  <c r="N18" i="32"/>
  <c r="X18" i="19"/>
  <c r="P27" i="19"/>
  <c r="T27" i="16"/>
  <c r="Z18" i="16"/>
  <c r="L18" i="8"/>
  <c r="D27" i="8"/>
  <c r="D27" i="4"/>
  <c r="L18" i="4"/>
  <c r="P92" i="105"/>
  <c r="X23" i="105"/>
  <c r="P27" i="20"/>
  <c r="X18" i="20"/>
  <c r="T27" i="17"/>
  <c r="Z18" i="17"/>
  <c r="F54" i="109"/>
  <c r="F53" i="109"/>
  <c r="F38" i="109"/>
  <c r="F34" i="109"/>
  <c r="F73" i="109"/>
  <c r="F61" i="109"/>
  <c r="F45" i="109"/>
  <c r="F44" i="109"/>
  <c r="F29" i="109"/>
  <c r="F25" i="109"/>
  <c r="F21" i="109"/>
  <c r="F20" i="109"/>
  <c r="F56" i="109"/>
  <c r="F55" i="109"/>
  <c r="F19" i="109"/>
  <c r="F17" i="109"/>
  <c r="F15" i="109"/>
  <c r="F63" i="109"/>
  <c r="F62" i="109"/>
  <c r="F47" i="109"/>
  <c r="F46" i="109"/>
  <c r="F39" i="109"/>
  <c r="F35" i="109"/>
  <c r="F58" i="109"/>
  <c r="F57" i="109"/>
  <c r="F30" i="109"/>
  <c r="F26" i="109"/>
  <c r="F22" i="109"/>
  <c r="L12" i="109"/>
  <c r="N12" i="109" s="1"/>
  <c r="F49" i="109"/>
  <c r="F48" i="109"/>
  <c r="F64" i="109"/>
  <c r="F40" i="109"/>
  <c r="F36" i="109"/>
  <c r="F32" i="109"/>
  <c r="F31" i="109"/>
  <c r="F59" i="109"/>
  <c r="F66" i="109"/>
  <c r="F65" i="109"/>
  <c r="F50" i="109"/>
  <c r="F41" i="109"/>
  <c r="F37" i="109"/>
  <c r="F33" i="109"/>
  <c r="F69" i="109"/>
  <c r="F60" i="109"/>
  <c r="F52" i="109"/>
  <c r="F51" i="109"/>
  <c r="F28" i="109"/>
  <c r="F24" i="109"/>
  <c r="F23" i="109"/>
  <c r="F42" i="109"/>
  <c r="D17" i="109"/>
  <c r="F43" i="109"/>
  <c r="F27" i="109"/>
  <c r="F68" i="109"/>
  <c r="T34" i="100"/>
  <c r="D23" i="98"/>
  <c r="L17" i="98"/>
  <c r="H85" i="94"/>
  <c r="H100" i="76"/>
  <c r="J45" i="76"/>
  <c r="H148" i="74"/>
  <c r="N16" i="63"/>
  <c r="H96" i="63"/>
  <c r="T63" i="69"/>
  <c r="V18" i="69"/>
  <c r="N16" i="60"/>
  <c r="H57" i="60"/>
  <c r="L16" i="60"/>
  <c r="D57" i="60"/>
  <c r="P96" i="63"/>
  <c r="X16" i="63"/>
  <c r="D75" i="56"/>
  <c r="L17" i="56"/>
  <c r="N16" i="54"/>
  <c r="H22" i="54"/>
  <c r="F77" i="51"/>
  <c r="F76" i="51"/>
  <c r="F41" i="51"/>
  <c r="F37" i="51"/>
  <c r="F33" i="51"/>
  <c r="F32" i="51"/>
  <c r="F97" i="51"/>
  <c r="F88" i="51"/>
  <c r="F87" i="51"/>
  <c r="F68" i="51"/>
  <c r="F64" i="51"/>
  <c r="F60" i="51"/>
  <c r="F59" i="51"/>
  <c r="F98" i="51"/>
  <c r="F96" i="51"/>
  <c r="F79" i="51"/>
  <c r="F78" i="51"/>
  <c r="F55" i="51"/>
  <c r="F51" i="51"/>
  <c r="F42" i="51"/>
  <c r="F38" i="51"/>
  <c r="F34" i="51"/>
  <c r="F90" i="51"/>
  <c r="F82" i="51"/>
  <c r="F81" i="51"/>
  <c r="F66" i="51"/>
  <c r="F62" i="51"/>
  <c r="F73" i="51"/>
  <c r="F72" i="51"/>
  <c r="F92" i="51"/>
  <c r="F91" i="51"/>
  <c r="F84" i="51"/>
  <c r="F83" i="51"/>
  <c r="F47" i="51"/>
  <c r="F75" i="51"/>
  <c r="F74" i="51"/>
  <c r="F67" i="51"/>
  <c r="F63" i="51"/>
  <c r="F80" i="51"/>
  <c r="F52" i="51"/>
  <c r="F69" i="51"/>
  <c r="F50" i="51"/>
  <c r="F40" i="51"/>
  <c r="F43" i="51"/>
  <c r="F57" i="51"/>
  <c r="F102" i="51"/>
  <c r="F93" i="51"/>
  <c r="F86" i="51"/>
  <c r="F35" i="51"/>
  <c r="L12" i="51"/>
  <c r="N12" i="51" s="1"/>
  <c r="F70" i="51"/>
  <c r="F48" i="51"/>
  <c r="F53" i="51"/>
  <c r="F89" i="51"/>
  <c r="F58" i="51"/>
  <c r="F49" i="51"/>
  <c r="D45" i="51"/>
  <c r="F36" i="51"/>
  <c r="F94" i="51"/>
  <c r="F56" i="51"/>
  <c r="F39" i="51"/>
  <c r="F61" i="51"/>
  <c r="F71" i="51"/>
  <c r="F85" i="51"/>
  <c r="F54" i="51"/>
  <c r="F65" i="51"/>
  <c r="H98" i="45"/>
  <c r="T80" i="33"/>
  <c r="V26" i="33"/>
  <c r="R120" i="36"/>
  <c r="H130" i="36"/>
  <c r="J126" i="36"/>
  <c r="F133" i="30"/>
  <c r="F93" i="30"/>
  <c r="F89" i="30"/>
  <c r="F164" i="30"/>
  <c r="F152" i="30"/>
  <c r="F151" i="30"/>
  <c r="F144" i="30"/>
  <c r="F140" i="30"/>
  <c r="F128" i="30"/>
  <c r="F120" i="30"/>
  <c r="F119" i="30"/>
  <c r="F100" i="30"/>
  <c r="F99" i="30"/>
  <c r="F84" i="30"/>
  <c r="F80" i="30"/>
  <c r="F135" i="30"/>
  <c r="F134" i="30"/>
  <c r="F111" i="30"/>
  <c r="F71" i="30"/>
  <c r="F67" i="30"/>
  <c r="F63" i="30"/>
  <c r="F59" i="30"/>
  <c r="F55" i="30"/>
  <c r="F51" i="30"/>
  <c r="F50" i="30"/>
  <c r="F122" i="30"/>
  <c r="F121" i="30"/>
  <c r="F102" i="30"/>
  <c r="F101" i="30"/>
  <c r="F94" i="30"/>
  <c r="F90" i="30"/>
  <c r="F136" i="30"/>
  <c r="F124" i="30"/>
  <c r="F123" i="30"/>
  <c r="F104" i="30"/>
  <c r="F103" i="30"/>
  <c r="F75" i="30"/>
  <c r="F68" i="30"/>
  <c r="F64" i="30"/>
  <c r="F60" i="30"/>
  <c r="F56" i="30"/>
  <c r="F52" i="30"/>
  <c r="F155" i="30"/>
  <c r="F154" i="30"/>
  <c r="F147" i="30"/>
  <c r="F146" i="30"/>
  <c r="F131" i="30"/>
  <c r="F130" i="30"/>
  <c r="F95" i="30"/>
  <c r="F91" i="30"/>
  <c r="F87" i="30"/>
  <c r="F86" i="30"/>
  <c r="F142" i="30"/>
  <c r="F138" i="30"/>
  <c r="F137" i="30"/>
  <c r="F114" i="30"/>
  <c r="F106" i="30"/>
  <c r="F105" i="30"/>
  <c r="F82" i="30"/>
  <c r="F78" i="30"/>
  <c r="F158" i="30"/>
  <c r="F125" i="30"/>
  <c r="F69" i="30"/>
  <c r="F65" i="30"/>
  <c r="F61" i="30"/>
  <c r="F57" i="30"/>
  <c r="F53" i="30"/>
  <c r="F159" i="30"/>
  <c r="F157" i="30"/>
  <c r="F148" i="30"/>
  <c r="F132" i="30"/>
  <c r="F116" i="30"/>
  <c r="F115" i="30"/>
  <c r="F108" i="30"/>
  <c r="F107" i="30"/>
  <c r="F96" i="30"/>
  <c r="F92" i="30"/>
  <c r="F88" i="30"/>
  <c r="L12" i="30"/>
  <c r="N12" i="30" s="1"/>
  <c r="F160" i="30"/>
  <c r="F143" i="30"/>
  <c r="F139" i="30"/>
  <c r="F127" i="30"/>
  <c r="F126" i="30"/>
  <c r="F83" i="30"/>
  <c r="F79" i="30"/>
  <c r="F110" i="30"/>
  <c r="F62" i="30"/>
  <c r="F150" i="30"/>
  <c r="F112" i="30"/>
  <c r="F98" i="30"/>
  <c r="F58" i="30"/>
  <c r="F77" i="30"/>
  <c r="F129" i="30"/>
  <c r="F118" i="30"/>
  <c r="F85" i="30"/>
  <c r="F54" i="30"/>
  <c r="F145" i="30"/>
  <c r="F149" i="30"/>
  <c r="F109" i="30"/>
  <c r="F153" i="30"/>
  <c r="D73" i="30"/>
  <c r="F113" i="30"/>
  <c r="F97" i="30"/>
  <c r="F76" i="30"/>
  <c r="F70" i="30"/>
  <c r="F117" i="30"/>
  <c r="F141" i="30"/>
  <c r="F81" i="30"/>
  <c r="F66" i="30"/>
  <c r="D237" i="18"/>
  <c r="L130" i="18"/>
  <c r="F230" i="18"/>
  <c r="R217" i="12"/>
  <c r="R208" i="12"/>
  <c r="R207" i="12"/>
  <c r="R191" i="12"/>
  <c r="R223" i="12"/>
  <c r="R205" i="12"/>
  <c r="R187" i="12"/>
  <c r="R158" i="12"/>
  <c r="R134" i="12"/>
  <c r="R130" i="12"/>
  <c r="X12" i="12"/>
  <c r="Z12" i="12" s="1"/>
  <c r="R206" i="12"/>
  <c r="R183" i="12"/>
  <c r="R180" i="12"/>
  <c r="R166" i="12"/>
  <c r="R165" i="12"/>
  <c r="R150" i="12"/>
  <c r="R149" i="12"/>
  <c r="R142" i="12"/>
  <c r="R141" i="12"/>
  <c r="R126" i="12"/>
  <c r="R125" i="12"/>
  <c r="R121" i="12"/>
  <c r="R117" i="12"/>
  <c r="R215" i="12"/>
  <c r="R210" i="12"/>
  <c r="R201" i="12"/>
  <c r="R198" i="12"/>
  <c r="R195" i="12"/>
  <c r="R184" i="12"/>
  <c r="R176" i="12"/>
  <c r="R108" i="12"/>
  <c r="R104" i="12"/>
  <c r="R100" i="12"/>
  <c r="R96" i="12"/>
  <c r="R92" i="12"/>
  <c r="R88" i="12"/>
  <c r="R84" i="12"/>
  <c r="R80" i="12"/>
  <c r="R216" i="12"/>
  <c r="R188" i="12"/>
  <c r="R168" i="12"/>
  <c r="R167" i="12"/>
  <c r="R160" i="12"/>
  <c r="R159" i="12"/>
  <c r="R151" i="12"/>
  <c r="R144" i="12"/>
  <c r="R143" i="12"/>
  <c r="R135" i="12"/>
  <c r="R131" i="12"/>
  <c r="R127" i="12"/>
  <c r="R192" i="12"/>
  <c r="R122" i="12"/>
  <c r="R118" i="12"/>
  <c r="R185" i="12"/>
  <c r="R181" i="12"/>
  <c r="R177" i="12"/>
  <c r="R170" i="12"/>
  <c r="R169" i="12"/>
  <c r="R161" i="12"/>
  <c r="R145" i="12"/>
  <c r="R109" i="12"/>
  <c r="R105" i="12"/>
  <c r="R101" i="12"/>
  <c r="R97" i="12"/>
  <c r="R93" i="12"/>
  <c r="R89" i="12"/>
  <c r="R85" i="12"/>
  <c r="R81" i="12"/>
  <c r="R211" i="12"/>
  <c r="R203" i="12"/>
  <c r="R202" i="12"/>
  <c r="R199" i="12"/>
  <c r="R196" i="12"/>
  <c r="R193" i="12"/>
  <c r="R153" i="12"/>
  <c r="R152" i="12"/>
  <c r="R137" i="12"/>
  <c r="R136" i="12"/>
  <c r="R132" i="12"/>
  <c r="R128" i="12"/>
  <c r="R77" i="12"/>
  <c r="R212" i="12"/>
  <c r="R189" i="12"/>
  <c r="R172" i="12"/>
  <c r="R171" i="12"/>
  <c r="R123" i="12"/>
  <c r="R119" i="12"/>
  <c r="R182" i="12"/>
  <c r="R179" i="12"/>
  <c r="R174" i="12"/>
  <c r="R173" i="12"/>
  <c r="R133" i="12"/>
  <c r="R129" i="12"/>
  <c r="R114" i="12"/>
  <c r="R213" i="12"/>
  <c r="R209" i="12"/>
  <c r="R200" i="12"/>
  <c r="R197" i="12"/>
  <c r="R194" i="12"/>
  <c r="R157" i="12"/>
  <c r="R156" i="12"/>
  <c r="R148" i="12"/>
  <c r="R140" i="12"/>
  <c r="R124" i="12"/>
  <c r="R120" i="12"/>
  <c r="R116" i="12"/>
  <c r="P112" i="12"/>
  <c r="R112" i="12" s="1"/>
  <c r="R219" i="12"/>
  <c r="R175" i="12"/>
  <c r="R164" i="12"/>
  <c r="R163" i="12"/>
  <c r="R107" i="12"/>
  <c r="R103" i="12"/>
  <c r="R99" i="12"/>
  <c r="R95" i="12"/>
  <c r="R91" i="12"/>
  <c r="R87" i="12"/>
  <c r="R83" i="12"/>
  <c r="R79" i="12"/>
  <c r="R204" i="12"/>
  <c r="R162" i="12"/>
  <c r="R218" i="12"/>
  <c r="R178" i="12"/>
  <c r="R154" i="12"/>
  <c r="R147" i="12"/>
  <c r="R190" i="12"/>
  <c r="R139" i="12"/>
  <c r="R115" i="12"/>
  <c r="R78" i="12"/>
  <c r="R110" i="12"/>
  <c r="R106" i="12"/>
  <c r="R102" i="12"/>
  <c r="R98" i="12"/>
  <c r="R94" i="12"/>
  <c r="R90" i="12"/>
  <c r="R86" i="12"/>
  <c r="R82" i="12"/>
  <c r="R155" i="12"/>
  <c r="R146" i="12"/>
  <c r="R186" i="12"/>
  <c r="R138" i="12"/>
  <c r="H214" i="15"/>
  <c r="N16" i="6"/>
  <c r="H22" i="6"/>
  <c r="R247" i="3"/>
  <c r="X18" i="112"/>
  <c r="P27" i="112"/>
  <c r="H27" i="50"/>
  <c r="N18" i="50"/>
  <c r="L18" i="50"/>
  <c r="D27" i="50"/>
  <c r="T27" i="46"/>
  <c r="Z18" i="46"/>
  <c r="H27" i="47"/>
  <c r="N18" i="47"/>
  <c r="L18" i="53"/>
  <c r="D27" i="53"/>
  <c r="P27" i="35"/>
  <c r="X18" i="35"/>
  <c r="L18" i="23"/>
  <c r="D27" i="23"/>
  <c r="P27" i="31"/>
  <c r="X18" i="31"/>
  <c r="D27" i="29"/>
  <c r="L18" i="29"/>
  <c r="T27" i="20"/>
  <c r="Z18" i="20"/>
  <c r="X18" i="11"/>
  <c r="P27" i="11"/>
  <c r="L18" i="5"/>
  <c r="D27" i="5"/>
  <c r="Z19" i="80"/>
  <c r="T70" i="80"/>
  <c r="P77" i="80"/>
  <c r="T70" i="72"/>
  <c r="Z19" i="72"/>
  <c r="T74" i="59"/>
  <c r="P73" i="57"/>
  <c r="X17" i="57"/>
  <c r="T77" i="57"/>
  <c r="D71" i="48"/>
  <c r="L17" i="48"/>
  <c r="N17" i="48" s="1"/>
  <c r="X17" i="48"/>
  <c r="Z17" i="48" s="1"/>
  <c r="P71" i="48"/>
  <c r="D123" i="39"/>
  <c r="L28" i="39"/>
  <c r="N28" i="39" s="1"/>
  <c r="H256" i="3"/>
  <c r="J139" i="3"/>
  <c r="H228" i="12"/>
  <c r="P256" i="3"/>
  <c r="X139" i="3"/>
  <c r="Z139" i="3" s="1"/>
  <c r="H27" i="52"/>
  <c r="N18" i="52"/>
  <c r="T27" i="50"/>
  <c r="Z18" i="50"/>
  <c r="L18" i="38"/>
  <c r="D27" i="38"/>
  <c r="X18" i="29"/>
  <c r="P27" i="29"/>
  <c r="T27" i="28"/>
  <c r="Z18" i="28"/>
  <c r="T27" i="32"/>
  <c r="Z18" i="32"/>
  <c r="T27" i="34"/>
  <c r="Z18" i="34"/>
  <c r="D27" i="28"/>
  <c r="L18" i="28"/>
  <c r="X18" i="26"/>
  <c r="P27" i="26"/>
  <c r="H27" i="16"/>
  <c r="N18" i="16"/>
  <c r="H27" i="7"/>
  <c r="N18" i="7"/>
  <c r="T27" i="4"/>
  <c r="Z18" i="4"/>
  <c r="L18" i="10"/>
  <c r="D27" i="10"/>
  <c r="T27" i="5"/>
  <c r="Z18" i="5"/>
  <c r="T86" i="107"/>
  <c r="V19" i="107"/>
  <c r="L18" i="32"/>
  <c r="D27" i="32"/>
  <c r="L18" i="22"/>
  <c r="D27" i="22"/>
  <c r="F79" i="107"/>
  <c r="F78" i="107"/>
  <c r="F59" i="107"/>
  <c r="F58" i="107"/>
  <c r="F47" i="107"/>
  <c r="F46" i="107"/>
  <c r="F31" i="107"/>
  <c r="F27" i="107"/>
  <c r="F23" i="107"/>
  <c r="F22" i="107"/>
  <c r="F74" i="107"/>
  <c r="F21" i="107"/>
  <c r="F19" i="107"/>
  <c r="F69" i="107"/>
  <c r="F61" i="107"/>
  <c r="F60" i="107"/>
  <c r="F49" i="107"/>
  <c r="F48" i="107"/>
  <c r="F41" i="107"/>
  <c r="F37" i="107"/>
  <c r="D19" i="107"/>
  <c r="F80" i="107"/>
  <c r="F32" i="107"/>
  <c r="F28" i="107"/>
  <c r="F24" i="107"/>
  <c r="F75" i="107"/>
  <c r="F71" i="107"/>
  <c r="F70" i="107"/>
  <c r="F63" i="107"/>
  <c r="F62" i="107"/>
  <c r="F51" i="107"/>
  <c r="F50" i="107"/>
  <c r="F82" i="107"/>
  <c r="F81" i="107"/>
  <c r="F42" i="107"/>
  <c r="F38" i="107"/>
  <c r="F34" i="107"/>
  <c r="F33" i="107"/>
  <c r="F65" i="107"/>
  <c r="F64" i="107"/>
  <c r="F53" i="107"/>
  <c r="F52" i="107"/>
  <c r="F29" i="107"/>
  <c r="F25" i="107"/>
  <c r="F76" i="107"/>
  <c r="F72" i="107"/>
  <c r="L12" i="107"/>
  <c r="N12" i="107" s="1"/>
  <c r="F84" i="107"/>
  <c r="F67" i="107"/>
  <c r="F66" i="107"/>
  <c r="F55" i="107"/>
  <c r="F54" i="107"/>
  <c r="F43" i="107"/>
  <c r="F39" i="107"/>
  <c r="F35" i="107"/>
  <c r="F88" i="107"/>
  <c r="F30" i="107"/>
  <c r="F26" i="107"/>
  <c r="F77" i="107"/>
  <c r="F73" i="107"/>
  <c r="F57" i="107"/>
  <c r="F56" i="107"/>
  <c r="F45" i="107"/>
  <c r="F44" i="107"/>
  <c r="F17" i="107"/>
  <c r="F16" i="107"/>
  <c r="F68" i="107"/>
  <c r="F36" i="107"/>
  <c r="F40" i="107"/>
  <c r="X16" i="104"/>
  <c r="P24" i="104"/>
  <c r="N16" i="102"/>
  <c r="H56" i="102"/>
  <c r="D56" i="102"/>
  <c r="L16" i="102"/>
  <c r="D56" i="99"/>
  <c r="L16" i="99"/>
  <c r="H78" i="92"/>
  <c r="N18" i="92"/>
  <c r="T86" i="87"/>
  <c r="Z19" i="87"/>
  <c r="T49" i="82"/>
  <c r="R91" i="84"/>
  <c r="R72" i="84"/>
  <c r="R71" i="84"/>
  <c r="R35" i="84"/>
  <c r="R110" i="84"/>
  <c r="R102" i="84"/>
  <c r="R98" i="84"/>
  <c r="R83" i="84"/>
  <c r="R82" i="84"/>
  <c r="R62" i="84"/>
  <c r="R58" i="84"/>
  <c r="R54" i="84"/>
  <c r="R74" i="84"/>
  <c r="R73" i="84"/>
  <c r="R49" i="84"/>
  <c r="R45" i="84"/>
  <c r="R92" i="84"/>
  <c r="R85" i="84"/>
  <c r="R84" i="84"/>
  <c r="R112" i="84"/>
  <c r="R111" i="84"/>
  <c r="R104" i="84"/>
  <c r="R103" i="84"/>
  <c r="R99" i="84"/>
  <c r="R76" i="84"/>
  <c r="R75" i="84"/>
  <c r="R64" i="84"/>
  <c r="R63" i="84"/>
  <c r="R59" i="84"/>
  <c r="R55" i="84"/>
  <c r="R113" i="84"/>
  <c r="R105" i="84"/>
  <c r="R94" i="84"/>
  <c r="R93" i="84"/>
  <c r="R77" i="84"/>
  <c r="R66" i="84"/>
  <c r="R65" i="84"/>
  <c r="R37" i="84"/>
  <c r="R115" i="84"/>
  <c r="R100" i="84"/>
  <c r="R88" i="84"/>
  <c r="R60" i="84"/>
  <c r="R56" i="84"/>
  <c r="R33" i="84"/>
  <c r="R95" i="84"/>
  <c r="R68" i="84"/>
  <c r="R67" i="84"/>
  <c r="R51" i="84"/>
  <c r="R47" i="84"/>
  <c r="R107" i="84"/>
  <c r="R106" i="84"/>
  <c r="R79" i="84"/>
  <c r="R78" i="84"/>
  <c r="R43" i="84"/>
  <c r="R109" i="84"/>
  <c r="R108" i="84"/>
  <c r="R97" i="84"/>
  <c r="R96" i="84"/>
  <c r="R81" i="84"/>
  <c r="R80" i="84"/>
  <c r="R53" i="84"/>
  <c r="R52" i="84"/>
  <c r="R48" i="84"/>
  <c r="R44" i="84"/>
  <c r="R70" i="84"/>
  <c r="R86" i="84"/>
  <c r="R50" i="84"/>
  <c r="R90" i="84"/>
  <c r="R61" i="84"/>
  <c r="X12" i="84"/>
  <c r="Z12" i="84" s="1"/>
  <c r="R38" i="84"/>
  <c r="R101" i="84"/>
  <c r="R42" i="84"/>
  <c r="R36" i="84"/>
  <c r="R34" i="84"/>
  <c r="R87" i="84"/>
  <c r="R69" i="84"/>
  <c r="R89" i="84"/>
  <c r="R46" i="84"/>
  <c r="R119" i="84"/>
  <c r="R57" i="84"/>
  <c r="R40" i="84"/>
  <c r="P40" i="84"/>
  <c r="R73" i="79"/>
  <c r="R72" i="79"/>
  <c r="R49" i="79"/>
  <c r="R48" i="79"/>
  <c r="R32" i="79"/>
  <c r="R28" i="79"/>
  <c r="R76" i="79"/>
  <c r="R61" i="79"/>
  <c r="R60" i="79"/>
  <c r="R53" i="79"/>
  <c r="R52" i="79"/>
  <c r="R80" i="79"/>
  <c r="R62" i="79"/>
  <c r="R55" i="79"/>
  <c r="R54" i="79"/>
  <c r="R30" i="79"/>
  <c r="R26" i="79"/>
  <c r="R69" i="79"/>
  <c r="R71" i="79"/>
  <c r="R70" i="79"/>
  <c r="R57" i="79"/>
  <c r="R40" i="79"/>
  <c r="R37" i="79"/>
  <c r="R33" i="79"/>
  <c r="R74" i="79"/>
  <c r="R63" i="79"/>
  <c r="R58" i="79"/>
  <c r="R34" i="79"/>
  <c r="R25" i="79"/>
  <c r="R17" i="79"/>
  <c r="R66" i="79"/>
  <c r="R44" i="79"/>
  <c r="R41" i="79"/>
  <c r="R31" i="79"/>
  <c r="R64" i="79"/>
  <c r="R45" i="79"/>
  <c r="R38" i="79"/>
  <c r="R35" i="79"/>
  <c r="R18" i="79"/>
  <c r="R59" i="79"/>
  <c r="R67" i="79"/>
  <c r="X12" i="79"/>
  <c r="Z12" i="79" s="1"/>
  <c r="R56" i="79"/>
  <c r="R42" i="79"/>
  <c r="R39" i="79"/>
  <c r="R29" i="79"/>
  <c r="R19" i="79"/>
  <c r="R68" i="79"/>
  <c r="R46" i="79"/>
  <c r="R50" i="79"/>
  <c r="R36" i="79"/>
  <c r="R65" i="79"/>
  <c r="R47" i="79"/>
  <c r="R43" i="79"/>
  <c r="R27" i="79"/>
  <c r="R24" i="79"/>
  <c r="R23" i="79"/>
  <c r="P21" i="79"/>
  <c r="R51" i="79"/>
  <c r="D80" i="75"/>
  <c r="L26" i="75"/>
  <c r="N26" i="75" s="1"/>
  <c r="T57" i="60"/>
  <c r="Z16" i="60"/>
  <c r="P57" i="60"/>
  <c r="X16" i="60"/>
  <c r="P67" i="59"/>
  <c r="X16" i="59"/>
  <c r="D67" i="59"/>
  <c r="L16" i="59"/>
  <c r="T98" i="45"/>
  <c r="H80" i="33"/>
  <c r="R85" i="24"/>
  <c r="R62" i="24"/>
  <c r="R61" i="24"/>
  <c r="R45" i="24"/>
  <c r="R41" i="24"/>
  <c r="R80" i="24"/>
  <c r="R73" i="24"/>
  <c r="R72" i="24"/>
  <c r="R32" i="24"/>
  <c r="R28" i="24"/>
  <c r="R64" i="24"/>
  <c r="R63" i="24"/>
  <c r="R55" i="24"/>
  <c r="R51" i="24"/>
  <c r="R87" i="24"/>
  <c r="R86" i="24"/>
  <c r="R74" i="24"/>
  <c r="R47" i="24"/>
  <c r="R46" i="24"/>
  <c r="R81" i="24"/>
  <c r="R65" i="24"/>
  <c r="R38" i="24"/>
  <c r="R33" i="24"/>
  <c r="R29" i="24"/>
  <c r="R90" i="24"/>
  <c r="R76" i="24"/>
  <c r="R75" i="24"/>
  <c r="R43" i="24"/>
  <c r="R39" i="24"/>
  <c r="P35" i="24"/>
  <c r="R82" i="24"/>
  <c r="R67" i="24"/>
  <c r="R66" i="24"/>
  <c r="R30" i="24"/>
  <c r="R26" i="24"/>
  <c r="X12" i="24"/>
  <c r="Z12" i="24" s="1"/>
  <c r="R77" i="24"/>
  <c r="R58" i="24"/>
  <c r="R57" i="24"/>
  <c r="R53" i="24"/>
  <c r="R49" i="24"/>
  <c r="R94" i="24"/>
  <c r="R69" i="24"/>
  <c r="R68" i="24"/>
  <c r="R44" i="24"/>
  <c r="R40" i="24"/>
  <c r="R79" i="24"/>
  <c r="R70" i="24"/>
  <c r="R88" i="24"/>
  <c r="R60" i="24"/>
  <c r="R71" i="24"/>
  <c r="R42" i="24"/>
  <c r="R27" i="24"/>
  <c r="R83" i="24"/>
  <c r="R56" i="24"/>
  <c r="R35" i="24"/>
  <c r="R54" i="24"/>
  <c r="R52" i="24"/>
  <c r="R48" i="24"/>
  <c r="R25" i="24"/>
  <c r="R50" i="24"/>
  <c r="R59" i="24"/>
  <c r="R78" i="24"/>
  <c r="R37" i="24"/>
  <c r="R84" i="24"/>
  <c r="R31" i="24"/>
  <c r="T214" i="15"/>
  <c r="V108" i="15"/>
  <c r="F130" i="18"/>
  <c r="X18" i="46"/>
  <c r="P27" i="46"/>
  <c r="P27" i="44"/>
  <c r="X18" i="44"/>
  <c r="L18" i="44"/>
  <c r="D27" i="44"/>
  <c r="T27" i="40"/>
  <c r="Z18" i="40"/>
  <c r="L18" i="41"/>
  <c r="D27" i="41"/>
  <c r="L18" i="19"/>
  <c r="D27" i="19"/>
  <c r="X18" i="17"/>
  <c r="P27" i="17"/>
  <c r="T27" i="14"/>
  <c r="Z18" i="14"/>
  <c r="X18" i="14"/>
  <c r="P27" i="14"/>
  <c r="T71" i="109"/>
  <c r="D92" i="105"/>
  <c r="L23" i="105"/>
  <c r="N23" i="105" s="1"/>
  <c r="D78" i="94"/>
  <c r="L20" i="94"/>
  <c r="T82" i="91"/>
  <c r="Z16" i="91"/>
  <c r="T27" i="110"/>
  <c r="Z18" i="110"/>
  <c r="X18" i="49"/>
  <c r="P27" i="49"/>
  <c r="Z23" i="105"/>
  <c r="T92" i="105"/>
  <c r="R68" i="92"/>
  <c r="R57" i="92"/>
  <c r="R56" i="92"/>
  <c r="R21" i="92"/>
  <c r="R16" i="92"/>
  <c r="R80" i="92"/>
  <c r="R59" i="92"/>
  <c r="R58" i="92"/>
  <c r="R85" i="92"/>
  <c r="R82" i="92"/>
  <c r="R70" i="92"/>
  <c r="R69" i="92"/>
  <c r="R65" i="92"/>
  <c r="R50" i="92"/>
  <c r="R49" i="92"/>
  <c r="R60" i="92"/>
  <c r="R41" i="92"/>
  <c r="R40" i="92"/>
  <c r="R36" i="92"/>
  <c r="R32" i="92"/>
  <c r="R71" i="92"/>
  <c r="R52" i="92"/>
  <c r="R51" i="92"/>
  <c r="R66" i="92"/>
  <c r="R43" i="92"/>
  <c r="R42" i="92"/>
  <c r="R61" i="92"/>
  <c r="R54" i="92"/>
  <c r="R53" i="92"/>
  <c r="R73" i="92"/>
  <c r="R72" i="92"/>
  <c r="R67" i="92"/>
  <c r="R55" i="92"/>
  <c r="R74" i="92"/>
  <c r="R62" i="92"/>
  <c r="R46" i="92"/>
  <c r="R38" i="92"/>
  <c r="R78" i="92"/>
  <c r="R37" i="92"/>
  <c r="R27" i="92"/>
  <c r="P18" i="92"/>
  <c r="R44" i="92"/>
  <c r="R20" i="92"/>
  <c r="R24" i="92"/>
  <c r="R15" i="92"/>
  <c r="R45" i="92"/>
  <c r="R35" i="92"/>
  <c r="R76" i="92"/>
  <c r="R47" i="92"/>
  <c r="R28" i="92"/>
  <c r="R25" i="92"/>
  <c r="X12" i="92"/>
  <c r="R22" i="92"/>
  <c r="R63" i="92"/>
  <c r="R33" i="92"/>
  <c r="R30" i="92"/>
  <c r="R29" i="92"/>
  <c r="R48" i="92"/>
  <c r="R26" i="92"/>
  <c r="R23" i="92"/>
  <c r="R18" i="92"/>
  <c r="R31" i="92"/>
  <c r="R39" i="92"/>
  <c r="R64" i="92"/>
  <c r="R34" i="92"/>
  <c r="H24" i="108"/>
  <c r="N16" i="108"/>
  <c r="H71" i="109"/>
  <c r="V23" i="105"/>
  <c r="F23" i="105"/>
  <c r="H99" i="105"/>
  <c r="L19" i="97"/>
  <c r="D84" i="97"/>
  <c r="H60" i="99"/>
  <c r="T27" i="98"/>
  <c r="Z23" i="98"/>
  <c r="R86" i="93"/>
  <c r="R83" i="93"/>
  <c r="R71" i="93"/>
  <c r="R70" i="93"/>
  <c r="R66" i="93"/>
  <c r="R55" i="93"/>
  <c r="R54" i="93"/>
  <c r="R43" i="93"/>
  <c r="R42" i="93"/>
  <c r="R38" i="93"/>
  <c r="R34" i="93"/>
  <c r="R62" i="93"/>
  <c r="R61" i="93"/>
  <c r="R72" i="93"/>
  <c r="R56" i="93"/>
  <c r="R45" i="93"/>
  <c r="R44" i="93"/>
  <c r="X12" i="93"/>
  <c r="R67" i="93"/>
  <c r="R63" i="93"/>
  <c r="R39" i="93"/>
  <c r="R35" i="93"/>
  <c r="R16" i="93"/>
  <c r="R47" i="93"/>
  <c r="R46" i="93"/>
  <c r="R30" i="93"/>
  <c r="R26" i="93"/>
  <c r="R74" i="93"/>
  <c r="R73" i="93"/>
  <c r="R57" i="93"/>
  <c r="R22" i="93"/>
  <c r="R17" i="93"/>
  <c r="R68" i="93"/>
  <c r="R64" i="93"/>
  <c r="R49" i="93"/>
  <c r="R48" i="93"/>
  <c r="R40" i="93"/>
  <c r="R36" i="93"/>
  <c r="R21" i="93"/>
  <c r="R19" i="93"/>
  <c r="R75" i="93"/>
  <c r="R32" i="93"/>
  <c r="R31" i="93"/>
  <c r="R27" i="93"/>
  <c r="R23" i="93"/>
  <c r="P19" i="93"/>
  <c r="R79" i="93"/>
  <c r="R77" i="93"/>
  <c r="R59" i="93"/>
  <c r="R58" i="93"/>
  <c r="R51" i="93"/>
  <c r="R50" i="93"/>
  <c r="R69" i="93"/>
  <c r="R65" i="93"/>
  <c r="R41" i="93"/>
  <c r="R37" i="93"/>
  <c r="R33" i="93"/>
  <c r="R60" i="93"/>
  <c r="R53" i="93"/>
  <c r="R52" i="93"/>
  <c r="R28" i="93"/>
  <c r="R24" i="93"/>
  <c r="R25" i="93"/>
  <c r="R29" i="93"/>
  <c r="R81" i="93"/>
  <c r="H83" i="93"/>
  <c r="P82" i="91"/>
  <c r="X16" i="91"/>
  <c r="D36" i="88"/>
  <c r="T88" i="83"/>
  <c r="V21" i="83"/>
  <c r="H92" i="83"/>
  <c r="T144" i="74"/>
  <c r="T100" i="76"/>
  <c r="H92" i="68"/>
  <c r="V19" i="72"/>
  <c r="H74" i="72"/>
  <c r="J70" i="72"/>
  <c r="T96" i="63"/>
  <c r="Z16" i="63"/>
  <c r="H31" i="55"/>
  <c r="N16" i="55"/>
  <c r="P73" i="58"/>
  <c r="X16" i="58"/>
  <c r="H126" i="42"/>
  <c r="H102" i="9"/>
  <c r="N17" i="9"/>
  <c r="Z16" i="6"/>
  <c r="T22" i="6"/>
  <c r="H27" i="110"/>
  <c r="N18" i="110"/>
  <c r="L18" i="110"/>
  <c r="D27" i="110"/>
  <c r="L18" i="112"/>
  <c r="D27" i="112"/>
  <c r="X18" i="53"/>
  <c r="P27" i="53"/>
  <c r="L18" i="46"/>
  <c r="D27" i="46"/>
  <c r="L18" i="35"/>
  <c r="D27" i="35"/>
  <c r="H27" i="28"/>
  <c r="N18" i="28"/>
  <c r="N18" i="22"/>
  <c r="H27" i="22"/>
  <c r="H27" i="20"/>
  <c r="N18" i="20"/>
  <c r="H27" i="19"/>
  <c r="N18" i="19"/>
  <c r="X18" i="23"/>
  <c r="P27" i="23"/>
  <c r="L18" i="13"/>
  <c r="D27" i="13"/>
  <c r="L18" i="16"/>
  <c r="D27" i="16"/>
  <c r="T27" i="11"/>
  <c r="Z18" i="11"/>
  <c r="H27" i="11"/>
  <c r="N18" i="11"/>
  <c r="P27" i="13"/>
  <c r="X18" i="13"/>
  <c r="H27" i="5"/>
  <c r="N18" i="5"/>
  <c r="X18" i="8"/>
  <c r="P27" i="8"/>
  <c r="T27" i="7"/>
  <c r="Z18" i="7"/>
  <c r="H37" i="100"/>
  <c r="H109" i="70"/>
  <c r="T92" i="68"/>
  <c r="N17" i="57"/>
  <c r="H73" i="57"/>
  <c r="P22" i="54"/>
  <c r="X16" i="54"/>
  <c r="D31" i="55"/>
  <c r="L16" i="55"/>
  <c r="T27" i="112"/>
  <c r="Z18" i="112"/>
  <c r="T92" i="103"/>
  <c r="T121" i="84"/>
  <c r="X16" i="101"/>
  <c r="P36" i="101"/>
  <c r="F57" i="95"/>
  <c r="F56" i="95"/>
  <c r="F33" i="95"/>
  <c r="F84" i="95"/>
  <c r="F83" i="95"/>
  <c r="F72" i="95"/>
  <c r="F68" i="95"/>
  <c r="F67" i="95"/>
  <c r="F48" i="95"/>
  <c r="F47" i="95"/>
  <c r="F92" i="95"/>
  <c r="F79" i="95"/>
  <c r="F59" i="95"/>
  <c r="F58" i="95"/>
  <c r="F43" i="95"/>
  <c r="F39" i="95"/>
  <c r="F96" i="95"/>
  <c r="F74" i="95"/>
  <c r="F73" i="95"/>
  <c r="F50" i="95"/>
  <c r="F49" i="95"/>
  <c r="F34" i="95"/>
  <c r="F85" i="95"/>
  <c r="F69" i="95"/>
  <c r="F61" i="95"/>
  <c r="F60" i="95"/>
  <c r="F80" i="95"/>
  <c r="F76" i="95"/>
  <c r="F75" i="95"/>
  <c r="F52" i="95"/>
  <c r="F51" i="95"/>
  <c r="F87" i="95"/>
  <c r="F86" i="95"/>
  <c r="F63" i="95"/>
  <c r="F62" i="95"/>
  <c r="F35" i="95"/>
  <c r="F31" i="95"/>
  <c r="F27" i="95"/>
  <c r="F70" i="95"/>
  <c r="F54" i="95"/>
  <c r="F53" i="95"/>
  <c r="F81" i="95"/>
  <c r="F77" i="95"/>
  <c r="F65" i="95"/>
  <c r="F64" i="95"/>
  <c r="F88" i="95"/>
  <c r="F71" i="95"/>
  <c r="F90" i="95"/>
  <c r="F89" i="95"/>
  <c r="F82" i="95"/>
  <c r="F78" i="95"/>
  <c r="F66" i="95"/>
  <c r="F55" i="95"/>
  <c r="F45" i="95"/>
  <c r="F41" i="95"/>
  <c r="F36" i="95"/>
  <c r="F28" i="95"/>
  <c r="F19" i="95"/>
  <c r="F18" i="95"/>
  <c r="F37" i="95"/>
  <c r="F20" i="95"/>
  <c r="F29" i="95"/>
  <c r="F46" i="95"/>
  <c r="F44" i="95"/>
  <c r="F42" i="95"/>
  <c r="F32" i="95"/>
  <c r="F21" i="95"/>
  <c r="F40" i="95"/>
  <c r="F30" i="95"/>
  <c r="F26" i="95"/>
  <c r="F38" i="95"/>
  <c r="F25" i="95"/>
  <c r="D23" i="95"/>
  <c r="L12" i="95"/>
  <c r="N12" i="95" s="1"/>
  <c r="T94" i="95"/>
  <c r="X21" i="83"/>
  <c r="Z21" i="83" s="1"/>
  <c r="P88" i="83"/>
  <c r="H70" i="80"/>
  <c r="N19" i="80"/>
  <c r="H67" i="69"/>
  <c r="F17" i="48"/>
  <c r="R120" i="39"/>
  <c r="R121" i="39"/>
  <c r="R111" i="39"/>
  <c r="R103" i="39"/>
  <c r="R99" i="39"/>
  <c r="R95" i="39"/>
  <c r="R78" i="39"/>
  <c r="R50" i="39"/>
  <c r="R46" i="39"/>
  <c r="R112" i="39"/>
  <c r="R105" i="39"/>
  <c r="R104" i="39"/>
  <c r="R100" i="39"/>
  <c r="R96" i="39"/>
  <c r="R85" i="39"/>
  <c r="R84" i="39"/>
  <c r="R69" i="39"/>
  <c r="R68" i="39"/>
  <c r="R60" i="39"/>
  <c r="R125" i="39"/>
  <c r="R106" i="39"/>
  <c r="R91" i="39"/>
  <c r="R90" i="39"/>
  <c r="R86" i="39"/>
  <c r="R71" i="39"/>
  <c r="R70" i="39"/>
  <c r="R114" i="39"/>
  <c r="R113" i="39"/>
  <c r="R101" i="39"/>
  <c r="R97" i="39"/>
  <c r="R62" i="39"/>
  <c r="R61" i="39"/>
  <c r="R54" i="39"/>
  <c r="R53" i="39"/>
  <c r="R93" i="39"/>
  <c r="R92" i="39"/>
  <c r="R80" i="39"/>
  <c r="R73" i="39"/>
  <c r="R72" i="39"/>
  <c r="R48" i="39"/>
  <c r="R115" i="39"/>
  <c r="R108" i="39"/>
  <c r="R107" i="39"/>
  <c r="R87" i="39"/>
  <c r="R64" i="39"/>
  <c r="R63" i="39"/>
  <c r="R56" i="39"/>
  <c r="R55" i="39"/>
  <c r="R109" i="39"/>
  <c r="R66" i="39"/>
  <c r="R57" i="39"/>
  <c r="R45" i="39"/>
  <c r="R42" i="39"/>
  <c r="R23" i="39"/>
  <c r="X12" i="39"/>
  <c r="Z12" i="39" s="1"/>
  <c r="R81" i="39"/>
  <c r="R79" i="39"/>
  <c r="R74" i="39"/>
  <c r="R58" i="39"/>
  <c r="R51" i="39"/>
  <c r="R37" i="39"/>
  <c r="R33" i="39"/>
  <c r="R77" i="39"/>
  <c r="R24" i="39"/>
  <c r="R119" i="39"/>
  <c r="R110" i="39"/>
  <c r="R82" i="39"/>
  <c r="R43" i="39"/>
  <c r="R117" i="39"/>
  <c r="R75" i="39"/>
  <c r="R52" i="39"/>
  <c r="R49" i="39"/>
  <c r="R38" i="39"/>
  <c r="R34" i="39"/>
  <c r="R94" i="39"/>
  <c r="R89" i="39"/>
  <c r="R67" i="39"/>
  <c r="R25" i="39"/>
  <c r="R102" i="39"/>
  <c r="R98" i="39"/>
  <c r="R59" i="39"/>
  <c r="R47" i="39"/>
  <c r="R44" i="39"/>
  <c r="R39" i="39"/>
  <c r="R35" i="39"/>
  <c r="R118" i="39"/>
  <c r="R31" i="39"/>
  <c r="R26" i="39"/>
  <c r="R83" i="39"/>
  <c r="R65" i="39"/>
  <c r="R30" i="39"/>
  <c r="R36" i="39"/>
  <c r="P28" i="39"/>
  <c r="R28" i="39" s="1"/>
  <c r="R88" i="39"/>
  <c r="R76" i="39"/>
  <c r="R40" i="39"/>
  <c r="R41" i="39"/>
  <c r="R32" i="39"/>
  <c r="T130" i="36"/>
  <c r="H162" i="30"/>
  <c r="V35" i="24"/>
  <c r="T92" i="24"/>
  <c r="L24" i="21"/>
  <c r="N24" i="21" s="1"/>
  <c r="D104" i="21"/>
  <c r="T237" i="18"/>
  <c r="Z130" i="18"/>
  <c r="L18" i="111"/>
  <c r="D27" i="111"/>
  <c r="H27" i="112"/>
  <c r="N18" i="112"/>
  <c r="L18" i="52"/>
  <c r="D27" i="52"/>
  <c r="T27" i="49"/>
  <c r="Z18" i="49"/>
  <c r="H27" i="44"/>
  <c r="N18" i="44"/>
  <c r="L18" i="40"/>
  <c r="D27" i="40"/>
  <c r="P27" i="38"/>
  <c r="X18" i="38"/>
  <c r="T27" i="31"/>
  <c r="Z18" i="31"/>
  <c r="H27" i="26"/>
  <c r="N18" i="26"/>
  <c r="L18" i="26"/>
  <c r="D27" i="26"/>
  <c r="P27" i="34"/>
  <c r="X18" i="34"/>
  <c r="T27" i="23"/>
  <c r="Z18" i="23"/>
  <c r="D27" i="17"/>
  <c r="L18" i="17"/>
  <c r="L18" i="14"/>
  <c r="D27" i="14"/>
  <c r="N18" i="10"/>
  <c r="H27" i="10"/>
  <c r="H27" i="13"/>
  <c r="N18" i="13"/>
  <c r="T162" i="30"/>
  <c r="H27" i="40"/>
  <c r="N18" i="40"/>
  <c r="H27" i="25"/>
  <c r="N18" i="25"/>
  <c r="X20" i="85"/>
  <c r="Z20" i="85" s="1"/>
  <c r="R20" i="85"/>
  <c r="P28" i="85"/>
  <c r="D82" i="91"/>
  <c r="L16" i="91"/>
  <c r="R23" i="103"/>
  <c r="R23" i="105"/>
  <c r="R86" i="95"/>
  <c r="R85" i="95"/>
  <c r="R69" i="95"/>
  <c r="R62" i="95"/>
  <c r="R61" i="95"/>
  <c r="R80" i="95"/>
  <c r="R76" i="95"/>
  <c r="R53" i="95"/>
  <c r="R52" i="95"/>
  <c r="R44" i="95"/>
  <c r="R87" i="95"/>
  <c r="R64" i="95"/>
  <c r="R63" i="95"/>
  <c r="R36" i="95"/>
  <c r="R35" i="95"/>
  <c r="R31" i="95"/>
  <c r="R70" i="95"/>
  <c r="R54" i="95"/>
  <c r="R81" i="95"/>
  <c r="R77" i="95"/>
  <c r="R65" i="95"/>
  <c r="R45" i="95"/>
  <c r="R41" i="95"/>
  <c r="R37" i="95"/>
  <c r="R89" i="95"/>
  <c r="R88" i="95"/>
  <c r="R71" i="95"/>
  <c r="R56" i="95"/>
  <c r="R55" i="95"/>
  <c r="R90" i="95"/>
  <c r="R83" i="95"/>
  <c r="R82" i="95"/>
  <c r="R78" i="95"/>
  <c r="R67" i="95"/>
  <c r="R66" i="95"/>
  <c r="R47" i="95"/>
  <c r="R46" i="95"/>
  <c r="R42" i="95"/>
  <c r="R38" i="95"/>
  <c r="R92" i="95"/>
  <c r="R58" i="95"/>
  <c r="R57" i="95"/>
  <c r="R84" i="95"/>
  <c r="R73" i="95"/>
  <c r="R72" i="95"/>
  <c r="R68" i="95"/>
  <c r="R49" i="95"/>
  <c r="R48" i="95"/>
  <c r="R79" i="95"/>
  <c r="R96" i="95"/>
  <c r="R75" i="95"/>
  <c r="R74" i="95"/>
  <c r="R59" i="95"/>
  <c r="R39" i="95"/>
  <c r="R34" i="95"/>
  <c r="R29" i="95"/>
  <c r="R32" i="95"/>
  <c r="R26" i="95"/>
  <c r="R21" i="95"/>
  <c r="R25" i="95"/>
  <c r="R50" i="95"/>
  <c r="R40" i="95"/>
  <c r="P23" i="95"/>
  <c r="R27" i="95"/>
  <c r="R60" i="95"/>
  <c r="R33" i="95"/>
  <c r="R30" i="95"/>
  <c r="R18" i="95"/>
  <c r="X12" i="95"/>
  <c r="Z12" i="95" s="1"/>
  <c r="R51" i="95"/>
  <c r="R19" i="95"/>
  <c r="R43" i="95"/>
  <c r="R28" i="95"/>
  <c r="R20" i="95"/>
  <c r="H94" i="95"/>
  <c r="J23" i="95"/>
  <c r="H82" i="91"/>
  <c r="N16" i="91"/>
  <c r="F72" i="92"/>
  <c r="F44" i="92"/>
  <c r="F43" i="92"/>
  <c r="F28" i="92"/>
  <c r="F24" i="92"/>
  <c r="F74" i="92"/>
  <c r="F73" i="92"/>
  <c r="F62" i="92"/>
  <c r="F46" i="92"/>
  <c r="F45" i="92"/>
  <c r="F68" i="92"/>
  <c r="F56" i="92"/>
  <c r="F16" i="92"/>
  <c r="F15" i="92"/>
  <c r="F78" i="92"/>
  <c r="F76" i="92"/>
  <c r="F63" i="92"/>
  <c r="F47" i="92"/>
  <c r="F39" i="92"/>
  <c r="F80" i="92"/>
  <c r="F58" i="92"/>
  <c r="F57" i="92"/>
  <c r="F26" i="92"/>
  <c r="F22" i="92"/>
  <c r="F21" i="92"/>
  <c r="L12" i="92"/>
  <c r="F69" i="92"/>
  <c r="F65" i="92"/>
  <c r="F64" i="92"/>
  <c r="F60" i="92"/>
  <c r="F59" i="92"/>
  <c r="F85" i="92"/>
  <c r="F82" i="92"/>
  <c r="F71" i="92"/>
  <c r="F70" i="92"/>
  <c r="F51" i="92"/>
  <c r="F50" i="92"/>
  <c r="F66" i="92"/>
  <c r="F42" i="92"/>
  <c r="F41" i="92"/>
  <c r="F36" i="92"/>
  <c r="F29" i="92"/>
  <c r="F48" i="92"/>
  <c r="F23" i="92"/>
  <c r="F31" i="92"/>
  <c r="F30" i="92"/>
  <c r="F34" i="92"/>
  <c r="F18" i="92"/>
  <c r="F54" i="92"/>
  <c r="F49" i="92"/>
  <c r="F37" i="92"/>
  <c r="F27" i="92"/>
  <c r="D18" i="92"/>
  <c r="F20" i="92"/>
  <c r="F40" i="92"/>
  <c r="F35" i="92"/>
  <c r="F32" i="92"/>
  <c r="F67" i="92"/>
  <c r="F55" i="92"/>
  <c r="F52" i="92"/>
  <c r="F38" i="92"/>
  <c r="F61" i="92"/>
  <c r="F25" i="92"/>
  <c r="F53" i="92"/>
  <c r="F33" i="92"/>
  <c r="N16" i="88"/>
  <c r="H32" i="88"/>
  <c r="T28" i="85"/>
  <c r="D86" i="87"/>
  <c r="L19" i="87"/>
  <c r="H32" i="85"/>
  <c r="J28" i="85"/>
  <c r="D28" i="85"/>
  <c r="L20" i="85"/>
  <c r="N20" i="85" s="1"/>
  <c r="H86" i="87"/>
  <c r="N19" i="87"/>
  <c r="T80" i="75"/>
  <c r="P70" i="72"/>
  <c r="X19" i="72"/>
  <c r="L35" i="68"/>
  <c r="N35" i="68" s="1"/>
  <c r="D92" i="68"/>
  <c r="F35" i="68"/>
  <c r="F115" i="42"/>
  <c r="F113" i="42"/>
  <c r="F84" i="42"/>
  <c r="F72" i="42"/>
  <c r="F71" i="42"/>
  <c r="F60" i="42"/>
  <c r="F59" i="42"/>
  <c r="F52" i="42"/>
  <c r="F51" i="42"/>
  <c r="F36" i="42"/>
  <c r="F32" i="42"/>
  <c r="F116" i="42"/>
  <c r="F107" i="42"/>
  <c r="F106" i="42"/>
  <c r="F99" i="42"/>
  <c r="F95" i="42"/>
  <c r="F91" i="42"/>
  <c r="F79" i="42"/>
  <c r="F78" i="42"/>
  <c r="F23" i="42"/>
  <c r="F117" i="42"/>
  <c r="F74" i="42"/>
  <c r="F73" i="42"/>
  <c r="F62" i="42"/>
  <c r="F61" i="42"/>
  <c r="F54" i="42"/>
  <c r="F53" i="42"/>
  <c r="F46" i="42"/>
  <c r="F42" i="42"/>
  <c r="F108" i="42"/>
  <c r="F100" i="42"/>
  <c r="F96" i="42"/>
  <c r="F92" i="42"/>
  <c r="F80" i="42"/>
  <c r="F64" i="42"/>
  <c r="F63" i="42"/>
  <c r="F56" i="42"/>
  <c r="F55" i="42"/>
  <c r="F27" i="42"/>
  <c r="F121" i="42"/>
  <c r="F75" i="42"/>
  <c r="F47" i="42"/>
  <c r="F43" i="42"/>
  <c r="F39" i="42"/>
  <c r="F38" i="42"/>
  <c r="D25" i="42"/>
  <c r="F25" i="42" s="1"/>
  <c r="F102" i="42"/>
  <c r="F101" i="42"/>
  <c r="F86" i="42"/>
  <c r="F82" i="42"/>
  <c r="F81" i="42"/>
  <c r="F66" i="42"/>
  <c r="F65" i="42"/>
  <c r="F34" i="42"/>
  <c r="F30" i="42"/>
  <c r="F109" i="42"/>
  <c r="F97" i="42"/>
  <c r="F93" i="42"/>
  <c r="F57" i="42"/>
  <c r="F21" i="42"/>
  <c r="F20" i="42"/>
  <c r="F88" i="42"/>
  <c r="F87" i="42"/>
  <c r="F76" i="42"/>
  <c r="F68" i="42"/>
  <c r="F67" i="42"/>
  <c r="F48" i="42"/>
  <c r="F44" i="42"/>
  <c r="F40" i="42"/>
  <c r="L12" i="42"/>
  <c r="N12" i="42" s="1"/>
  <c r="F111" i="42"/>
  <c r="F110" i="42"/>
  <c r="F103" i="42"/>
  <c r="F83" i="42"/>
  <c r="F35" i="42"/>
  <c r="F31" i="42"/>
  <c r="F98" i="42"/>
  <c r="F94" i="42"/>
  <c r="F90" i="42"/>
  <c r="F89" i="42"/>
  <c r="F70" i="42"/>
  <c r="F69" i="42"/>
  <c r="F58" i="42"/>
  <c r="F50" i="42"/>
  <c r="F49" i="42"/>
  <c r="F22" i="42"/>
  <c r="F45" i="42"/>
  <c r="F29" i="42"/>
  <c r="F114" i="42"/>
  <c r="F105" i="42"/>
  <c r="F77" i="42"/>
  <c r="F33" i="42"/>
  <c r="F85" i="42"/>
  <c r="F37" i="42"/>
  <c r="F41" i="42"/>
  <c r="F28" i="42"/>
  <c r="F104" i="42"/>
  <c r="D126" i="36"/>
  <c r="L27" i="36"/>
  <c r="N27" i="36" s="1"/>
  <c r="F108" i="27"/>
  <c r="F112" i="27"/>
  <c r="F94" i="27"/>
  <c r="F93" i="27"/>
  <c r="F86" i="27"/>
  <c r="F85" i="27"/>
  <c r="F74" i="27"/>
  <c r="F70" i="27"/>
  <c r="F66" i="27"/>
  <c r="L12" i="27"/>
  <c r="N12" i="27" s="1"/>
  <c r="F101" i="27"/>
  <c r="F61" i="27"/>
  <c r="F57" i="27"/>
  <c r="F96" i="27"/>
  <c r="F95" i="27"/>
  <c r="F76" i="27"/>
  <c r="F75" i="27"/>
  <c r="F48" i="27"/>
  <c r="F44" i="27"/>
  <c r="F40" i="27"/>
  <c r="F36" i="27"/>
  <c r="F35" i="27"/>
  <c r="F103" i="27"/>
  <c r="F102" i="27"/>
  <c r="F87" i="27"/>
  <c r="F71" i="27"/>
  <c r="F67" i="27"/>
  <c r="F78" i="27"/>
  <c r="F77" i="27"/>
  <c r="F62" i="27"/>
  <c r="F58" i="27"/>
  <c r="F54" i="27"/>
  <c r="F53" i="27"/>
  <c r="F106" i="27"/>
  <c r="F97" i="27"/>
  <c r="F89" i="27"/>
  <c r="F88" i="27"/>
  <c r="F107" i="27"/>
  <c r="F105" i="27"/>
  <c r="F80" i="27"/>
  <c r="F79" i="27"/>
  <c r="F72" i="27"/>
  <c r="F68" i="27"/>
  <c r="D50" i="27"/>
  <c r="F50" i="27" s="1"/>
  <c r="F91" i="27"/>
  <c r="F90" i="27"/>
  <c r="F63" i="27"/>
  <c r="F59" i="27"/>
  <c r="F55" i="27"/>
  <c r="F98" i="27"/>
  <c r="F82" i="27"/>
  <c r="F81" i="27"/>
  <c r="F46" i="27"/>
  <c r="F42" i="27"/>
  <c r="F38" i="27"/>
  <c r="F73" i="27"/>
  <c r="F69" i="27"/>
  <c r="F65" i="27"/>
  <c r="F64" i="27"/>
  <c r="F43" i="27"/>
  <c r="F41" i="27"/>
  <c r="F99" i="27"/>
  <c r="F83" i="27"/>
  <c r="F39" i="27"/>
  <c r="F37" i="27"/>
  <c r="F92" i="27"/>
  <c r="F56" i="27"/>
  <c r="F52" i="27"/>
  <c r="F100" i="27"/>
  <c r="F84" i="27"/>
  <c r="F60" i="27"/>
  <c r="F47" i="27"/>
  <c r="F45" i="27"/>
  <c r="P22" i="6"/>
  <c r="X16" i="6"/>
  <c r="D22" i="6"/>
  <c r="L16" i="6"/>
  <c r="T102" i="9"/>
  <c r="Z17" i="9"/>
  <c r="H27" i="111"/>
  <c r="N18" i="111"/>
  <c r="P27" i="50"/>
  <c r="X18" i="50"/>
  <c r="H27" i="46"/>
  <c r="N18" i="46"/>
  <c r="T27" i="43"/>
  <c r="Z18" i="43"/>
  <c r="T27" i="41"/>
  <c r="Z18" i="41"/>
  <c r="X18" i="41"/>
  <c r="P27" i="41"/>
  <c r="T27" i="47"/>
  <c r="Z18" i="47"/>
  <c r="X18" i="37"/>
  <c r="P27" i="37"/>
  <c r="H27" i="31"/>
  <c r="N18" i="31"/>
  <c r="P27" i="25"/>
  <c r="X18" i="25"/>
  <c r="T27" i="13"/>
  <c r="Z18" i="13"/>
  <c r="X18" i="7"/>
  <c r="P27" i="7"/>
  <c r="H27" i="4"/>
  <c r="N18" i="4"/>
  <c r="D30" i="100"/>
  <c r="L16" i="100"/>
  <c r="P30" i="100"/>
  <c r="X16" i="100"/>
  <c r="T100" i="51"/>
  <c r="T104" i="21"/>
  <c r="Z24" i="21"/>
  <c r="L18" i="47"/>
  <c r="D27" i="47"/>
  <c r="L18" i="43"/>
  <c r="D27" i="43"/>
  <c r="H86" i="107"/>
  <c r="J19" i="107"/>
  <c r="T31" i="108"/>
  <c r="Z31" i="108" s="1"/>
  <c r="Z28" i="108"/>
  <c r="Z16" i="104"/>
  <c r="T24" i="104"/>
  <c r="H40" i="101"/>
  <c r="X17" i="98"/>
  <c r="P23" i="98"/>
  <c r="T85" i="94"/>
  <c r="T78" i="92"/>
  <c r="Z18" i="92"/>
  <c r="V20" i="85"/>
  <c r="H56" i="82"/>
  <c r="R94" i="76"/>
  <c r="R87" i="76"/>
  <c r="R86" i="76"/>
  <c r="R59" i="76"/>
  <c r="R58" i="76"/>
  <c r="R54" i="76"/>
  <c r="R50" i="76"/>
  <c r="R97" i="76"/>
  <c r="R96" i="76"/>
  <c r="R78" i="76"/>
  <c r="R77" i="76"/>
  <c r="R41" i="76"/>
  <c r="R37" i="76"/>
  <c r="R33" i="76"/>
  <c r="R98" i="76"/>
  <c r="R88" i="76"/>
  <c r="R68" i="76"/>
  <c r="R64" i="76"/>
  <c r="R60" i="76"/>
  <c r="X12" i="76"/>
  <c r="Z12" i="76" s="1"/>
  <c r="R79" i="76"/>
  <c r="R55" i="76"/>
  <c r="R51" i="76"/>
  <c r="R42" i="76"/>
  <c r="R38" i="76"/>
  <c r="R34" i="76"/>
  <c r="R89" i="76"/>
  <c r="R70" i="76"/>
  <c r="R69" i="76"/>
  <c r="R65" i="76"/>
  <c r="R61" i="76"/>
  <c r="R102" i="76"/>
  <c r="R81" i="76"/>
  <c r="R80" i="76"/>
  <c r="R56" i="76"/>
  <c r="R52" i="76"/>
  <c r="R72" i="76"/>
  <c r="R71" i="76"/>
  <c r="R48" i="76"/>
  <c r="R43" i="76"/>
  <c r="R39" i="76"/>
  <c r="R35" i="76"/>
  <c r="R91" i="76"/>
  <c r="R90" i="76"/>
  <c r="R83" i="76"/>
  <c r="R82" i="76"/>
  <c r="R66" i="76"/>
  <c r="R62" i="76"/>
  <c r="R47" i="76"/>
  <c r="R74" i="76"/>
  <c r="R73" i="76"/>
  <c r="R57" i="76"/>
  <c r="R53" i="76"/>
  <c r="R49" i="76"/>
  <c r="P45" i="76"/>
  <c r="R93" i="76"/>
  <c r="R92" i="76"/>
  <c r="R85" i="76"/>
  <c r="R84" i="76"/>
  <c r="R40" i="76"/>
  <c r="R32" i="76"/>
  <c r="R36" i="76"/>
  <c r="R75" i="76"/>
  <c r="R63" i="76"/>
  <c r="R67" i="76"/>
  <c r="R76" i="76"/>
  <c r="F95" i="84"/>
  <c r="F94" i="84"/>
  <c r="F67" i="84"/>
  <c r="F66" i="84"/>
  <c r="F51" i="84"/>
  <c r="F47" i="84"/>
  <c r="F115" i="84"/>
  <c r="F106" i="84"/>
  <c r="F78" i="84"/>
  <c r="F38" i="84"/>
  <c r="F34" i="84"/>
  <c r="F33" i="84"/>
  <c r="F119" i="84"/>
  <c r="F101" i="84"/>
  <c r="F89" i="84"/>
  <c r="F69" i="84"/>
  <c r="F68" i="84"/>
  <c r="F61" i="84"/>
  <c r="F57" i="84"/>
  <c r="F108" i="84"/>
  <c r="F107" i="84"/>
  <c r="F96" i="84"/>
  <c r="F80" i="84"/>
  <c r="F79" i="84"/>
  <c r="F52" i="84"/>
  <c r="F48" i="84"/>
  <c r="F44" i="84"/>
  <c r="F43" i="84"/>
  <c r="F91" i="84"/>
  <c r="F90" i="84"/>
  <c r="F71" i="84"/>
  <c r="F70" i="84"/>
  <c r="F42" i="84"/>
  <c r="F35" i="84"/>
  <c r="F110" i="84"/>
  <c r="F109" i="84"/>
  <c r="F102" i="84"/>
  <c r="F98" i="84"/>
  <c r="F97" i="84"/>
  <c r="F73" i="84"/>
  <c r="F72" i="84"/>
  <c r="F49" i="84"/>
  <c r="F45" i="84"/>
  <c r="F92" i="84"/>
  <c r="F84" i="84"/>
  <c r="F83" i="84"/>
  <c r="F36" i="84"/>
  <c r="F111" i="84"/>
  <c r="F103" i="84"/>
  <c r="F99" i="84"/>
  <c r="F75" i="84"/>
  <c r="F74" i="84"/>
  <c r="F63" i="84"/>
  <c r="F59" i="84"/>
  <c r="F55" i="84"/>
  <c r="F86" i="84"/>
  <c r="F85" i="84"/>
  <c r="F50" i="84"/>
  <c r="F46" i="84"/>
  <c r="F100" i="84"/>
  <c r="F88" i="84"/>
  <c r="F87" i="84"/>
  <c r="F60" i="84"/>
  <c r="F56" i="84"/>
  <c r="D40" i="84"/>
  <c r="F40" i="84" s="1"/>
  <c r="F104" i="84"/>
  <c r="F37" i="84"/>
  <c r="F112" i="84"/>
  <c r="F93" i="84"/>
  <c r="F82" i="84"/>
  <c r="F76" i="84"/>
  <c r="F54" i="84"/>
  <c r="L12" i="84"/>
  <c r="N12" i="84" s="1"/>
  <c r="F65" i="84"/>
  <c r="F58" i="84"/>
  <c r="F105" i="84"/>
  <c r="F113" i="84"/>
  <c r="F81" i="84"/>
  <c r="F77" i="84"/>
  <c r="F64" i="84"/>
  <c r="F62" i="84"/>
  <c r="F53" i="84"/>
  <c r="F141" i="74"/>
  <c r="F139" i="74"/>
  <c r="F102" i="74"/>
  <c r="F101" i="74"/>
  <c r="F94" i="74"/>
  <c r="F90" i="74"/>
  <c r="F142" i="74"/>
  <c r="F121" i="74"/>
  <c r="F113" i="74"/>
  <c r="F112" i="74"/>
  <c r="F85" i="74"/>
  <c r="F81" i="74"/>
  <c r="F77" i="74"/>
  <c r="F76" i="74"/>
  <c r="F132" i="74"/>
  <c r="F128" i="74"/>
  <c r="F104" i="74"/>
  <c r="F103" i="74"/>
  <c r="F75" i="74"/>
  <c r="F68" i="74"/>
  <c r="F64" i="74"/>
  <c r="F60" i="74"/>
  <c r="F56" i="74"/>
  <c r="F52" i="74"/>
  <c r="F123" i="74"/>
  <c r="F122" i="74"/>
  <c r="F115" i="74"/>
  <c r="F114" i="74"/>
  <c r="F95" i="74"/>
  <c r="F91" i="74"/>
  <c r="F87" i="74"/>
  <c r="F86" i="74"/>
  <c r="D73" i="74"/>
  <c r="F73" i="74" s="1"/>
  <c r="F146" i="74"/>
  <c r="F134" i="74"/>
  <c r="F133" i="74"/>
  <c r="F106" i="74"/>
  <c r="F105" i="74"/>
  <c r="F82" i="74"/>
  <c r="F78" i="74"/>
  <c r="F129" i="74"/>
  <c r="F117" i="74"/>
  <c r="F116" i="74"/>
  <c r="F69" i="74"/>
  <c r="F65" i="74"/>
  <c r="F61" i="74"/>
  <c r="F57" i="74"/>
  <c r="F53" i="74"/>
  <c r="F136" i="74"/>
  <c r="F135" i="74"/>
  <c r="F124" i="74"/>
  <c r="F108" i="74"/>
  <c r="F107" i="74"/>
  <c r="F96" i="74"/>
  <c r="F92" i="74"/>
  <c r="F88" i="74"/>
  <c r="L12" i="74"/>
  <c r="N12" i="74" s="1"/>
  <c r="F119" i="74"/>
  <c r="F118" i="74"/>
  <c r="F83" i="74"/>
  <c r="F79" i="74"/>
  <c r="F137" i="74"/>
  <c r="F109" i="74"/>
  <c r="F93" i="74"/>
  <c r="F89" i="74"/>
  <c r="F120" i="74"/>
  <c r="F100" i="74"/>
  <c r="F99" i="74"/>
  <c r="F84" i="74"/>
  <c r="F80" i="74"/>
  <c r="F140" i="74"/>
  <c r="F131" i="74"/>
  <c r="F127" i="74"/>
  <c r="F111" i="74"/>
  <c r="F110" i="74"/>
  <c r="F71" i="74"/>
  <c r="F67" i="74"/>
  <c r="F63" i="74"/>
  <c r="F59" i="74"/>
  <c r="F55" i="74"/>
  <c r="F51" i="74"/>
  <c r="F50" i="74"/>
  <c r="F126" i="74"/>
  <c r="F97" i="74"/>
  <c r="F70" i="74"/>
  <c r="F66" i="74"/>
  <c r="F62" i="74"/>
  <c r="F58" i="74"/>
  <c r="F54" i="74"/>
  <c r="F125" i="74"/>
  <c r="F98" i="74"/>
  <c r="F130" i="74"/>
  <c r="D74" i="72"/>
  <c r="L70" i="72"/>
  <c r="N70" i="72" s="1"/>
  <c r="D63" i="69"/>
  <c r="L18" i="69"/>
  <c r="N18" i="69" s="1"/>
  <c r="R77" i="68"/>
  <c r="R58" i="68"/>
  <c r="R57" i="68"/>
  <c r="R53" i="68"/>
  <c r="R49" i="68"/>
  <c r="R94" i="68"/>
  <c r="R69" i="68"/>
  <c r="R68" i="68"/>
  <c r="R44" i="68"/>
  <c r="R40" i="68"/>
  <c r="R84" i="68"/>
  <c r="R83" i="68"/>
  <c r="R60" i="68"/>
  <c r="R59" i="68"/>
  <c r="R31" i="68"/>
  <c r="R27" i="68"/>
  <c r="R79" i="68"/>
  <c r="R78" i="68"/>
  <c r="R71" i="68"/>
  <c r="R70" i="68"/>
  <c r="R54" i="68"/>
  <c r="R50" i="68"/>
  <c r="R85" i="68"/>
  <c r="R62" i="68"/>
  <c r="R61" i="68"/>
  <c r="R45" i="68"/>
  <c r="R41" i="68"/>
  <c r="R64" i="68"/>
  <c r="R63" i="68"/>
  <c r="R55" i="68"/>
  <c r="R51" i="68"/>
  <c r="R87" i="68"/>
  <c r="R86" i="68"/>
  <c r="R74" i="68"/>
  <c r="R47" i="68"/>
  <c r="R46" i="68"/>
  <c r="R42" i="68"/>
  <c r="R88" i="68"/>
  <c r="R56" i="68"/>
  <c r="R52" i="68"/>
  <c r="R48" i="68"/>
  <c r="R37" i="68"/>
  <c r="R35" i="68"/>
  <c r="R25" i="68"/>
  <c r="R90" i="68"/>
  <c r="R76" i="68"/>
  <c r="R75" i="68"/>
  <c r="R43" i="68"/>
  <c r="R39" i="68"/>
  <c r="P35" i="68"/>
  <c r="R82" i="68"/>
  <c r="R67" i="68"/>
  <c r="R66" i="68"/>
  <c r="R80" i="68"/>
  <c r="R26" i="68"/>
  <c r="R65" i="68"/>
  <c r="R29" i="68"/>
  <c r="R81" i="68"/>
  <c r="R38" i="68"/>
  <c r="R72" i="68"/>
  <c r="R32" i="68"/>
  <c r="R30" i="68"/>
  <c r="X12" i="68"/>
  <c r="Z12" i="68" s="1"/>
  <c r="R73" i="68"/>
  <c r="R33" i="68"/>
  <c r="R28" i="68"/>
  <c r="Z16" i="55"/>
  <c r="T31" i="55"/>
  <c r="X16" i="55"/>
  <c r="T79" i="56"/>
  <c r="P38" i="55"/>
  <c r="F73" i="57"/>
  <c r="F60" i="57"/>
  <c r="F44" i="57"/>
  <c r="F43" i="57"/>
  <c r="F28" i="57"/>
  <c r="F24" i="57"/>
  <c r="F75" i="57"/>
  <c r="F62" i="57"/>
  <c r="F61" i="57"/>
  <c r="F54" i="57"/>
  <c r="F46" i="57"/>
  <c r="F45" i="57"/>
  <c r="F38" i="57"/>
  <c r="F34" i="57"/>
  <c r="F29" i="57"/>
  <c r="F25" i="57"/>
  <c r="F21" i="57"/>
  <c r="F20" i="57"/>
  <c r="F80" i="57"/>
  <c r="F77" i="57"/>
  <c r="F64" i="57"/>
  <c r="F63" i="57"/>
  <c r="F49" i="57"/>
  <c r="F48" i="57"/>
  <c r="F69" i="57"/>
  <c r="F40" i="57"/>
  <c r="F36" i="57"/>
  <c r="F32" i="57"/>
  <c r="F71" i="57"/>
  <c r="F42" i="57"/>
  <c r="F41" i="57"/>
  <c r="F65" i="57"/>
  <c r="F56" i="57"/>
  <c r="F39" i="57"/>
  <c r="F15" i="57"/>
  <c r="L12" i="57"/>
  <c r="F68" i="57"/>
  <c r="F52" i="57"/>
  <c r="F37" i="57"/>
  <c r="F35" i="57"/>
  <c r="F59" i="57"/>
  <c r="F47" i="57"/>
  <c r="F33" i="57"/>
  <c r="F31" i="57"/>
  <c r="F26" i="57"/>
  <c r="F17" i="57"/>
  <c r="F57" i="57"/>
  <c r="D17" i="57"/>
  <c r="F50" i="57"/>
  <c r="F53" i="57"/>
  <c r="F27" i="57"/>
  <c r="F19" i="57"/>
  <c r="F58" i="57"/>
  <c r="F51" i="57"/>
  <c r="F30" i="57"/>
  <c r="F70" i="57"/>
  <c r="F23" i="57"/>
  <c r="F66" i="57"/>
  <c r="F55" i="57"/>
  <c r="F22" i="57"/>
  <c r="P126" i="36"/>
  <c r="X27" i="36"/>
  <c r="Z27" i="36" s="1"/>
  <c r="F27" i="36"/>
  <c r="J35" i="24"/>
  <c r="H92" i="24"/>
  <c r="R212" i="15"/>
  <c r="R202" i="15"/>
  <c r="R194" i="15"/>
  <c r="R190" i="15"/>
  <c r="R174" i="15"/>
  <c r="R158" i="15"/>
  <c r="R151" i="15"/>
  <c r="R150" i="15"/>
  <c r="R143" i="15"/>
  <c r="R142" i="15"/>
  <c r="R135" i="15"/>
  <c r="R134" i="15"/>
  <c r="R111" i="15"/>
  <c r="R106" i="15"/>
  <c r="R102" i="15"/>
  <c r="R98" i="15"/>
  <c r="R94" i="15"/>
  <c r="R90" i="15"/>
  <c r="R86" i="15"/>
  <c r="R82" i="15"/>
  <c r="R78" i="15"/>
  <c r="R186" i="15"/>
  <c r="R185" i="15"/>
  <c r="R169" i="15"/>
  <c r="R129" i="15"/>
  <c r="R125" i="15"/>
  <c r="R110" i="15"/>
  <c r="R180" i="15"/>
  <c r="R153" i="15"/>
  <c r="R152" i="15"/>
  <c r="R144" i="15"/>
  <c r="R136" i="15"/>
  <c r="R120" i="15"/>
  <c r="R116" i="15"/>
  <c r="R112" i="15"/>
  <c r="P108" i="15"/>
  <c r="R108" i="15" s="1"/>
  <c r="R203" i="15"/>
  <c r="R196" i="15"/>
  <c r="R195" i="15"/>
  <c r="R191" i="15"/>
  <c r="R187" i="15"/>
  <c r="R175" i="15"/>
  <c r="R160" i="15"/>
  <c r="R159" i="15"/>
  <c r="R103" i="15"/>
  <c r="R99" i="15"/>
  <c r="R95" i="15"/>
  <c r="R91" i="15"/>
  <c r="R87" i="15"/>
  <c r="R83" i="15"/>
  <c r="R79" i="15"/>
  <c r="R216" i="15"/>
  <c r="R170" i="15"/>
  <c r="R154" i="15"/>
  <c r="R130" i="15"/>
  <c r="R126" i="15"/>
  <c r="R75" i="15"/>
  <c r="R197" i="15"/>
  <c r="R181" i="15"/>
  <c r="R162" i="15"/>
  <c r="R161" i="15"/>
  <c r="R146" i="15"/>
  <c r="R145" i="15"/>
  <c r="R138" i="15"/>
  <c r="R137" i="15"/>
  <c r="R122" i="15"/>
  <c r="R121" i="15"/>
  <c r="R117" i="15"/>
  <c r="R113" i="15"/>
  <c r="R205" i="15"/>
  <c r="R204" i="15"/>
  <c r="R192" i="15"/>
  <c r="R188" i="15"/>
  <c r="R176" i="15"/>
  <c r="R171" i="15"/>
  <c r="R164" i="15"/>
  <c r="R163" i="15"/>
  <c r="R156" i="15"/>
  <c r="R155" i="15"/>
  <c r="R147" i="15"/>
  <c r="R140" i="15"/>
  <c r="R139" i="15"/>
  <c r="R131" i="15"/>
  <c r="R127" i="15"/>
  <c r="R123" i="15"/>
  <c r="R206" i="15"/>
  <c r="R199" i="15"/>
  <c r="R198" i="15"/>
  <c r="R183" i="15"/>
  <c r="R182" i="15"/>
  <c r="R118" i="15"/>
  <c r="R114" i="15"/>
  <c r="R209" i="15"/>
  <c r="R208" i="15"/>
  <c r="R193" i="15"/>
  <c r="R189" i="15"/>
  <c r="R178" i="15"/>
  <c r="R177" i="15"/>
  <c r="R166" i="15"/>
  <c r="R165" i="15"/>
  <c r="R157" i="15"/>
  <c r="R141" i="15"/>
  <c r="R105" i="15"/>
  <c r="R101" i="15"/>
  <c r="R97" i="15"/>
  <c r="R93" i="15"/>
  <c r="R89" i="15"/>
  <c r="R85" i="15"/>
  <c r="R81" i="15"/>
  <c r="R77" i="15"/>
  <c r="R210" i="15"/>
  <c r="R201" i="15"/>
  <c r="R200" i="15"/>
  <c r="R184" i="15"/>
  <c r="R173" i="15"/>
  <c r="R172" i="15"/>
  <c r="R149" i="15"/>
  <c r="R148" i="15"/>
  <c r="R133" i="15"/>
  <c r="R132" i="15"/>
  <c r="R128" i="15"/>
  <c r="R124" i="15"/>
  <c r="R211" i="15"/>
  <c r="R179" i="15"/>
  <c r="R168" i="15"/>
  <c r="R167" i="15"/>
  <c r="R119" i="15"/>
  <c r="R115" i="15"/>
  <c r="R104" i="15"/>
  <c r="R84" i="15"/>
  <c r="R100" i="15"/>
  <c r="R80" i="15"/>
  <c r="R96" i="15"/>
  <c r="R76" i="15"/>
  <c r="R92" i="15"/>
  <c r="R88" i="15"/>
  <c r="X12" i="15"/>
  <c r="Z12" i="15" s="1"/>
  <c r="D256" i="3"/>
  <c r="L139" i="3"/>
  <c r="N139" i="3" s="1"/>
  <c r="T27" i="53"/>
  <c r="Z18" i="53"/>
  <c r="T27" i="44"/>
  <c r="Z18" i="44"/>
  <c r="X18" i="32"/>
  <c r="P27" i="32"/>
  <c r="Z18" i="25"/>
  <c r="T27" i="25"/>
  <c r="X18" i="10"/>
  <c r="P27" i="10"/>
  <c r="P56" i="102"/>
  <c r="X16" i="102"/>
  <c r="T78" i="79"/>
  <c r="D60" i="61"/>
  <c r="L16" i="61"/>
  <c r="P63" i="69"/>
  <c r="X18" i="69"/>
  <c r="Z18" i="69" s="1"/>
  <c r="D24" i="104"/>
  <c r="L16" i="104"/>
  <c r="F72" i="103"/>
  <c r="F36" i="103"/>
  <c r="F32" i="103"/>
  <c r="F28" i="103"/>
  <c r="L12" i="103"/>
  <c r="N12" i="103" s="1"/>
  <c r="F67" i="103"/>
  <c r="F66" i="103"/>
  <c r="F82" i="103"/>
  <c r="F78" i="103"/>
  <c r="F46" i="103"/>
  <c r="F42" i="103"/>
  <c r="F38" i="103"/>
  <c r="F37" i="103"/>
  <c r="F73" i="103"/>
  <c r="F57" i="103"/>
  <c r="F56" i="103"/>
  <c r="F84" i="103"/>
  <c r="F83" i="103"/>
  <c r="F68" i="103"/>
  <c r="F20" i="103"/>
  <c r="F79" i="103"/>
  <c r="F75" i="103"/>
  <c r="F74" i="103"/>
  <c r="F59" i="103"/>
  <c r="F58" i="103"/>
  <c r="F47" i="103"/>
  <c r="F43" i="103"/>
  <c r="F39" i="103"/>
  <c r="F70" i="103"/>
  <c r="F69" i="103"/>
  <c r="F34" i="103"/>
  <c r="F30" i="103"/>
  <c r="F86" i="103"/>
  <c r="F61" i="103"/>
  <c r="F60" i="103"/>
  <c r="F49" i="103"/>
  <c r="F48" i="103"/>
  <c r="F90" i="103"/>
  <c r="F80" i="103"/>
  <c r="F76" i="103"/>
  <c r="F71" i="103"/>
  <c r="F63" i="103"/>
  <c r="F62" i="103"/>
  <c r="F51" i="103"/>
  <c r="F50" i="103"/>
  <c r="F35" i="103"/>
  <c r="F81" i="103"/>
  <c r="F77" i="103"/>
  <c r="F65" i="103"/>
  <c r="F64" i="103"/>
  <c r="F53" i="103"/>
  <c r="F52" i="103"/>
  <c r="F45" i="103"/>
  <c r="F55" i="103"/>
  <c r="F41" i="103"/>
  <c r="F33" i="103"/>
  <c r="F31" i="103"/>
  <c r="F29" i="103"/>
  <c r="F18" i="103"/>
  <c r="F27" i="103"/>
  <c r="F19" i="103"/>
  <c r="F23" i="103"/>
  <c r="D23" i="103"/>
  <c r="F44" i="103"/>
  <c r="F40" i="103"/>
  <c r="F26" i="103"/>
  <c r="F21" i="103"/>
  <c r="F54" i="103"/>
  <c r="F25" i="103"/>
  <c r="P78" i="94"/>
  <c r="X20" i="94"/>
  <c r="V117" i="84"/>
  <c r="X19" i="80"/>
  <c r="H78" i="79"/>
  <c r="N21" i="79"/>
  <c r="D78" i="79"/>
  <c r="L21" i="79"/>
  <c r="J49" i="70"/>
  <c r="H64" i="61"/>
  <c r="T73" i="58"/>
  <c r="Z16" i="58"/>
  <c r="P75" i="56"/>
  <c r="X17" i="56"/>
  <c r="R89" i="51"/>
  <c r="R70" i="51"/>
  <c r="R69" i="51"/>
  <c r="R65" i="51"/>
  <c r="R61" i="51"/>
  <c r="R102" i="51"/>
  <c r="R81" i="51"/>
  <c r="R80" i="51"/>
  <c r="R56" i="51"/>
  <c r="R52" i="51"/>
  <c r="R72" i="51"/>
  <c r="R71" i="51"/>
  <c r="R48" i="51"/>
  <c r="R43" i="51"/>
  <c r="R39" i="51"/>
  <c r="R35" i="51"/>
  <c r="R91" i="51"/>
  <c r="R90" i="51"/>
  <c r="R83" i="51"/>
  <c r="R82" i="51"/>
  <c r="R66" i="51"/>
  <c r="R62" i="51"/>
  <c r="R47" i="51"/>
  <c r="R94" i="51"/>
  <c r="R87" i="51"/>
  <c r="R86" i="51"/>
  <c r="R59" i="51"/>
  <c r="R58" i="51"/>
  <c r="R54" i="51"/>
  <c r="R50" i="51"/>
  <c r="R97" i="51"/>
  <c r="R96" i="51"/>
  <c r="R78" i="51"/>
  <c r="R77" i="51"/>
  <c r="R98" i="51"/>
  <c r="R88" i="51"/>
  <c r="R68" i="51"/>
  <c r="R64" i="51"/>
  <c r="R60" i="51"/>
  <c r="R79" i="51"/>
  <c r="R55" i="51"/>
  <c r="R51" i="51"/>
  <c r="R93" i="51"/>
  <c r="R57" i="51"/>
  <c r="R41" i="51"/>
  <c r="X12" i="51"/>
  <c r="Z12" i="51" s="1"/>
  <c r="R38" i="51"/>
  <c r="R53" i="51"/>
  <c r="R33" i="51"/>
  <c r="P45" i="51"/>
  <c r="R45" i="51" s="1"/>
  <c r="R36" i="51"/>
  <c r="R84" i="51"/>
  <c r="R75" i="51"/>
  <c r="R49" i="51"/>
  <c r="R73" i="51"/>
  <c r="R85" i="51"/>
  <c r="R42" i="51"/>
  <c r="R37" i="51"/>
  <c r="R74" i="51"/>
  <c r="R63" i="51"/>
  <c r="R40" i="51"/>
  <c r="R34" i="51"/>
  <c r="R92" i="51"/>
  <c r="R76" i="51"/>
  <c r="R67" i="51"/>
  <c r="R32" i="51"/>
  <c r="Z25" i="42"/>
  <c r="T119" i="42"/>
  <c r="F73" i="45"/>
  <c r="F72" i="45"/>
  <c r="F65" i="45"/>
  <c r="F64" i="45"/>
  <c r="F53" i="45"/>
  <c r="F52" i="45"/>
  <c r="F45" i="45"/>
  <c r="F41" i="45"/>
  <c r="D23" i="45"/>
  <c r="F36" i="45"/>
  <c r="F96" i="45"/>
  <c r="F87" i="45"/>
  <c r="F83" i="45"/>
  <c r="F79" i="45"/>
  <c r="F67" i="45"/>
  <c r="F66" i="45"/>
  <c r="F55" i="45"/>
  <c r="F54" i="45"/>
  <c r="F19" i="45"/>
  <c r="F18" i="45"/>
  <c r="F100" i="45"/>
  <c r="F74" i="45"/>
  <c r="F46" i="45"/>
  <c r="F42" i="45"/>
  <c r="F38" i="45"/>
  <c r="F37" i="45"/>
  <c r="F89" i="45"/>
  <c r="F88" i="45"/>
  <c r="F84" i="45"/>
  <c r="F80" i="45"/>
  <c r="F75" i="45"/>
  <c r="F59" i="45"/>
  <c r="F58" i="45"/>
  <c r="F47" i="45"/>
  <c r="F43" i="45"/>
  <c r="F39" i="45"/>
  <c r="F90" i="45"/>
  <c r="F70" i="45"/>
  <c r="F34" i="45"/>
  <c r="F30" i="45"/>
  <c r="F85" i="45"/>
  <c r="F81" i="45"/>
  <c r="F61" i="45"/>
  <c r="F60" i="45"/>
  <c r="F49" i="45"/>
  <c r="F48" i="45"/>
  <c r="F21" i="45"/>
  <c r="F92" i="45"/>
  <c r="F91" i="45"/>
  <c r="F76" i="45"/>
  <c r="F44" i="45"/>
  <c r="F40" i="45"/>
  <c r="F71" i="45"/>
  <c r="F63" i="45"/>
  <c r="F62" i="45"/>
  <c r="F51" i="45"/>
  <c r="F50" i="45"/>
  <c r="F35" i="45"/>
  <c r="F31" i="45"/>
  <c r="F27" i="45"/>
  <c r="F26" i="45"/>
  <c r="F68" i="45"/>
  <c r="F93" i="45"/>
  <c r="F78" i="45"/>
  <c r="F32" i="45"/>
  <c r="L12" i="45"/>
  <c r="N12" i="45" s="1"/>
  <c r="F57" i="45"/>
  <c r="F25" i="45"/>
  <c r="F86" i="45"/>
  <c r="F29" i="45"/>
  <c r="F77" i="45"/>
  <c r="F69" i="45"/>
  <c r="F56" i="45"/>
  <c r="F33" i="45"/>
  <c r="F94" i="45"/>
  <c r="F82" i="45"/>
  <c r="F28" i="45"/>
  <c r="F20" i="45"/>
  <c r="F28" i="39"/>
  <c r="P126" i="42"/>
  <c r="L26" i="33"/>
  <c r="N26" i="33" s="1"/>
  <c r="D80" i="33"/>
  <c r="F77" i="33"/>
  <c r="J225" i="12"/>
  <c r="R230" i="18"/>
  <c r="L112" i="12"/>
  <c r="N112" i="12" s="1"/>
  <c r="D221" i="12"/>
  <c r="H27" i="49"/>
  <c r="N18" i="49"/>
  <c r="L18" i="31"/>
  <c r="D27" i="31"/>
  <c r="T27" i="37"/>
  <c r="Z18" i="37"/>
  <c r="P27" i="43"/>
  <c r="X18" i="43"/>
  <c r="P27" i="28"/>
  <c r="X18" i="28"/>
  <c r="D27" i="25"/>
  <c r="L18" i="25"/>
  <c r="H27" i="8"/>
  <c r="N18" i="8"/>
  <c r="Z18" i="8"/>
  <c r="T27" i="8"/>
  <c r="R20" i="82"/>
  <c r="R43" i="82"/>
  <c r="R39" i="82"/>
  <c r="R35" i="82"/>
  <c r="R34" i="82"/>
  <c r="R30" i="82"/>
  <c r="R26" i="82"/>
  <c r="R21" i="82"/>
  <c r="R44" i="82"/>
  <c r="R40" i="82"/>
  <c r="R36" i="82"/>
  <c r="R25" i="82"/>
  <c r="R31" i="82"/>
  <c r="R27" i="82"/>
  <c r="P23" i="82"/>
  <c r="R45" i="82"/>
  <c r="R41" i="82"/>
  <c r="R37" i="82"/>
  <c r="R18" i="82"/>
  <c r="R47" i="82"/>
  <c r="R32" i="82"/>
  <c r="R28" i="82"/>
  <c r="X12" i="82"/>
  <c r="Z12" i="82" s="1"/>
  <c r="R19" i="82"/>
  <c r="R42" i="82"/>
  <c r="R38" i="82"/>
  <c r="R29" i="82"/>
  <c r="R51" i="82"/>
  <c r="R33" i="82"/>
  <c r="Z22" i="54"/>
  <c r="T26" i="54"/>
  <c r="T71" i="48"/>
  <c r="X17" i="109"/>
  <c r="Z17" i="109" s="1"/>
  <c r="P71" i="109"/>
  <c r="P86" i="107"/>
  <c r="X19" i="107"/>
  <c r="Z19" i="107" s="1"/>
  <c r="L16" i="108"/>
  <c r="H28" i="104"/>
  <c r="N24" i="104"/>
  <c r="P56" i="99"/>
  <c r="X16" i="99"/>
  <c r="T88" i="97"/>
  <c r="X16" i="88"/>
  <c r="P39" i="88"/>
  <c r="D88" i="83"/>
  <c r="L21" i="83"/>
  <c r="N21" i="83" s="1"/>
  <c r="J40" i="84"/>
  <c r="D53" i="82"/>
  <c r="L49" i="82"/>
  <c r="N49" i="82" s="1"/>
  <c r="X26" i="75"/>
  <c r="Z26" i="75" s="1"/>
  <c r="P80" i="75"/>
  <c r="Z16" i="61"/>
  <c r="T60" i="61"/>
  <c r="X60" i="61" s="1"/>
  <c r="P64" i="61"/>
  <c r="D73" i="58"/>
  <c r="L16" i="58"/>
  <c r="H75" i="48"/>
  <c r="R154" i="30"/>
  <c r="R153" i="30"/>
  <c r="R146" i="30"/>
  <c r="R145" i="30"/>
  <c r="R141" i="30"/>
  <c r="R130" i="30"/>
  <c r="R129" i="30"/>
  <c r="R113" i="30"/>
  <c r="R86" i="30"/>
  <c r="R85" i="30"/>
  <c r="R81" i="30"/>
  <c r="R77" i="30"/>
  <c r="P73" i="30"/>
  <c r="R137" i="30"/>
  <c r="R136" i="30"/>
  <c r="R124" i="30"/>
  <c r="R105" i="30"/>
  <c r="R104" i="30"/>
  <c r="R68" i="30"/>
  <c r="R64" i="30"/>
  <c r="R60" i="30"/>
  <c r="R56" i="30"/>
  <c r="R52" i="30"/>
  <c r="R155" i="30"/>
  <c r="R147" i="30"/>
  <c r="R131" i="30"/>
  <c r="R95" i="30"/>
  <c r="R91" i="30"/>
  <c r="R87" i="30"/>
  <c r="R158" i="30"/>
  <c r="R157" i="30"/>
  <c r="R142" i="30"/>
  <c r="R138" i="30"/>
  <c r="R115" i="30"/>
  <c r="R114" i="30"/>
  <c r="R107" i="30"/>
  <c r="R106" i="30"/>
  <c r="R82" i="30"/>
  <c r="R78" i="30"/>
  <c r="R159" i="30"/>
  <c r="R160" i="30"/>
  <c r="R149" i="30"/>
  <c r="R148" i="30"/>
  <c r="R132" i="30"/>
  <c r="R117" i="30"/>
  <c r="R116" i="30"/>
  <c r="R109" i="30"/>
  <c r="R108" i="30"/>
  <c r="R97" i="30"/>
  <c r="R96" i="30"/>
  <c r="R92" i="30"/>
  <c r="R88" i="30"/>
  <c r="X12" i="30"/>
  <c r="Z12" i="30" s="1"/>
  <c r="R143" i="30"/>
  <c r="R139" i="30"/>
  <c r="R127" i="30"/>
  <c r="R83" i="30"/>
  <c r="R79" i="30"/>
  <c r="R151" i="30"/>
  <c r="R150" i="30"/>
  <c r="R119" i="30"/>
  <c r="R118" i="30"/>
  <c r="R110" i="30"/>
  <c r="R99" i="30"/>
  <c r="R98" i="30"/>
  <c r="R70" i="30"/>
  <c r="R66" i="30"/>
  <c r="R62" i="30"/>
  <c r="R58" i="30"/>
  <c r="R54" i="30"/>
  <c r="R134" i="30"/>
  <c r="R133" i="30"/>
  <c r="R93" i="30"/>
  <c r="R89" i="30"/>
  <c r="R50" i="30"/>
  <c r="R164" i="30"/>
  <c r="R152" i="30"/>
  <c r="R144" i="30"/>
  <c r="R140" i="30"/>
  <c r="R128" i="30"/>
  <c r="R121" i="30"/>
  <c r="R120" i="30"/>
  <c r="R101" i="30"/>
  <c r="R100" i="30"/>
  <c r="R84" i="30"/>
  <c r="R80" i="30"/>
  <c r="R135" i="30"/>
  <c r="R112" i="30"/>
  <c r="R111" i="30"/>
  <c r="R76" i="30"/>
  <c r="R94" i="30"/>
  <c r="R75" i="30"/>
  <c r="R69" i="30"/>
  <c r="R67" i="30"/>
  <c r="R102" i="30"/>
  <c r="R126" i="30"/>
  <c r="R65" i="30"/>
  <c r="R63" i="30"/>
  <c r="R122" i="30"/>
  <c r="R61" i="30"/>
  <c r="R59" i="30"/>
  <c r="R73" i="30"/>
  <c r="R103" i="30"/>
  <c r="R57" i="30"/>
  <c r="R55" i="30"/>
  <c r="R51" i="30"/>
  <c r="R123" i="30"/>
  <c r="R53" i="30"/>
  <c r="R125" i="30"/>
  <c r="R90" i="30"/>
  <c r="R71" i="30"/>
  <c r="H237" i="18"/>
  <c r="N130" i="18"/>
  <c r="R85" i="9"/>
  <c r="R73" i="9"/>
  <c r="R41" i="9"/>
  <c r="R37" i="9"/>
  <c r="R33" i="9"/>
  <c r="R104" i="9"/>
  <c r="R93" i="9"/>
  <c r="R92" i="9"/>
  <c r="R80" i="9"/>
  <c r="R68" i="9"/>
  <c r="R61" i="9"/>
  <c r="R60" i="9"/>
  <c r="R28" i="9"/>
  <c r="R24" i="9"/>
  <c r="R109" i="9"/>
  <c r="R106" i="9"/>
  <c r="R52" i="9"/>
  <c r="R51" i="9"/>
  <c r="R20" i="9"/>
  <c r="R94" i="9"/>
  <c r="R86" i="9"/>
  <c r="R74" i="9"/>
  <c r="R63" i="9"/>
  <c r="R62" i="9"/>
  <c r="R43" i="9"/>
  <c r="R42" i="9"/>
  <c r="R38" i="9"/>
  <c r="R34" i="9"/>
  <c r="R19" i="9"/>
  <c r="R17" i="9"/>
  <c r="R15" i="9"/>
  <c r="R82" i="9"/>
  <c r="R81" i="9"/>
  <c r="R69" i="9"/>
  <c r="R54" i="9"/>
  <c r="R53" i="9"/>
  <c r="R29" i="9"/>
  <c r="R25" i="9"/>
  <c r="R21" i="9"/>
  <c r="P17" i="9"/>
  <c r="R64" i="9"/>
  <c r="R45" i="9"/>
  <c r="R44" i="9"/>
  <c r="R95" i="9"/>
  <c r="R88" i="9"/>
  <c r="R87" i="9"/>
  <c r="R83" i="9"/>
  <c r="R76" i="9"/>
  <c r="R75" i="9"/>
  <c r="R56" i="9"/>
  <c r="R55" i="9"/>
  <c r="R39" i="9"/>
  <c r="R35" i="9"/>
  <c r="R98" i="9"/>
  <c r="R97" i="9"/>
  <c r="R71" i="9"/>
  <c r="R70" i="9"/>
  <c r="R47" i="9"/>
  <c r="R46" i="9"/>
  <c r="R30" i="9"/>
  <c r="R26" i="9"/>
  <c r="R22" i="9"/>
  <c r="X12" i="9"/>
  <c r="R100" i="9"/>
  <c r="R84" i="9"/>
  <c r="R72" i="9"/>
  <c r="R49" i="9"/>
  <c r="R48" i="9"/>
  <c r="R40" i="9"/>
  <c r="R36" i="9"/>
  <c r="R102" i="9"/>
  <c r="R67" i="9"/>
  <c r="R59" i="9"/>
  <c r="R32" i="9"/>
  <c r="R31" i="9"/>
  <c r="R27" i="9"/>
  <c r="R23" i="9"/>
  <c r="R91" i="9"/>
  <c r="R90" i="9"/>
  <c r="R79" i="9"/>
  <c r="R78" i="9"/>
  <c r="R50" i="9"/>
  <c r="R65" i="9"/>
  <c r="R99" i="9"/>
  <c r="R89" i="9"/>
  <c r="R77" i="9"/>
  <c r="R57" i="9"/>
  <c r="R66" i="9"/>
  <c r="R58" i="9"/>
  <c r="V256" i="3"/>
  <c r="T260" i="3"/>
  <c r="T27" i="111"/>
  <c r="Z18" i="111"/>
  <c r="X18" i="47"/>
  <c r="P27" i="47"/>
  <c r="H27" i="41"/>
  <c r="N18" i="41"/>
  <c r="L18" i="34"/>
  <c r="D27" i="34"/>
  <c r="H27" i="34"/>
  <c r="N18" i="34"/>
  <c r="H27" i="29"/>
  <c r="N18" i="29"/>
  <c r="N18" i="23"/>
  <c r="H27" i="23"/>
  <c r="L18" i="20"/>
  <c r="D27" i="20"/>
  <c r="T27" i="19"/>
  <c r="Z18" i="19"/>
  <c r="H27" i="17"/>
  <c r="N18" i="17"/>
  <c r="H27" i="14"/>
  <c r="N18" i="14"/>
  <c r="X18" i="4"/>
  <c r="P27" i="4"/>
  <c r="L18" i="7"/>
  <c r="D27" i="7"/>
  <c r="P31" i="50" l="1"/>
  <c r="X27" i="50"/>
  <c r="H218" i="15"/>
  <c r="J214" i="15"/>
  <c r="T40" i="101"/>
  <c r="X27" i="23"/>
  <c r="P31" i="23"/>
  <c r="N28" i="104"/>
  <c r="H31" i="104"/>
  <c r="N31" i="104" s="1"/>
  <c r="L80" i="33"/>
  <c r="N80" i="33" s="1"/>
  <c r="D84" i="33"/>
  <c r="F80" i="33"/>
  <c r="P84" i="75"/>
  <c r="X80" i="75"/>
  <c r="R80" i="75"/>
  <c r="T91" i="97"/>
  <c r="L27" i="43"/>
  <c r="D31" i="43"/>
  <c r="X27" i="37"/>
  <c r="P31" i="37"/>
  <c r="H35" i="85"/>
  <c r="J32" i="85"/>
  <c r="D108" i="21"/>
  <c r="L104" i="21"/>
  <c r="N104" i="21" s="1"/>
  <c r="X27" i="8"/>
  <c r="P31" i="8"/>
  <c r="L27" i="13"/>
  <c r="D31" i="13"/>
  <c r="L27" i="35"/>
  <c r="D31" i="35"/>
  <c r="Z22" i="6"/>
  <c r="T26" i="6"/>
  <c r="H96" i="68"/>
  <c r="J92" i="68"/>
  <c r="D39" i="88"/>
  <c r="X27" i="49"/>
  <c r="P31" i="49"/>
  <c r="X27" i="14"/>
  <c r="P31" i="14"/>
  <c r="L27" i="44"/>
  <c r="D31" i="44"/>
  <c r="P92" i="24"/>
  <c r="X35" i="24"/>
  <c r="Z35" i="24" s="1"/>
  <c r="D71" i="59"/>
  <c r="L67" i="59"/>
  <c r="N67" i="59" s="1"/>
  <c r="L80" i="75"/>
  <c r="N80" i="75" s="1"/>
  <c r="D84" i="75"/>
  <c r="F80" i="75"/>
  <c r="H60" i="102"/>
  <c r="Z27" i="5"/>
  <c r="T31" i="5"/>
  <c r="L27" i="28"/>
  <c r="D31" i="28"/>
  <c r="Z27" i="50"/>
  <c r="T31" i="50"/>
  <c r="P75" i="48"/>
  <c r="X71" i="48"/>
  <c r="R71" i="48"/>
  <c r="L75" i="56"/>
  <c r="N75" i="56" s="1"/>
  <c r="D79" i="56"/>
  <c r="H100" i="63"/>
  <c r="D31" i="4"/>
  <c r="L27" i="4"/>
  <c r="N27" i="37"/>
  <c r="H31" i="37"/>
  <c r="D92" i="24"/>
  <c r="L35" i="24"/>
  <c r="N35" i="24" s="1"/>
  <c r="T60" i="102"/>
  <c r="P27" i="98"/>
  <c r="X23" i="98"/>
  <c r="R23" i="98"/>
  <c r="P31" i="34"/>
  <c r="X27" i="34"/>
  <c r="T90" i="87"/>
  <c r="N27" i="47"/>
  <c r="H31" i="47"/>
  <c r="Z27" i="8"/>
  <c r="T31" i="8"/>
  <c r="D73" i="57"/>
  <c r="L17" i="57"/>
  <c r="X36" i="101"/>
  <c r="Z36" i="101" s="1"/>
  <c r="P40" i="101"/>
  <c r="P86" i="91"/>
  <c r="X82" i="91"/>
  <c r="Z82" i="91" s="1"/>
  <c r="P71" i="59"/>
  <c r="X67" i="59"/>
  <c r="Z67" i="59" s="1"/>
  <c r="T31" i="34"/>
  <c r="Z27" i="34"/>
  <c r="T37" i="100"/>
  <c r="Z27" i="17"/>
  <c r="T31" i="17"/>
  <c r="N27" i="38"/>
  <c r="H31" i="38"/>
  <c r="X23" i="45"/>
  <c r="Z23" i="45" s="1"/>
  <c r="P98" i="45"/>
  <c r="H241" i="18"/>
  <c r="J237" i="18"/>
  <c r="L53" i="82"/>
  <c r="N53" i="82" s="1"/>
  <c r="D56" i="82"/>
  <c r="F53" i="82"/>
  <c r="P60" i="99"/>
  <c r="X56" i="99"/>
  <c r="X75" i="56"/>
  <c r="Z75" i="56" s="1"/>
  <c r="P79" i="56"/>
  <c r="D88" i="103"/>
  <c r="L23" i="103"/>
  <c r="N23" i="103" s="1"/>
  <c r="X27" i="32"/>
  <c r="P31" i="32"/>
  <c r="X35" i="68"/>
  <c r="Z35" i="68" s="1"/>
  <c r="P92" i="68"/>
  <c r="P100" i="76"/>
  <c r="X45" i="76"/>
  <c r="Z45" i="76" s="1"/>
  <c r="N27" i="4"/>
  <c r="H31" i="4"/>
  <c r="Z27" i="47"/>
  <c r="T31" i="47"/>
  <c r="H31" i="111"/>
  <c r="N27" i="111"/>
  <c r="H86" i="91"/>
  <c r="H31" i="13"/>
  <c r="N27" i="13"/>
  <c r="Z27" i="49"/>
  <c r="T31" i="49"/>
  <c r="T98" i="95"/>
  <c r="V94" i="95"/>
  <c r="N27" i="5"/>
  <c r="H31" i="5"/>
  <c r="H106" i="9"/>
  <c r="T104" i="76"/>
  <c r="V100" i="76"/>
  <c r="Z27" i="110"/>
  <c r="T31" i="110"/>
  <c r="T31" i="14"/>
  <c r="Z27" i="14"/>
  <c r="X27" i="44"/>
  <c r="P31" i="44"/>
  <c r="L71" i="48"/>
  <c r="N71" i="48" s="1"/>
  <c r="D75" i="48"/>
  <c r="F71" i="48"/>
  <c r="T74" i="72"/>
  <c r="V70" i="72"/>
  <c r="D31" i="29"/>
  <c r="L27" i="29"/>
  <c r="T31" i="46"/>
  <c r="Z27" i="46"/>
  <c r="H151" i="74"/>
  <c r="J148" i="74"/>
  <c r="X27" i="111"/>
  <c r="P31" i="111"/>
  <c r="L102" i="9"/>
  <c r="N102" i="9" s="1"/>
  <c r="D106" i="9"/>
  <c r="H114" i="27"/>
  <c r="J110" i="27"/>
  <c r="P109" i="70"/>
  <c r="X49" i="70"/>
  <c r="Z49" i="70" s="1"/>
  <c r="H121" i="84"/>
  <c r="J117" i="84"/>
  <c r="P92" i="103"/>
  <c r="X88" i="103"/>
  <c r="Z88" i="103" s="1"/>
  <c r="R88" i="103"/>
  <c r="H77" i="58"/>
  <c r="P88" i="97"/>
  <c r="X84" i="97"/>
  <c r="Z84" i="97" s="1"/>
  <c r="L24" i="108"/>
  <c r="D28" i="108"/>
  <c r="H104" i="51"/>
  <c r="J100" i="51"/>
  <c r="H43" i="101"/>
  <c r="X27" i="7"/>
  <c r="P31" i="7"/>
  <c r="P31" i="41"/>
  <c r="X27" i="41"/>
  <c r="L126" i="36"/>
  <c r="N126" i="36" s="1"/>
  <c r="D130" i="36"/>
  <c r="F126" i="36"/>
  <c r="D86" i="91"/>
  <c r="L82" i="91"/>
  <c r="N82" i="91" s="1"/>
  <c r="N27" i="10"/>
  <c r="H31" i="10"/>
  <c r="D31" i="52"/>
  <c r="L27" i="52"/>
  <c r="T124" i="84"/>
  <c r="V121" i="84"/>
  <c r="P31" i="53"/>
  <c r="X27" i="53"/>
  <c r="J126" i="42"/>
  <c r="T100" i="63"/>
  <c r="T148" i="74"/>
  <c r="V144" i="74"/>
  <c r="D88" i="97"/>
  <c r="L84" i="97"/>
  <c r="X27" i="17"/>
  <c r="P31" i="17"/>
  <c r="P31" i="46"/>
  <c r="X27" i="46"/>
  <c r="P78" i="79"/>
  <c r="X21" i="79"/>
  <c r="Z21" i="79" s="1"/>
  <c r="L27" i="22"/>
  <c r="D31" i="22"/>
  <c r="Z27" i="4"/>
  <c r="T31" i="4"/>
  <c r="Z27" i="32"/>
  <c r="T31" i="32"/>
  <c r="P260" i="3"/>
  <c r="X256" i="3"/>
  <c r="Z256" i="3" s="1"/>
  <c r="R256" i="3"/>
  <c r="T80" i="57"/>
  <c r="L27" i="50"/>
  <c r="D31" i="50"/>
  <c r="D162" i="30"/>
  <c r="L73" i="30"/>
  <c r="N73" i="30" s="1"/>
  <c r="H133" i="36"/>
  <c r="J130" i="36"/>
  <c r="X96" i="63"/>
  <c r="Z96" i="63" s="1"/>
  <c r="P100" i="63"/>
  <c r="P31" i="20"/>
  <c r="X27" i="20"/>
  <c r="Z27" i="16"/>
  <c r="T31" i="16"/>
  <c r="T31" i="38"/>
  <c r="Z27" i="38"/>
  <c r="L49" i="70"/>
  <c r="N49" i="70" s="1"/>
  <c r="D109" i="70"/>
  <c r="L27" i="11"/>
  <c r="D31" i="11"/>
  <c r="Z27" i="29"/>
  <c r="T31" i="29"/>
  <c r="H84" i="75"/>
  <c r="J80" i="75"/>
  <c r="P28" i="108"/>
  <c r="X24" i="108"/>
  <c r="P130" i="36"/>
  <c r="X126" i="36"/>
  <c r="Z126" i="36" s="1"/>
  <c r="R126" i="36"/>
  <c r="J56" i="82"/>
  <c r="T82" i="56"/>
  <c r="L40" i="84"/>
  <c r="N40" i="84" s="1"/>
  <c r="D117" i="84"/>
  <c r="T28" i="104"/>
  <c r="Z24" i="104"/>
  <c r="T108" i="21"/>
  <c r="V104" i="21"/>
  <c r="T106" i="9"/>
  <c r="L50" i="27"/>
  <c r="N50" i="27" s="1"/>
  <c r="D110" i="27"/>
  <c r="H90" i="87"/>
  <c r="V28" i="85"/>
  <c r="T32" i="85"/>
  <c r="P32" i="85"/>
  <c r="X28" i="85"/>
  <c r="Z28" i="85" s="1"/>
  <c r="R28" i="85"/>
  <c r="N27" i="26"/>
  <c r="H31" i="26"/>
  <c r="H166" i="30"/>
  <c r="J162" i="30"/>
  <c r="D94" i="95"/>
  <c r="L23" i="95"/>
  <c r="N23" i="95" s="1"/>
  <c r="T96" i="68"/>
  <c r="V92" i="68"/>
  <c r="P31" i="13"/>
  <c r="X27" i="13"/>
  <c r="N27" i="19"/>
  <c r="H31" i="19"/>
  <c r="P78" i="92"/>
  <c r="X18" i="92"/>
  <c r="T86" i="91"/>
  <c r="H82" i="92"/>
  <c r="D86" i="107"/>
  <c r="L19" i="107"/>
  <c r="N19" i="107" s="1"/>
  <c r="J228" i="12"/>
  <c r="P31" i="31"/>
  <c r="X27" i="31"/>
  <c r="D61" i="60"/>
  <c r="L57" i="60"/>
  <c r="N57" i="60" s="1"/>
  <c r="P31" i="19"/>
  <c r="X27" i="19"/>
  <c r="X27" i="40"/>
  <c r="P31" i="40"/>
  <c r="P241" i="18"/>
  <c r="X237" i="18"/>
  <c r="Z237" i="18" s="1"/>
  <c r="R237" i="18"/>
  <c r="P110" i="27"/>
  <c r="X50" i="27"/>
  <c r="Z50" i="27" s="1"/>
  <c r="D26" i="54"/>
  <c r="L22" i="54"/>
  <c r="X73" i="74"/>
  <c r="Z73" i="74" s="1"/>
  <c r="P144" i="74"/>
  <c r="D100" i="76"/>
  <c r="L45" i="76"/>
  <c r="N45" i="76" s="1"/>
  <c r="X27" i="5"/>
  <c r="P31" i="5"/>
  <c r="H71" i="59"/>
  <c r="T60" i="99"/>
  <c r="Z56" i="99"/>
  <c r="N27" i="44"/>
  <c r="H31" i="44"/>
  <c r="T83" i="93"/>
  <c r="L27" i="31"/>
  <c r="D31" i="31"/>
  <c r="T123" i="42"/>
  <c r="X119" i="42"/>
  <c r="Z119" i="42" s="1"/>
  <c r="V119" i="42"/>
  <c r="H31" i="49"/>
  <c r="N27" i="49"/>
  <c r="D98" i="45"/>
  <c r="L23" i="45"/>
  <c r="N23" i="45" s="1"/>
  <c r="P31" i="4"/>
  <c r="X27" i="4"/>
  <c r="T265" i="3"/>
  <c r="V260" i="3"/>
  <c r="X23" i="82"/>
  <c r="Z23" i="82" s="1"/>
  <c r="P49" i="82"/>
  <c r="L221" i="12"/>
  <c r="N221" i="12" s="1"/>
  <c r="D225" i="12"/>
  <c r="F221" i="12"/>
  <c r="H67" i="61"/>
  <c r="L60" i="61"/>
  <c r="N60" i="61" s="1"/>
  <c r="D64" i="61"/>
  <c r="Z27" i="44"/>
  <c r="T31" i="44"/>
  <c r="P214" i="15"/>
  <c r="X108" i="15"/>
  <c r="Z108" i="15" s="1"/>
  <c r="L92" i="68"/>
  <c r="N92" i="68" s="1"/>
  <c r="D96" i="68"/>
  <c r="F92" i="68"/>
  <c r="H98" i="95"/>
  <c r="J94" i="95"/>
  <c r="P94" i="95"/>
  <c r="X23" i="95"/>
  <c r="Z23" i="95" s="1"/>
  <c r="D31" i="14"/>
  <c r="L27" i="14"/>
  <c r="F23" i="95"/>
  <c r="H113" i="70"/>
  <c r="J109" i="70"/>
  <c r="D31" i="112"/>
  <c r="L27" i="112"/>
  <c r="H86" i="93"/>
  <c r="J99" i="105"/>
  <c r="L27" i="19"/>
  <c r="D31" i="19"/>
  <c r="X40" i="84"/>
  <c r="Z40" i="84" s="1"/>
  <c r="P117" i="84"/>
  <c r="L27" i="32"/>
  <c r="D31" i="32"/>
  <c r="N27" i="7"/>
  <c r="H31" i="7"/>
  <c r="T31" i="28"/>
  <c r="Z27" i="28"/>
  <c r="T74" i="80"/>
  <c r="X70" i="80"/>
  <c r="Z70" i="80" s="1"/>
  <c r="L27" i="23"/>
  <c r="D31" i="23"/>
  <c r="H104" i="76"/>
  <c r="J100" i="76"/>
  <c r="D71" i="109"/>
  <c r="L17" i="109"/>
  <c r="N17" i="109" s="1"/>
  <c r="R73" i="74"/>
  <c r="Z27" i="35"/>
  <c r="T31" i="35"/>
  <c r="P26" i="54"/>
  <c r="X22" i="54"/>
  <c r="H92" i="103"/>
  <c r="J88" i="103"/>
  <c r="T228" i="12"/>
  <c r="V225" i="12"/>
  <c r="H63" i="99"/>
  <c r="H31" i="23"/>
  <c r="N27" i="23"/>
  <c r="P67" i="61"/>
  <c r="H31" i="8"/>
  <c r="N27" i="8"/>
  <c r="T82" i="79"/>
  <c r="V78" i="79"/>
  <c r="T35" i="55"/>
  <c r="X31" i="55"/>
  <c r="Z31" i="55" s="1"/>
  <c r="T104" i="51"/>
  <c r="V100" i="51"/>
  <c r="T31" i="13"/>
  <c r="Z27" i="13"/>
  <c r="Z27" i="41"/>
  <c r="T31" i="41"/>
  <c r="D26" i="6"/>
  <c r="L22" i="6"/>
  <c r="H36" i="88"/>
  <c r="L36" i="88" s="1"/>
  <c r="Z27" i="31"/>
  <c r="T31" i="31"/>
  <c r="N27" i="112"/>
  <c r="H31" i="112"/>
  <c r="H70" i="69"/>
  <c r="J67" i="69"/>
  <c r="T95" i="103"/>
  <c r="V92" i="103"/>
  <c r="N27" i="11"/>
  <c r="H31" i="11"/>
  <c r="N27" i="20"/>
  <c r="H31" i="20"/>
  <c r="P77" i="58"/>
  <c r="X73" i="58"/>
  <c r="Z73" i="58" s="1"/>
  <c r="H95" i="83"/>
  <c r="J92" i="83"/>
  <c r="D82" i="94"/>
  <c r="L78" i="94"/>
  <c r="N78" i="94" s="1"/>
  <c r="H84" i="33"/>
  <c r="J80" i="33"/>
  <c r="X27" i="29"/>
  <c r="P31" i="29"/>
  <c r="X73" i="57"/>
  <c r="Z73" i="57" s="1"/>
  <c r="P77" i="57"/>
  <c r="H31" i="50"/>
  <c r="N27" i="50"/>
  <c r="D241" i="18"/>
  <c r="L237" i="18"/>
  <c r="N237" i="18" s="1"/>
  <c r="F237" i="18"/>
  <c r="T84" i="33"/>
  <c r="V80" i="33"/>
  <c r="H61" i="60"/>
  <c r="H82" i="56"/>
  <c r="P80" i="33"/>
  <c r="X26" i="33"/>
  <c r="Z26" i="33" s="1"/>
  <c r="Z26" i="54"/>
  <c r="T31" i="54"/>
  <c r="L27" i="8"/>
  <c r="D31" i="8"/>
  <c r="L27" i="20"/>
  <c r="D31" i="20"/>
  <c r="L73" i="58"/>
  <c r="N73" i="58" s="1"/>
  <c r="D77" i="58"/>
  <c r="L27" i="47"/>
  <c r="D31" i="47"/>
  <c r="L27" i="7"/>
  <c r="D31" i="7"/>
  <c r="Z27" i="111"/>
  <c r="T31" i="111"/>
  <c r="H31" i="29"/>
  <c r="N27" i="29"/>
  <c r="P90" i="107"/>
  <c r="X86" i="107"/>
  <c r="Z86" i="107" s="1"/>
  <c r="X78" i="94"/>
  <c r="Z78" i="94" s="1"/>
  <c r="P82" i="94"/>
  <c r="R78" i="94"/>
  <c r="T31" i="53"/>
  <c r="Z27" i="53"/>
  <c r="H96" i="24"/>
  <c r="J92" i="24"/>
  <c r="T82" i="92"/>
  <c r="D31" i="111"/>
  <c r="L27" i="111"/>
  <c r="T133" i="36"/>
  <c r="V130" i="36"/>
  <c r="N27" i="22"/>
  <c r="H31" i="22"/>
  <c r="L27" i="110"/>
  <c r="D31" i="110"/>
  <c r="D31" i="41"/>
  <c r="L27" i="41"/>
  <c r="P61" i="60"/>
  <c r="X57" i="60"/>
  <c r="Z57" i="60" s="1"/>
  <c r="N27" i="16"/>
  <c r="H31" i="16"/>
  <c r="L27" i="5"/>
  <c r="D31" i="5"/>
  <c r="X27" i="112"/>
  <c r="P31" i="112"/>
  <c r="L45" i="51"/>
  <c r="N45" i="51" s="1"/>
  <c r="D100" i="51"/>
  <c r="F45" i="51"/>
  <c r="N27" i="32"/>
  <c r="H31" i="32"/>
  <c r="N27" i="43"/>
  <c r="H31" i="43"/>
  <c r="X104" i="21"/>
  <c r="Z104" i="21" s="1"/>
  <c r="P108" i="21"/>
  <c r="R104" i="21"/>
  <c r="H108" i="21"/>
  <c r="J104" i="21"/>
  <c r="R23" i="45"/>
  <c r="T36" i="88"/>
  <c r="X32" i="88"/>
  <c r="Z32" i="88" s="1"/>
  <c r="X27" i="16"/>
  <c r="P31" i="16"/>
  <c r="T31" i="10"/>
  <c r="Z27" i="10"/>
  <c r="N27" i="35"/>
  <c r="H31" i="35"/>
  <c r="D100" i="63"/>
  <c r="L96" i="63"/>
  <c r="N96" i="63" s="1"/>
  <c r="P86" i="87"/>
  <c r="X19" i="87"/>
  <c r="H88" i="97"/>
  <c r="N84" i="97"/>
  <c r="N27" i="41"/>
  <c r="H31" i="41"/>
  <c r="T84" i="75"/>
  <c r="Z80" i="75"/>
  <c r="V80" i="75"/>
  <c r="T166" i="30"/>
  <c r="V162" i="30"/>
  <c r="Z27" i="98"/>
  <c r="T30" i="98"/>
  <c r="Z30" i="98" s="1"/>
  <c r="Z27" i="20"/>
  <c r="T31" i="20"/>
  <c r="P221" i="12"/>
  <c r="X112" i="12"/>
  <c r="Z112" i="12" s="1"/>
  <c r="P31" i="47"/>
  <c r="X27" i="47"/>
  <c r="H82" i="79"/>
  <c r="J78" i="79"/>
  <c r="T96" i="24"/>
  <c r="V92" i="24"/>
  <c r="L27" i="46"/>
  <c r="D31" i="46"/>
  <c r="X19" i="93"/>
  <c r="P79" i="93"/>
  <c r="H31" i="52"/>
  <c r="N27" i="52"/>
  <c r="Z27" i="26"/>
  <c r="T31" i="26"/>
  <c r="T64" i="61"/>
  <c r="X64" i="61" s="1"/>
  <c r="Z60" i="61"/>
  <c r="L27" i="25"/>
  <c r="D31" i="25"/>
  <c r="D92" i="83"/>
  <c r="L88" i="83"/>
  <c r="N88" i="83" s="1"/>
  <c r="F23" i="45"/>
  <c r="X45" i="51"/>
  <c r="Z45" i="51" s="1"/>
  <c r="P100" i="51"/>
  <c r="N27" i="14"/>
  <c r="H31" i="14"/>
  <c r="N27" i="34"/>
  <c r="H31" i="34"/>
  <c r="P162" i="30"/>
  <c r="X73" i="30"/>
  <c r="Z73" i="30" s="1"/>
  <c r="X71" i="109"/>
  <c r="Z71" i="109" s="1"/>
  <c r="P75" i="109"/>
  <c r="R71" i="109"/>
  <c r="R23" i="82"/>
  <c r="P31" i="28"/>
  <c r="X27" i="28"/>
  <c r="D67" i="69"/>
  <c r="L63" i="69"/>
  <c r="N63" i="69" s="1"/>
  <c r="R45" i="76"/>
  <c r="P31" i="25"/>
  <c r="X27" i="25"/>
  <c r="T31" i="43"/>
  <c r="Z27" i="43"/>
  <c r="P26" i="6"/>
  <c r="X22" i="6"/>
  <c r="D32" i="85"/>
  <c r="L28" i="85"/>
  <c r="N28" i="85" s="1"/>
  <c r="L18" i="92"/>
  <c r="D78" i="92"/>
  <c r="R23" i="95"/>
  <c r="N27" i="25"/>
  <c r="H31" i="25"/>
  <c r="D31" i="17"/>
  <c r="L27" i="17"/>
  <c r="X27" i="38"/>
  <c r="P31" i="38"/>
  <c r="H74" i="80"/>
  <c r="Z27" i="112"/>
  <c r="T31" i="112"/>
  <c r="T31" i="11"/>
  <c r="Z27" i="11"/>
  <c r="H35" i="55"/>
  <c r="J74" i="72"/>
  <c r="H77" i="72"/>
  <c r="L92" i="105"/>
  <c r="N92" i="105" s="1"/>
  <c r="D96" i="105"/>
  <c r="F92" i="105"/>
  <c r="T218" i="15"/>
  <c r="V214" i="15"/>
  <c r="L56" i="99"/>
  <c r="N56" i="99" s="1"/>
  <c r="D60" i="99"/>
  <c r="X27" i="26"/>
  <c r="P31" i="26"/>
  <c r="L27" i="38"/>
  <c r="D31" i="38"/>
  <c r="H260" i="3"/>
  <c r="J256" i="3"/>
  <c r="X27" i="35"/>
  <c r="P31" i="35"/>
  <c r="F73" i="30"/>
  <c r="N22" i="54"/>
  <c r="H26" i="54"/>
  <c r="L27" i="37"/>
  <c r="D31" i="37"/>
  <c r="L27" i="49"/>
  <c r="D31" i="49"/>
  <c r="T117" i="27"/>
  <c r="V114" i="27"/>
  <c r="F35" i="24"/>
  <c r="T31" i="52"/>
  <c r="Z27" i="52"/>
  <c r="Z27" i="19"/>
  <c r="T31" i="19"/>
  <c r="Z27" i="37"/>
  <c r="T31" i="37"/>
  <c r="D144" i="74"/>
  <c r="L73" i="74"/>
  <c r="N73" i="74" s="1"/>
  <c r="D34" i="100"/>
  <c r="L30" i="100"/>
  <c r="N30" i="100" s="1"/>
  <c r="X27" i="110"/>
  <c r="P31" i="110"/>
  <c r="L27" i="26"/>
  <c r="D31" i="26"/>
  <c r="H77" i="57"/>
  <c r="P28" i="104"/>
  <c r="X24" i="104"/>
  <c r="X63" i="69"/>
  <c r="P67" i="69"/>
  <c r="T77" i="58"/>
  <c r="L78" i="79"/>
  <c r="N78" i="79" s="1"/>
  <c r="D82" i="79"/>
  <c r="L24" i="104"/>
  <c r="D28" i="104"/>
  <c r="D260" i="3"/>
  <c r="L256" i="3"/>
  <c r="N256" i="3" s="1"/>
  <c r="F256" i="3"/>
  <c r="D31" i="40"/>
  <c r="L27" i="40"/>
  <c r="P92" i="83"/>
  <c r="X88" i="83"/>
  <c r="Z88" i="83" s="1"/>
  <c r="D31" i="16"/>
  <c r="L27" i="16"/>
  <c r="T92" i="83"/>
  <c r="V88" i="83"/>
  <c r="H75" i="109"/>
  <c r="J71" i="109"/>
  <c r="T96" i="105"/>
  <c r="V92" i="105"/>
  <c r="T75" i="109"/>
  <c r="V71" i="109"/>
  <c r="T102" i="45"/>
  <c r="V98" i="45"/>
  <c r="T61" i="60"/>
  <c r="T53" i="82"/>
  <c r="V49" i="82"/>
  <c r="T90" i="107"/>
  <c r="V86" i="107"/>
  <c r="P31" i="11"/>
  <c r="X27" i="11"/>
  <c r="D31" i="53"/>
  <c r="L27" i="53"/>
  <c r="H102" i="45"/>
  <c r="J98" i="45"/>
  <c r="L23" i="98"/>
  <c r="D27" i="98"/>
  <c r="F23" i="98"/>
  <c r="X92" i="105"/>
  <c r="Z92" i="105" s="1"/>
  <c r="P96" i="105"/>
  <c r="R92" i="105"/>
  <c r="L108" i="15"/>
  <c r="N108" i="15" s="1"/>
  <c r="D214" i="15"/>
  <c r="D79" i="93"/>
  <c r="L19" i="93"/>
  <c r="X27" i="22"/>
  <c r="P31" i="22"/>
  <c r="H31" i="53"/>
  <c r="N27" i="53"/>
  <c r="L70" i="80"/>
  <c r="N70" i="80" s="1"/>
  <c r="D74" i="80"/>
  <c r="N23" i="98"/>
  <c r="H27" i="98"/>
  <c r="Z27" i="25"/>
  <c r="T31" i="25"/>
  <c r="H28" i="108"/>
  <c r="N24" i="108"/>
  <c r="L27" i="10"/>
  <c r="D31" i="10"/>
  <c r="R126" i="42"/>
  <c r="D90" i="87"/>
  <c r="L86" i="87"/>
  <c r="N86" i="87" s="1"/>
  <c r="P123" i="39"/>
  <c r="X28" i="39"/>
  <c r="Z28" i="39" s="1"/>
  <c r="D31" i="34"/>
  <c r="L27" i="34"/>
  <c r="X17" i="9"/>
  <c r="P102" i="9"/>
  <c r="X56" i="102"/>
  <c r="Z56" i="102" s="1"/>
  <c r="P60" i="102"/>
  <c r="N27" i="17"/>
  <c r="H31" i="17"/>
  <c r="H78" i="48"/>
  <c r="J75" i="48"/>
  <c r="Z71" i="48"/>
  <c r="T75" i="48"/>
  <c r="V71" i="48"/>
  <c r="X27" i="43"/>
  <c r="P31" i="43"/>
  <c r="X27" i="10"/>
  <c r="P31" i="10"/>
  <c r="L74" i="72"/>
  <c r="N74" i="72" s="1"/>
  <c r="D77" i="72"/>
  <c r="H90" i="107"/>
  <c r="J86" i="107"/>
  <c r="P34" i="100"/>
  <c r="X30" i="100"/>
  <c r="Z30" i="100" s="1"/>
  <c r="N27" i="31"/>
  <c r="H31" i="31"/>
  <c r="N27" i="46"/>
  <c r="H31" i="46"/>
  <c r="L25" i="42"/>
  <c r="N25" i="42" s="1"/>
  <c r="D119" i="42"/>
  <c r="X70" i="72"/>
  <c r="Z70" i="72" s="1"/>
  <c r="P74" i="72"/>
  <c r="H31" i="40"/>
  <c r="N27" i="40"/>
  <c r="T31" i="23"/>
  <c r="Z27" i="23"/>
  <c r="T241" i="18"/>
  <c r="V237" i="18"/>
  <c r="L31" i="55"/>
  <c r="N31" i="55" s="1"/>
  <c r="D35" i="55"/>
  <c r="Z27" i="7"/>
  <c r="T31" i="7"/>
  <c r="N27" i="28"/>
  <c r="H31" i="28"/>
  <c r="N27" i="110"/>
  <c r="H31" i="110"/>
  <c r="L32" i="88"/>
  <c r="N32" i="88" s="1"/>
  <c r="T31" i="40"/>
  <c r="Z27" i="40"/>
  <c r="R21" i="79"/>
  <c r="D60" i="102"/>
  <c r="L56" i="102"/>
  <c r="N56" i="102" s="1"/>
  <c r="D127" i="39"/>
  <c r="L123" i="39"/>
  <c r="N123" i="39" s="1"/>
  <c r="F123" i="39"/>
  <c r="N22" i="6"/>
  <c r="H26" i="6"/>
  <c r="Z63" i="69"/>
  <c r="T67" i="69"/>
  <c r="V63" i="69"/>
  <c r="X27" i="52"/>
  <c r="P31" i="52"/>
  <c r="D40" i="101"/>
  <c r="L36" i="101"/>
  <c r="N36" i="101" s="1"/>
  <c r="T31" i="22"/>
  <c r="Z27" i="22"/>
  <c r="L77" i="72" l="1"/>
  <c r="T221" i="15"/>
  <c r="V218" i="15"/>
  <c r="T93" i="107"/>
  <c r="V90" i="107"/>
  <c r="X74" i="72"/>
  <c r="P77" i="72"/>
  <c r="H105" i="45"/>
  <c r="J102" i="45"/>
  <c r="T111" i="21"/>
  <c r="V108" i="21"/>
  <c r="D130" i="39"/>
  <c r="L127" i="39"/>
  <c r="N127" i="39" s="1"/>
  <c r="F127" i="39"/>
  <c r="L119" i="42"/>
  <c r="N119" i="42" s="1"/>
  <c r="D123" i="42"/>
  <c r="F119" i="42"/>
  <c r="J78" i="48"/>
  <c r="L74" i="80"/>
  <c r="N74" i="80" s="1"/>
  <c r="D77" i="80"/>
  <c r="D218" i="15"/>
  <c r="L214" i="15"/>
  <c r="N214" i="15" s="1"/>
  <c r="F214" i="15"/>
  <c r="D36" i="53"/>
  <c r="L31" i="53"/>
  <c r="T64" i="60"/>
  <c r="H78" i="109"/>
  <c r="J75" i="109"/>
  <c r="T36" i="52"/>
  <c r="Z36" i="52" s="1"/>
  <c r="Z31" i="52"/>
  <c r="X31" i="35"/>
  <c r="P36" i="35"/>
  <c r="L78" i="92"/>
  <c r="N78" i="92" s="1"/>
  <c r="D82" i="92"/>
  <c r="T99" i="24"/>
  <c r="V96" i="24"/>
  <c r="H91" i="97"/>
  <c r="V133" i="36"/>
  <c r="J70" i="69"/>
  <c r="H36" i="8"/>
  <c r="N36" i="8" s="1"/>
  <c r="N31" i="8"/>
  <c r="Z31" i="44"/>
  <c r="T36" i="44"/>
  <c r="Z36" i="44" s="1"/>
  <c r="P148" i="74"/>
  <c r="X144" i="74"/>
  <c r="Z144" i="74" s="1"/>
  <c r="R144" i="74"/>
  <c r="P36" i="19"/>
  <c r="X31" i="19"/>
  <c r="H85" i="92"/>
  <c r="Z32" i="85"/>
  <c r="T35" i="85"/>
  <c r="V32" i="85"/>
  <c r="X130" i="36"/>
  <c r="Z130" i="36" s="1"/>
  <c r="P133" i="36"/>
  <c r="R130" i="36"/>
  <c r="X260" i="3"/>
  <c r="Z260" i="3" s="1"/>
  <c r="P265" i="3"/>
  <c r="R260" i="3"/>
  <c r="P36" i="46"/>
  <c r="X31" i="46"/>
  <c r="L86" i="91"/>
  <c r="D89" i="91"/>
  <c r="X60" i="99"/>
  <c r="Z60" i="99" s="1"/>
  <c r="P63" i="99"/>
  <c r="L84" i="75"/>
  <c r="D87" i="75"/>
  <c r="F84" i="75"/>
  <c r="L31" i="13"/>
  <c r="D36" i="13"/>
  <c r="X31" i="52"/>
  <c r="P36" i="52"/>
  <c r="X162" i="30"/>
  <c r="Z162" i="30" s="1"/>
  <c r="P166" i="30"/>
  <c r="R162" i="30"/>
  <c r="H64" i="60"/>
  <c r="T99" i="68"/>
  <c r="V96" i="68"/>
  <c r="J133" i="36"/>
  <c r="H107" i="51"/>
  <c r="J104" i="51"/>
  <c r="H36" i="13"/>
  <c r="N36" i="13" s="1"/>
  <c r="N31" i="13"/>
  <c r="N31" i="34"/>
  <c r="H36" i="34"/>
  <c r="N36" i="34" s="1"/>
  <c r="P90" i="87"/>
  <c r="X86" i="87"/>
  <c r="Z86" i="87" s="1"/>
  <c r="X77" i="58"/>
  <c r="P80" i="58"/>
  <c r="N31" i="7"/>
  <c r="H36" i="7"/>
  <c r="N36" i="7" s="1"/>
  <c r="L64" i="61"/>
  <c r="N64" i="61" s="1"/>
  <c r="D67" i="61"/>
  <c r="L67" i="61" s="1"/>
  <c r="N67" i="61" s="1"/>
  <c r="V265" i="3"/>
  <c r="P31" i="108"/>
  <c r="X31" i="108" s="1"/>
  <c r="X28" i="108"/>
  <c r="D113" i="70"/>
  <c r="L109" i="70"/>
  <c r="N109" i="70" s="1"/>
  <c r="F109" i="70"/>
  <c r="H124" i="84"/>
  <c r="J121" i="84"/>
  <c r="T107" i="76"/>
  <c r="V104" i="76"/>
  <c r="P96" i="68"/>
  <c r="X92" i="68"/>
  <c r="Z92" i="68" s="1"/>
  <c r="R92" i="68"/>
  <c r="L56" i="82"/>
  <c r="N56" i="82" s="1"/>
  <c r="F56" i="82"/>
  <c r="D77" i="57"/>
  <c r="L73" i="57"/>
  <c r="N73" i="57" s="1"/>
  <c r="X27" i="98"/>
  <c r="P30" i="98"/>
  <c r="R27" i="98"/>
  <c r="N31" i="37"/>
  <c r="H36" i="37"/>
  <c r="N36" i="37" s="1"/>
  <c r="P78" i="48"/>
  <c r="X75" i="48"/>
  <c r="Z75" i="48" s="1"/>
  <c r="R75" i="48"/>
  <c r="X31" i="8"/>
  <c r="P36" i="8"/>
  <c r="T39" i="88"/>
  <c r="X36" i="88"/>
  <c r="Z36" i="88" s="1"/>
  <c r="L31" i="47"/>
  <c r="D36" i="47"/>
  <c r="H95" i="103"/>
  <c r="J92" i="103"/>
  <c r="P36" i="53"/>
  <c r="X31" i="53"/>
  <c r="X31" i="23"/>
  <c r="P36" i="23"/>
  <c r="N31" i="17"/>
  <c r="H36" i="17"/>
  <c r="N36" i="17" s="1"/>
  <c r="T105" i="45"/>
  <c r="V102" i="45"/>
  <c r="T67" i="61"/>
  <c r="X67" i="61" s="1"/>
  <c r="Z64" i="61"/>
  <c r="X90" i="107"/>
  <c r="Z90" i="107" s="1"/>
  <c r="P93" i="107"/>
  <c r="X93" i="107" s="1"/>
  <c r="X96" i="105"/>
  <c r="Z96" i="105" s="1"/>
  <c r="P99" i="105"/>
  <c r="R96" i="105"/>
  <c r="X67" i="69"/>
  <c r="Z67" i="69" s="1"/>
  <c r="P70" i="69"/>
  <c r="V117" i="27"/>
  <c r="L96" i="105"/>
  <c r="N96" i="105" s="1"/>
  <c r="D99" i="105"/>
  <c r="F96" i="105"/>
  <c r="H77" i="80"/>
  <c r="L32" i="85"/>
  <c r="N32" i="85" s="1"/>
  <c r="D35" i="85"/>
  <c r="L35" i="85" s="1"/>
  <c r="Z31" i="26"/>
  <c r="T36" i="26"/>
  <c r="Z36" i="26" s="1"/>
  <c r="L100" i="51"/>
  <c r="N100" i="51" s="1"/>
  <c r="D104" i="51"/>
  <c r="F100" i="51"/>
  <c r="X61" i="60"/>
  <c r="Z61" i="60" s="1"/>
  <c r="P64" i="60"/>
  <c r="X64" i="60" s="1"/>
  <c r="D80" i="58"/>
  <c r="L77" i="58"/>
  <c r="N31" i="20"/>
  <c r="H36" i="20"/>
  <c r="N36" i="20" s="1"/>
  <c r="Z31" i="31"/>
  <c r="T36" i="31"/>
  <c r="Z36" i="31" s="1"/>
  <c r="D75" i="109"/>
  <c r="L71" i="109"/>
  <c r="N71" i="109" s="1"/>
  <c r="F71" i="109"/>
  <c r="T126" i="42"/>
  <c r="Z123" i="42"/>
  <c r="V123" i="42"/>
  <c r="X123" i="42"/>
  <c r="D31" i="54"/>
  <c r="L26" i="54"/>
  <c r="T89" i="91"/>
  <c r="D98" i="95"/>
  <c r="L94" i="95"/>
  <c r="N94" i="95" s="1"/>
  <c r="F94" i="95"/>
  <c r="H93" i="87"/>
  <c r="Z31" i="4"/>
  <c r="T36" i="4"/>
  <c r="Z36" i="4" s="1"/>
  <c r="V124" i="84"/>
  <c r="L28" i="108"/>
  <c r="D31" i="108"/>
  <c r="H109" i="9"/>
  <c r="N86" i="91"/>
  <c r="H89" i="91"/>
  <c r="Z31" i="8"/>
  <c r="T36" i="8"/>
  <c r="Z36" i="8" s="1"/>
  <c r="Z31" i="50"/>
  <c r="T36" i="50"/>
  <c r="Z36" i="50" s="1"/>
  <c r="L71" i="59"/>
  <c r="N71" i="59" s="1"/>
  <c r="D74" i="59"/>
  <c r="H99" i="68"/>
  <c r="J96" i="68"/>
  <c r="T43" i="101"/>
  <c r="Z31" i="13"/>
  <c r="T36" i="13"/>
  <c r="Z36" i="13" s="1"/>
  <c r="T63" i="99"/>
  <c r="Z31" i="32"/>
  <c r="T36" i="32"/>
  <c r="Z36" i="32" s="1"/>
  <c r="X100" i="76"/>
  <c r="Z100" i="76" s="1"/>
  <c r="P104" i="76"/>
  <c r="R100" i="76"/>
  <c r="L60" i="102"/>
  <c r="D63" i="102"/>
  <c r="X31" i="10"/>
  <c r="P36" i="10"/>
  <c r="T95" i="83"/>
  <c r="V92" i="83"/>
  <c r="Z77" i="58"/>
  <c r="T80" i="58"/>
  <c r="N31" i="31"/>
  <c r="H36" i="31"/>
  <c r="N36" i="31" s="1"/>
  <c r="L31" i="10"/>
  <c r="D36" i="10"/>
  <c r="D37" i="100"/>
  <c r="L37" i="100" s="1"/>
  <c r="N37" i="100" s="1"/>
  <c r="L34" i="100"/>
  <c r="N34" i="100" s="1"/>
  <c r="H265" i="3"/>
  <c r="J260" i="3"/>
  <c r="L67" i="69"/>
  <c r="N67" i="69" s="1"/>
  <c r="D70" i="69"/>
  <c r="L70" i="69" s="1"/>
  <c r="N70" i="69" s="1"/>
  <c r="N31" i="14"/>
  <c r="H36" i="14"/>
  <c r="N36" i="14" s="1"/>
  <c r="H85" i="79"/>
  <c r="J82" i="79"/>
  <c r="T169" i="30"/>
  <c r="V166" i="30"/>
  <c r="D103" i="63"/>
  <c r="L100" i="63"/>
  <c r="N100" i="63" s="1"/>
  <c r="T85" i="92"/>
  <c r="T107" i="51"/>
  <c r="V104" i="51"/>
  <c r="N31" i="23"/>
  <c r="H36" i="23"/>
  <c r="N36" i="23" s="1"/>
  <c r="X26" i="54"/>
  <c r="P31" i="54"/>
  <c r="X31" i="54" s="1"/>
  <c r="L31" i="32"/>
  <c r="D36" i="32"/>
  <c r="H101" i="95"/>
  <c r="J98" i="95"/>
  <c r="L31" i="31"/>
  <c r="D36" i="31"/>
  <c r="D64" i="60"/>
  <c r="L64" i="60" s="1"/>
  <c r="L61" i="60"/>
  <c r="N61" i="60" s="1"/>
  <c r="D121" i="84"/>
  <c r="L117" i="84"/>
  <c r="N117" i="84" s="1"/>
  <c r="F117" i="84"/>
  <c r="N84" i="75"/>
  <c r="H87" i="75"/>
  <c r="J84" i="75"/>
  <c r="D166" i="30"/>
  <c r="L162" i="30"/>
  <c r="N162" i="30" s="1"/>
  <c r="F162" i="30"/>
  <c r="L88" i="97"/>
  <c r="N88" i="97" s="1"/>
  <c r="D91" i="97"/>
  <c r="L91" i="97" s="1"/>
  <c r="L130" i="36"/>
  <c r="N130" i="36" s="1"/>
  <c r="D133" i="36"/>
  <c r="F130" i="36"/>
  <c r="P113" i="70"/>
  <c r="X109" i="70"/>
  <c r="Z109" i="70" s="1"/>
  <c r="R109" i="70"/>
  <c r="T36" i="46"/>
  <c r="Z36" i="46" s="1"/>
  <c r="Z31" i="46"/>
  <c r="T36" i="14"/>
  <c r="Z36" i="14" s="1"/>
  <c r="Z31" i="14"/>
  <c r="Z31" i="34"/>
  <c r="T36" i="34"/>
  <c r="Z36" i="34" s="1"/>
  <c r="T63" i="102"/>
  <c r="L35" i="55"/>
  <c r="N35" i="55" s="1"/>
  <c r="D38" i="55"/>
  <c r="X31" i="29"/>
  <c r="P36" i="29"/>
  <c r="T36" i="28"/>
  <c r="Z36" i="28" s="1"/>
  <c r="Z31" i="28"/>
  <c r="T31" i="104"/>
  <c r="Z31" i="104" s="1"/>
  <c r="Z28" i="104"/>
  <c r="X31" i="17"/>
  <c r="P36" i="17"/>
  <c r="J151" i="74"/>
  <c r="L92" i="24"/>
  <c r="N92" i="24" s="1"/>
  <c r="D96" i="24"/>
  <c r="F92" i="24"/>
  <c r="N31" i="46"/>
  <c r="H36" i="46"/>
  <c r="N36" i="46" s="1"/>
  <c r="P36" i="11"/>
  <c r="X31" i="11"/>
  <c r="D36" i="111"/>
  <c r="L31" i="111"/>
  <c r="T244" i="18"/>
  <c r="V241" i="18"/>
  <c r="P63" i="102"/>
  <c r="X63" i="102" s="1"/>
  <c r="X60" i="102"/>
  <c r="Z60" i="102" s="1"/>
  <c r="T36" i="40"/>
  <c r="Z36" i="40" s="1"/>
  <c r="Z31" i="40"/>
  <c r="N31" i="53"/>
  <c r="H36" i="53"/>
  <c r="N36" i="53" s="1"/>
  <c r="T78" i="109"/>
  <c r="V75" i="109"/>
  <c r="D36" i="16"/>
  <c r="L31" i="16"/>
  <c r="L31" i="49"/>
  <c r="D36" i="49"/>
  <c r="L31" i="38"/>
  <c r="D36" i="38"/>
  <c r="X31" i="38"/>
  <c r="P36" i="38"/>
  <c r="N31" i="35"/>
  <c r="H36" i="35"/>
  <c r="N36" i="35" s="1"/>
  <c r="H111" i="21"/>
  <c r="N108" i="21"/>
  <c r="J108" i="21"/>
  <c r="X31" i="112"/>
  <c r="P36" i="112"/>
  <c r="D36" i="41"/>
  <c r="L31" i="41"/>
  <c r="L31" i="20"/>
  <c r="D36" i="20"/>
  <c r="T87" i="33"/>
  <c r="V84" i="33"/>
  <c r="N31" i="11"/>
  <c r="H36" i="11"/>
  <c r="N36" i="11" s="1"/>
  <c r="N36" i="88"/>
  <c r="H39" i="88"/>
  <c r="D36" i="112"/>
  <c r="L31" i="112"/>
  <c r="P36" i="4"/>
  <c r="X31" i="4"/>
  <c r="H74" i="59"/>
  <c r="X110" i="27"/>
  <c r="Z110" i="27" s="1"/>
  <c r="P114" i="27"/>
  <c r="R110" i="27"/>
  <c r="D114" i="27"/>
  <c r="L110" i="27"/>
  <c r="N110" i="27" s="1"/>
  <c r="F110" i="27"/>
  <c r="T36" i="38"/>
  <c r="Z36" i="38" s="1"/>
  <c r="Z31" i="38"/>
  <c r="L31" i="50"/>
  <c r="D36" i="50"/>
  <c r="L31" i="22"/>
  <c r="D36" i="22"/>
  <c r="Z31" i="110"/>
  <c r="T36" i="110"/>
  <c r="Z36" i="110" s="1"/>
  <c r="N31" i="5"/>
  <c r="H36" i="5"/>
  <c r="N36" i="5" s="1"/>
  <c r="X31" i="32"/>
  <c r="P36" i="32"/>
  <c r="D36" i="4"/>
  <c r="L31" i="4"/>
  <c r="L31" i="28"/>
  <c r="D36" i="28"/>
  <c r="X92" i="24"/>
  <c r="Z92" i="24" s="1"/>
  <c r="P96" i="24"/>
  <c r="R92" i="24"/>
  <c r="D111" i="21"/>
  <c r="L111" i="21" s="1"/>
  <c r="L108" i="21"/>
  <c r="N31" i="112"/>
  <c r="H36" i="112"/>
  <c r="N36" i="112" s="1"/>
  <c r="P98" i="95"/>
  <c r="X94" i="95"/>
  <c r="Z94" i="95" s="1"/>
  <c r="R94" i="95"/>
  <c r="X31" i="44"/>
  <c r="P36" i="44"/>
  <c r="T70" i="69"/>
  <c r="V67" i="69"/>
  <c r="X31" i="43"/>
  <c r="P36" i="43"/>
  <c r="P106" i="9"/>
  <c r="X102" i="9"/>
  <c r="Z102" i="9" s="1"/>
  <c r="X31" i="22"/>
  <c r="P36" i="22"/>
  <c r="D30" i="98"/>
  <c r="L27" i="98"/>
  <c r="F27" i="98"/>
  <c r="L260" i="3"/>
  <c r="N260" i="3" s="1"/>
  <c r="D265" i="3"/>
  <c r="F260" i="3"/>
  <c r="P31" i="104"/>
  <c r="X28" i="104"/>
  <c r="L144" i="74"/>
  <c r="N144" i="74" s="1"/>
  <c r="D148" i="74"/>
  <c r="F144" i="74"/>
  <c r="J77" i="72"/>
  <c r="N77" i="72"/>
  <c r="P36" i="28"/>
  <c r="X31" i="28"/>
  <c r="P104" i="51"/>
  <c r="X100" i="51"/>
  <c r="Z100" i="51" s="1"/>
  <c r="R100" i="51"/>
  <c r="H36" i="52"/>
  <c r="N36" i="52" s="1"/>
  <c r="N31" i="52"/>
  <c r="P36" i="47"/>
  <c r="X31" i="47"/>
  <c r="L31" i="110"/>
  <c r="D36" i="110"/>
  <c r="H36" i="29"/>
  <c r="N36" i="29" s="1"/>
  <c r="N31" i="29"/>
  <c r="P84" i="33"/>
  <c r="X80" i="33"/>
  <c r="Z80" i="33" s="1"/>
  <c r="R80" i="33"/>
  <c r="H87" i="33"/>
  <c r="J84" i="33"/>
  <c r="T38" i="55"/>
  <c r="X35" i="55"/>
  <c r="Z35" i="55" s="1"/>
  <c r="H107" i="76"/>
  <c r="J104" i="76"/>
  <c r="P121" i="84"/>
  <c r="X117" i="84"/>
  <c r="Z117" i="84" s="1"/>
  <c r="R117" i="84"/>
  <c r="T86" i="93"/>
  <c r="X31" i="5"/>
  <c r="P36" i="5"/>
  <c r="P36" i="31"/>
  <c r="X31" i="31"/>
  <c r="P82" i="92"/>
  <c r="X78" i="92"/>
  <c r="Z78" i="92" s="1"/>
  <c r="H169" i="30"/>
  <c r="J166" i="30"/>
  <c r="Z31" i="29"/>
  <c r="T36" i="29"/>
  <c r="Z36" i="29" s="1"/>
  <c r="Z31" i="16"/>
  <c r="T36" i="16"/>
  <c r="Z36" i="16" s="1"/>
  <c r="P91" i="97"/>
  <c r="X91" i="97" s="1"/>
  <c r="Z91" i="97" s="1"/>
  <c r="X88" i="97"/>
  <c r="Z88" i="97" s="1"/>
  <c r="D36" i="29"/>
  <c r="L31" i="29"/>
  <c r="H244" i="18"/>
  <c r="J241" i="18"/>
  <c r="P74" i="59"/>
  <c r="X74" i="59" s="1"/>
  <c r="Z74" i="59" s="1"/>
  <c r="X71" i="59"/>
  <c r="Z71" i="59" s="1"/>
  <c r="N31" i="47"/>
  <c r="H36" i="47"/>
  <c r="N36" i="47" s="1"/>
  <c r="L31" i="44"/>
  <c r="D36" i="44"/>
  <c r="H221" i="15"/>
  <c r="J218" i="15"/>
  <c r="Z31" i="112"/>
  <c r="T36" i="112"/>
  <c r="Z36" i="112" s="1"/>
  <c r="Z31" i="37"/>
  <c r="T36" i="37"/>
  <c r="Z36" i="37" s="1"/>
  <c r="P83" i="93"/>
  <c r="X79" i="93"/>
  <c r="Z79" i="93" s="1"/>
  <c r="X108" i="21"/>
  <c r="Z108" i="21" s="1"/>
  <c r="P111" i="21"/>
  <c r="R108" i="21"/>
  <c r="H99" i="24"/>
  <c r="J96" i="24"/>
  <c r="Z31" i="111"/>
  <c r="T36" i="111"/>
  <c r="Z36" i="111" s="1"/>
  <c r="L31" i="8"/>
  <c r="D36" i="8"/>
  <c r="L31" i="23"/>
  <c r="D36" i="23"/>
  <c r="H116" i="70"/>
  <c r="J113" i="70"/>
  <c r="D102" i="45"/>
  <c r="L98" i="45"/>
  <c r="N98" i="45" s="1"/>
  <c r="F98" i="45"/>
  <c r="N31" i="19"/>
  <c r="H36" i="19"/>
  <c r="N36" i="19" s="1"/>
  <c r="N31" i="26"/>
  <c r="H36" i="26"/>
  <c r="N36" i="26" s="1"/>
  <c r="T151" i="74"/>
  <c r="V148" i="74"/>
  <c r="P36" i="41"/>
  <c r="X31" i="41"/>
  <c r="H117" i="27"/>
  <c r="J114" i="27"/>
  <c r="H36" i="111"/>
  <c r="N36" i="111" s="1"/>
  <c r="N31" i="111"/>
  <c r="P102" i="45"/>
  <c r="X98" i="45"/>
  <c r="Z98" i="45" s="1"/>
  <c r="R98" i="45"/>
  <c r="H103" i="63"/>
  <c r="Z31" i="5"/>
  <c r="T36" i="5"/>
  <c r="Z36" i="5" s="1"/>
  <c r="N35" i="85"/>
  <c r="J35" i="85"/>
  <c r="P87" i="75"/>
  <c r="X84" i="75"/>
  <c r="R84" i="75"/>
  <c r="X31" i="26"/>
  <c r="P36" i="26"/>
  <c r="L31" i="5"/>
  <c r="D36" i="5"/>
  <c r="Z31" i="22"/>
  <c r="T36" i="22"/>
  <c r="Z36" i="22" s="1"/>
  <c r="N26" i="6"/>
  <c r="H31" i="6"/>
  <c r="Z31" i="25"/>
  <c r="T36" i="25"/>
  <c r="Z36" i="25" s="1"/>
  <c r="T99" i="105"/>
  <c r="V96" i="105"/>
  <c r="H80" i="57"/>
  <c r="D36" i="17"/>
  <c r="L31" i="17"/>
  <c r="X221" i="12"/>
  <c r="Z221" i="12" s="1"/>
  <c r="P225" i="12"/>
  <c r="R221" i="12"/>
  <c r="T87" i="75"/>
  <c r="Z84" i="75"/>
  <c r="V84" i="75"/>
  <c r="T36" i="10"/>
  <c r="Z36" i="10" s="1"/>
  <c r="Z31" i="10"/>
  <c r="H36" i="22"/>
  <c r="N36" i="22" s="1"/>
  <c r="N31" i="22"/>
  <c r="D244" i="18"/>
  <c r="L241" i="18"/>
  <c r="N241" i="18" s="1"/>
  <c r="F241" i="18"/>
  <c r="V95" i="103"/>
  <c r="L31" i="19"/>
  <c r="D36" i="19"/>
  <c r="D99" i="68"/>
  <c r="L96" i="68"/>
  <c r="N96" i="68" s="1"/>
  <c r="F96" i="68"/>
  <c r="N31" i="44"/>
  <c r="H36" i="44"/>
  <c r="N36" i="44" s="1"/>
  <c r="P244" i="18"/>
  <c r="X241" i="18"/>
  <c r="Z241" i="18" s="1"/>
  <c r="R241" i="18"/>
  <c r="T109" i="9"/>
  <c r="L31" i="11"/>
  <c r="D36" i="11"/>
  <c r="X78" i="79"/>
  <c r="Z78" i="79" s="1"/>
  <c r="P82" i="79"/>
  <c r="R78" i="79"/>
  <c r="D36" i="52"/>
  <c r="L31" i="52"/>
  <c r="X31" i="7"/>
  <c r="P36" i="7"/>
  <c r="N77" i="58"/>
  <c r="H80" i="58"/>
  <c r="L106" i="9"/>
  <c r="N106" i="9" s="1"/>
  <c r="D109" i="9"/>
  <c r="Z74" i="72"/>
  <c r="T77" i="72"/>
  <c r="V74" i="72"/>
  <c r="T101" i="95"/>
  <c r="V98" i="95"/>
  <c r="Z31" i="47"/>
  <c r="T36" i="47"/>
  <c r="Z36" i="47" s="1"/>
  <c r="D92" i="103"/>
  <c r="L88" i="103"/>
  <c r="N88" i="103" s="1"/>
  <c r="F88" i="103"/>
  <c r="X86" i="91"/>
  <c r="Z86" i="91" s="1"/>
  <c r="P89" i="91"/>
  <c r="T93" i="87"/>
  <c r="D82" i="56"/>
  <c r="L82" i="56" s="1"/>
  <c r="N82" i="56" s="1"/>
  <c r="L79" i="56"/>
  <c r="N79" i="56" s="1"/>
  <c r="P36" i="14"/>
  <c r="X31" i="14"/>
  <c r="Z26" i="6"/>
  <c r="T31" i="6"/>
  <c r="X34" i="100"/>
  <c r="Z34" i="100" s="1"/>
  <c r="P37" i="100"/>
  <c r="X37" i="100" s="1"/>
  <c r="Z37" i="100" s="1"/>
  <c r="X26" i="6"/>
  <c r="P31" i="6"/>
  <c r="X31" i="6" s="1"/>
  <c r="N31" i="28"/>
  <c r="H36" i="28"/>
  <c r="N36" i="28" s="1"/>
  <c r="H36" i="40"/>
  <c r="N36" i="40" s="1"/>
  <c r="N31" i="40"/>
  <c r="H93" i="107"/>
  <c r="J90" i="107"/>
  <c r="T78" i="48"/>
  <c r="V75" i="48"/>
  <c r="L31" i="34"/>
  <c r="D36" i="34"/>
  <c r="D83" i="93"/>
  <c r="L79" i="93"/>
  <c r="N79" i="93" s="1"/>
  <c r="T56" i="82"/>
  <c r="V53" i="82"/>
  <c r="P95" i="83"/>
  <c r="X92" i="83"/>
  <c r="Z92" i="83" s="1"/>
  <c r="L82" i="79"/>
  <c r="N82" i="79" s="1"/>
  <c r="D85" i="79"/>
  <c r="L85" i="79" s="1"/>
  <c r="L31" i="26"/>
  <c r="D36" i="26"/>
  <c r="Z31" i="19"/>
  <c r="T36" i="19"/>
  <c r="Z36" i="19" s="1"/>
  <c r="N26" i="54"/>
  <c r="H31" i="54"/>
  <c r="L60" i="99"/>
  <c r="N60" i="99" s="1"/>
  <c r="D63" i="99"/>
  <c r="L63" i="99" s="1"/>
  <c r="N63" i="99" s="1"/>
  <c r="H38" i="55"/>
  <c r="N31" i="25"/>
  <c r="H36" i="25"/>
  <c r="N36" i="25" s="1"/>
  <c r="T36" i="43"/>
  <c r="Z36" i="43" s="1"/>
  <c r="Z31" i="43"/>
  <c r="X75" i="109"/>
  <c r="Z75" i="109" s="1"/>
  <c r="P78" i="109"/>
  <c r="R75" i="109"/>
  <c r="L31" i="46"/>
  <c r="D36" i="46"/>
  <c r="Z31" i="20"/>
  <c r="T36" i="20"/>
  <c r="Z36" i="20" s="1"/>
  <c r="N31" i="41"/>
  <c r="H36" i="41"/>
  <c r="N36" i="41" s="1"/>
  <c r="X31" i="16"/>
  <c r="P36" i="16"/>
  <c r="N31" i="43"/>
  <c r="H36" i="43"/>
  <c r="N36" i="43" s="1"/>
  <c r="T36" i="53"/>
  <c r="Z36" i="53" s="1"/>
  <c r="Z31" i="53"/>
  <c r="L31" i="7"/>
  <c r="D36" i="7"/>
  <c r="D85" i="94"/>
  <c r="L85" i="94" s="1"/>
  <c r="N85" i="94" s="1"/>
  <c r="L82" i="94"/>
  <c r="N82" i="94" s="1"/>
  <c r="L26" i="6"/>
  <c r="D31" i="6"/>
  <c r="L31" i="6" s="1"/>
  <c r="Z31" i="35"/>
  <c r="T36" i="35"/>
  <c r="Z36" i="35" s="1"/>
  <c r="L225" i="12"/>
  <c r="N225" i="12" s="1"/>
  <c r="D228" i="12"/>
  <c r="F225" i="12"/>
  <c r="N31" i="49"/>
  <c r="H36" i="49"/>
  <c r="N36" i="49" s="1"/>
  <c r="X31" i="40"/>
  <c r="P36" i="40"/>
  <c r="P36" i="20"/>
  <c r="X31" i="20"/>
  <c r="Z100" i="63"/>
  <c r="T103" i="63"/>
  <c r="N31" i="10"/>
  <c r="H36" i="10"/>
  <c r="N36" i="10" s="1"/>
  <c r="X79" i="56"/>
  <c r="Z79" i="56" s="1"/>
  <c r="P82" i="56"/>
  <c r="X82" i="56" s="1"/>
  <c r="Z82" i="56" s="1"/>
  <c r="N31" i="38"/>
  <c r="H36" i="38"/>
  <c r="N36" i="38" s="1"/>
  <c r="X40" i="101"/>
  <c r="Z40" i="101" s="1"/>
  <c r="P43" i="101"/>
  <c r="X31" i="37"/>
  <c r="P36" i="37"/>
  <c r="L84" i="33"/>
  <c r="N84" i="33" s="1"/>
  <c r="D87" i="33"/>
  <c r="F84" i="33"/>
  <c r="L90" i="87"/>
  <c r="N90" i="87" s="1"/>
  <c r="D93" i="87"/>
  <c r="N31" i="110"/>
  <c r="H36" i="110"/>
  <c r="N36" i="110" s="1"/>
  <c r="H31" i="108"/>
  <c r="N31" i="108" s="1"/>
  <c r="N28" i="108"/>
  <c r="L28" i="104"/>
  <c r="D31" i="104"/>
  <c r="L31" i="104" s="1"/>
  <c r="L92" i="83"/>
  <c r="N92" i="83" s="1"/>
  <c r="D95" i="83"/>
  <c r="L95" i="83" s="1"/>
  <c r="N31" i="50"/>
  <c r="H36" i="50"/>
  <c r="N36" i="50" s="1"/>
  <c r="Z31" i="41"/>
  <c r="T36" i="41"/>
  <c r="Z36" i="41" s="1"/>
  <c r="P36" i="13"/>
  <c r="X31" i="13"/>
  <c r="X100" i="63"/>
  <c r="P103" i="63"/>
  <c r="X31" i="111"/>
  <c r="P36" i="111"/>
  <c r="Z31" i="49"/>
  <c r="T36" i="49"/>
  <c r="Z36" i="49" s="1"/>
  <c r="N31" i="4"/>
  <c r="H36" i="4"/>
  <c r="N36" i="4" s="1"/>
  <c r="H63" i="102"/>
  <c r="N60" i="102"/>
  <c r="X31" i="49"/>
  <c r="P36" i="49"/>
  <c r="L31" i="35"/>
  <c r="D36" i="35"/>
  <c r="X31" i="110"/>
  <c r="P36" i="110"/>
  <c r="T36" i="23"/>
  <c r="Z36" i="23" s="1"/>
  <c r="Z31" i="23"/>
  <c r="L31" i="37"/>
  <c r="D36" i="37"/>
  <c r="L40" i="101"/>
  <c r="N40" i="101" s="1"/>
  <c r="D43" i="101"/>
  <c r="L43" i="101" s="1"/>
  <c r="N43" i="101" s="1"/>
  <c r="N27" i="98"/>
  <c r="H30" i="98"/>
  <c r="N30" i="98" s="1"/>
  <c r="N31" i="16"/>
  <c r="H36" i="16"/>
  <c r="N36" i="16" s="1"/>
  <c r="T85" i="79"/>
  <c r="V82" i="79"/>
  <c r="D90" i="107"/>
  <c r="L86" i="107"/>
  <c r="N86" i="107" s="1"/>
  <c r="F86" i="107"/>
  <c r="Z31" i="7"/>
  <c r="T36" i="7"/>
  <c r="Z36" i="7" s="1"/>
  <c r="P127" i="39"/>
  <c r="X123" i="39"/>
  <c r="Z123" i="39" s="1"/>
  <c r="R123" i="39"/>
  <c r="D36" i="40"/>
  <c r="L31" i="40"/>
  <c r="T36" i="11"/>
  <c r="Z36" i="11" s="1"/>
  <c r="Z31" i="11"/>
  <c r="P36" i="25"/>
  <c r="X31" i="25"/>
  <c r="L31" i="25"/>
  <c r="D36" i="25"/>
  <c r="N31" i="32"/>
  <c r="H36" i="32"/>
  <c r="N36" i="32" s="1"/>
  <c r="X82" i="94"/>
  <c r="Z82" i="94" s="1"/>
  <c r="P85" i="94"/>
  <c r="R82" i="94"/>
  <c r="Z31" i="54"/>
  <c r="X77" i="57"/>
  <c r="Z77" i="57" s="1"/>
  <c r="P80" i="57"/>
  <c r="X80" i="57" s="1"/>
  <c r="Z80" i="57" s="1"/>
  <c r="N95" i="83"/>
  <c r="J95" i="83"/>
  <c r="V228" i="12"/>
  <c r="T77" i="80"/>
  <c r="Z74" i="80"/>
  <c r="X74" i="80"/>
  <c r="L31" i="14"/>
  <c r="D36" i="14"/>
  <c r="P218" i="15"/>
  <c r="X214" i="15"/>
  <c r="Z214" i="15" s="1"/>
  <c r="R214" i="15"/>
  <c r="P53" i="82"/>
  <c r="X49" i="82"/>
  <c r="Z49" i="82" s="1"/>
  <c r="R49" i="82"/>
  <c r="D104" i="76"/>
  <c r="L100" i="76"/>
  <c r="N100" i="76" s="1"/>
  <c r="F100" i="76"/>
  <c r="P35" i="85"/>
  <c r="X32" i="85"/>
  <c r="R32" i="85"/>
  <c r="X92" i="103"/>
  <c r="Z92" i="103" s="1"/>
  <c r="P95" i="103"/>
  <c r="R92" i="103"/>
  <c r="D78" i="48"/>
  <c r="L75" i="48"/>
  <c r="N75" i="48" s="1"/>
  <c r="F75" i="48"/>
  <c r="Z31" i="17"/>
  <c r="T36" i="17"/>
  <c r="Z36" i="17" s="1"/>
  <c r="P36" i="34"/>
  <c r="X31" i="34"/>
  <c r="L31" i="43"/>
  <c r="D36" i="43"/>
  <c r="P36" i="50"/>
  <c r="X31" i="50"/>
  <c r="X80" i="58" l="1"/>
  <c r="L63" i="102"/>
  <c r="X95" i="83"/>
  <c r="X89" i="91"/>
  <c r="L109" i="9"/>
  <c r="L36" i="23"/>
  <c r="L36" i="11"/>
  <c r="L36" i="40"/>
  <c r="L36" i="34"/>
  <c r="X36" i="13"/>
  <c r="L36" i="35"/>
  <c r="L36" i="5"/>
  <c r="X36" i="14"/>
  <c r="L36" i="46"/>
  <c r="X36" i="5"/>
  <c r="X36" i="28"/>
  <c r="X36" i="32"/>
  <c r="L36" i="37"/>
  <c r="X36" i="4"/>
  <c r="X36" i="25"/>
  <c r="L36" i="20"/>
  <c r="L36" i="26"/>
  <c r="X36" i="20"/>
  <c r="X36" i="26"/>
  <c r="X36" i="31"/>
  <c r="X36" i="53"/>
  <c r="L36" i="111"/>
  <c r="L36" i="31"/>
  <c r="L36" i="14"/>
  <c r="X36" i="44"/>
  <c r="X36" i="34"/>
  <c r="L36" i="8"/>
  <c r="X36" i="112"/>
  <c r="X36" i="52"/>
  <c r="L36" i="49"/>
  <c r="L36" i="22"/>
  <c r="X36" i="8"/>
  <c r="X36" i="110"/>
  <c r="X36" i="50"/>
  <c r="L36" i="29"/>
  <c r="L36" i="17"/>
  <c r="L36" i="44"/>
  <c r="X36" i="47"/>
  <c r="L36" i="28"/>
  <c r="L99" i="105"/>
  <c r="N99" i="105" s="1"/>
  <c r="F99" i="105"/>
  <c r="L36" i="43"/>
  <c r="X35" i="85"/>
  <c r="R35" i="85"/>
  <c r="L228" i="12"/>
  <c r="N228" i="12" s="1"/>
  <c r="F228" i="12"/>
  <c r="X78" i="109"/>
  <c r="Z78" i="109" s="1"/>
  <c r="R78" i="109"/>
  <c r="L83" i="93"/>
  <c r="N83" i="93" s="1"/>
  <c r="D86" i="93"/>
  <c r="L86" i="93" s="1"/>
  <c r="N86" i="93" s="1"/>
  <c r="L244" i="18"/>
  <c r="F244" i="18"/>
  <c r="X87" i="75"/>
  <c r="Z87" i="75" s="1"/>
  <c r="R87" i="75"/>
  <c r="P105" i="45"/>
  <c r="X102" i="45"/>
  <c r="Z102" i="45" s="1"/>
  <c r="R102" i="45"/>
  <c r="P117" i="27"/>
  <c r="X114" i="27"/>
  <c r="Z114" i="27" s="1"/>
  <c r="R114" i="27"/>
  <c r="L36" i="41"/>
  <c r="L36" i="38"/>
  <c r="X36" i="10"/>
  <c r="L80" i="58"/>
  <c r="N80" i="58" s="1"/>
  <c r="L77" i="57"/>
  <c r="N77" i="57" s="1"/>
  <c r="D80" i="57"/>
  <c r="L80" i="57" s="1"/>
  <c r="N80" i="57" s="1"/>
  <c r="N64" i="60"/>
  <c r="X63" i="99"/>
  <c r="L77" i="80"/>
  <c r="X38" i="55"/>
  <c r="Z38" i="55" s="1"/>
  <c r="D116" i="70"/>
  <c r="L113" i="70"/>
  <c r="N113" i="70" s="1"/>
  <c r="F113" i="70"/>
  <c r="J105" i="45"/>
  <c r="D107" i="76"/>
  <c r="L104" i="76"/>
  <c r="N104" i="76" s="1"/>
  <c r="F104" i="76"/>
  <c r="X36" i="16"/>
  <c r="L99" i="68"/>
  <c r="N99" i="68" s="1"/>
  <c r="F99" i="68"/>
  <c r="X36" i="43"/>
  <c r="X36" i="11"/>
  <c r="V107" i="51"/>
  <c r="L36" i="10"/>
  <c r="N109" i="9"/>
  <c r="X166" i="30"/>
  <c r="Z166" i="30" s="1"/>
  <c r="P169" i="30"/>
  <c r="R166" i="30"/>
  <c r="J78" i="109"/>
  <c r="J87" i="33"/>
  <c r="X31" i="104"/>
  <c r="L36" i="50"/>
  <c r="D107" i="51"/>
  <c r="L104" i="51"/>
  <c r="N104" i="51" s="1"/>
  <c r="F104" i="51"/>
  <c r="J95" i="103"/>
  <c r="L82" i="92"/>
  <c r="N82" i="92" s="1"/>
  <c r="D85" i="92"/>
  <c r="L85" i="92" s="1"/>
  <c r="N85" i="92" s="1"/>
  <c r="X77" i="72"/>
  <c r="Z77" i="72" s="1"/>
  <c r="L36" i="25"/>
  <c r="P130" i="39"/>
  <c r="X127" i="39"/>
  <c r="Z127" i="39" s="1"/>
  <c r="R127" i="39"/>
  <c r="X36" i="111"/>
  <c r="X36" i="40"/>
  <c r="N111" i="21"/>
  <c r="J111" i="21"/>
  <c r="L36" i="16"/>
  <c r="X36" i="29"/>
  <c r="L166" i="30"/>
  <c r="N166" i="30" s="1"/>
  <c r="D169" i="30"/>
  <c r="F166" i="30"/>
  <c r="J101" i="95"/>
  <c r="N85" i="79"/>
  <c r="J85" i="79"/>
  <c r="X104" i="76"/>
  <c r="Z104" i="76" s="1"/>
  <c r="P107" i="76"/>
  <c r="R104" i="76"/>
  <c r="J99" i="68"/>
  <c r="L31" i="108"/>
  <c r="L98" i="95"/>
  <c r="N98" i="95" s="1"/>
  <c r="D101" i="95"/>
  <c r="F98" i="95"/>
  <c r="X70" i="69"/>
  <c r="Z70" i="69" s="1"/>
  <c r="Z67" i="61"/>
  <c r="X78" i="48"/>
  <c r="Z78" i="48" s="1"/>
  <c r="R78" i="48"/>
  <c r="P99" i="68"/>
  <c r="X96" i="68"/>
  <c r="Z96" i="68" s="1"/>
  <c r="R96" i="68"/>
  <c r="X36" i="46"/>
  <c r="Z64" i="60"/>
  <c r="L123" i="42"/>
  <c r="N123" i="42" s="1"/>
  <c r="D126" i="42"/>
  <c r="F123" i="42"/>
  <c r="X82" i="79"/>
  <c r="Z82" i="79" s="1"/>
  <c r="P85" i="79"/>
  <c r="R82" i="79"/>
  <c r="V85" i="79"/>
  <c r="L93" i="87"/>
  <c r="N93" i="87" s="1"/>
  <c r="V99" i="105"/>
  <c r="L102" i="45"/>
  <c r="N102" i="45" s="1"/>
  <c r="D105" i="45"/>
  <c r="F102" i="45"/>
  <c r="N244" i="18"/>
  <c r="J244" i="18"/>
  <c r="L265" i="3"/>
  <c r="F265" i="3"/>
  <c r="V70" i="69"/>
  <c r="L75" i="109"/>
  <c r="N75" i="109" s="1"/>
  <c r="D78" i="109"/>
  <c r="F75" i="109"/>
  <c r="L36" i="47"/>
  <c r="J107" i="51"/>
  <c r="X36" i="19"/>
  <c r="X36" i="35"/>
  <c r="P86" i="93"/>
  <c r="X86" i="93" s="1"/>
  <c r="Z86" i="93" s="1"/>
  <c r="X83" i="93"/>
  <c r="Z83" i="93" s="1"/>
  <c r="L148" i="74"/>
  <c r="N148" i="74" s="1"/>
  <c r="D151" i="74"/>
  <c r="F148" i="74"/>
  <c r="V169" i="30"/>
  <c r="V126" i="42"/>
  <c r="X126" i="42"/>
  <c r="Z126" i="42" s="1"/>
  <c r="V77" i="72"/>
  <c r="P109" i="9"/>
  <c r="X109" i="9" s="1"/>
  <c r="Z109" i="9" s="1"/>
  <c r="X106" i="9"/>
  <c r="Z106" i="9" s="1"/>
  <c r="V99" i="24"/>
  <c r="L36" i="19"/>
  <c r="P56" i="82"/>
  <c r="X53" i="82"/>
  <c r="Z53" i="82" s="1"/>
  <c r="R53" i="82"/>
  <c r="X36" i="49"/>
  <c r="L87" i="33"/>
  <c r="N87" i="33" s="1"/>
  <c r="F87" i="33"/>
  <c r="Z31" i="6"/>
  <c r="D95" i="103"/>
  <c r="L92" i="103"/>
  <c r="N92" i="103" s="1"/>
  <c r="F92" i="103"/>
  <c r="X36" i="41"/>
  <c r="J99" i="24"/>
  <c r="J221" i="15"/>
  <c r="J169" i="30"/>
  <c r="P107" i="51"/>
  <c r="X104" i="51"/>
  <c r="Z104" i="51" s="1"/>
  <c r="R104" i="51"/>
  <c r="L36" i="4"/>
  <c r="V87" i="33"/>
  <c r="V78" i="109"/>
  <c r="L96" i="24"/>
  <c r="N96" i="24" s="1"/>
  <c r="D99" i="24"/>
  <c r="F96" i="24"/>
  <c r="L38" i="55"/>
  <c r="N38" i="55" s="1"/>
  <c r="J87" i="75"/>
  <c r="L36" i="32"/>
  <c r="Z80" i="58"/>
  <c r="L74" i="59"/>
  <c r="N74" i="59" s="1"/>
  <c r="Z89" i="91"/>
  <c r="V105" i="45"/>
  <c r="V107" i="76"/>
  <c r="L36" i="13"/>
  <c r="X265" i="3"/>
  <c r="Z265" i="3" s="1"/>
  <c r="R265" i="3"/>
  <c r="Z35" i="85"/>
  <c r="V35" i="85"/>
  <c r="V78" i="48"/>
  <c r="J117" i="27"/>
  <c r="L78" i="48"/>
  <c r="N78" i="48" s="1"/>
  <c r="F78" i="48"/>
  <c r="X95" i="103"/>
  <c r="Z95" i="103" s="1"/>
  <c r="R95" i="103"/>
  <c r="J93" i="107"/>
  <c r="X36" i="7"/>
  <c r="P124" i="84"/>
  <c r="X121" i="84"/>
  <c r="Z121" i="84" s="1"/>
  <c r="R121" i="84"/>
  <c r="X84" i="33"/>
  <c r="Z84" i="33" s="1"/>
  <c r="P87" i="33"/>
  <c r="R84" i="33"/>
  <c r="L39" i="88"/>
  <c r="N39" i="88" s="1"/>
  <c r="P101" i="95"/>
  <c r="X98" i="95"/>
  <c r="Z98" i="95" s="1"/>
  <c r="R98" i="95"/>
  <c r="V244" i="18"/>
  <c r="L36" i="53"/>
  <c r="Z93" i="107"/>
  <c r="V93" i="107"/>
  <c r="V56" i="82"/>
  <c r="J116" i="70"/>
  <c r="X113" i="70"/>
  <c r="Z113" i="70" s="1"/>
  <c r="P116" i="70"/>
  <c r="R113" i="70"/>
  <c r="Z63" i="99"/>
  <c r="L31" i="54"/>
  <c r="X39" i="88"/>
  <c r="Z39" i="88" s="1"/>
  <c r="X30" i="98"/>
  <c r="R30" i="98"/>
  <c r="P93" i="87"/>
  <c r="X93" i="87" s="1"/>
  <c r="Z93" i="87" s="1"/>
  <c r="X90" i="87"/>
  <c r="Z90" i="87" s="1"/>
  <c r="P151" i="74"/>
  <c r="X148" i="74"/>
  <c r="Z148" i="74" s="1"/>
  <c r="R148" i="74"/>
  <c r="L130" i="39"/>
  <c r="N130" i="39" s="1"/>
  <c r="F130" i="39"/>
  <c r="X96" i="24"/>
  <c r="Z96" i="24" s="1"/>
  <c r="P99" i="24"/>
  <c r="R96" i="24"/>
  <c r="X218" i="15"/>
  <c r="Z218" i="15" s="1"/>
  <c r="P221" i="15"/>
  <c r="R218" i="15"/>
  <c r="V87" i="75"/>
  <c r="D93" i="107"/>
  <c r="L90" i="107"/>
  <c r="N90" i="107" s="1"/>
  <c r="F90" i="107"/>
  <c r="N63" i="102"/>
  <c r="X103" i="63"/>
  <c r="Z103" i="63" s="1"/>
  <c r="N31" i="54"/>
  <c r="X244" i="18"/>
  <c r="Z244" i="18" s="1"/>
  <c r="R244" i="18"/>
  <c r="N31" i="6"/>
  <c r="V151" i="74"/>
  <c r="X111" i="21"/>
  <c r="R111" i="21"/>
  <c r="X82" i="92"/>
  <c r="Z82" i="92" s="1"/>
  <c r="P85" i="92"/>
  <c r="X85" i="92" s="1"/>
  <c r="Z85" i="92" s="1"/>
  <c r="L30" i="98"/>
  <c r="F30" i="98"/>
  <c r="L114" i="27"/>
  <c r="N114" i="27" s="1"/>
  <c r="D117" i="27"/>
  <c r="F114" i="27"/>
  <c r="L36" i="112"/>
  <c r="X36" i="38"/>
  <c r="Z63" i="102"/>
  <c r="X99" i="105"/>
  <c r="Z99" i="105" s="1"/>
  <c r="R99" i="105"/>
  <c r="J124" i="84"/>
  <c r="L87" i="75"/>
  <c r="N87" i="75" s="1"/>
  <c r="F87" i="75"/>
  <c r="X133" i="36"/>
  <c r="Z133" i="36" s="1"/>
  <c r="R133" i="36"/>
  <c r="V221" i="15"/>
  <c r="X85" i="94"/>
  <c r="Z85" i="94" s="1"/>
  <c r="R85" i="94"/>
  <c r="X77" i="80"/>
  <c r="Z77" i="80" s="1"/>
  <c r="X43" i="101"/>
  <c r="Z43" i="101" s="1"/>
  <c r="L89" i="91"/>
  <c r="N89" i="91" s="1"/>
  <c r="X36" i="37"/>
  <c r="L36" i="7"/>
  <c r="V101" i="95"/>
  <c r="L36" i="52"/>
  <c r="P228" i="12"/>
  <c r="X225" i="12"/>
  <c r="Z225" i="12" s="1"/>
  <c r="R225" i="12"/>
  <c r="J107" i="76"/>
  <c r="L36" i="110"/>
  <c r="X36" i="22"/>
  <c r="X36" i="17"/>
  <c r="L133" i="36"/>
  <c r="N133" i="36" s="1"/>
  <c r="F133" i="36"/>
  <c r="L121" i="84"/>
  <c r="N121" i="84" s="1"/>
  <c r="D124" i="84"/>
  <c r="F121" i="84"/>
  <c r="L103" i="63"/>
  <c r="N103" i="63" s="1"/>
  <c r="N265" i="3"/>
  <c r="J265" i="3"/>
  <c r="Z95" i="83"/>
  <c r="V95" i="83"/>
  <c r="N77" i="80"/>
  <c r="X36" i="23"/>
  <c r="V99" i="68"/>
  <c r="N91" i="97"/>
  <c r="D221" i="15"/>
  <c r="L218" i="15"/>
  <c r="N218" i="15" s="1"/>
  <c r="F218" i="15"/>
  <c r="Z111" i="21"/>
  <c r="V111" i="21"/>
  <c r="L93" i="107" l="1"/>
  <c r="N93" i="107" s="1"/>
  <c r="F93" i="107"/>
  <c r="X228" i="12"/>
  <c r="Z228" i="12" s="1"/>
  <c r="R228" i="12"/>
  <c r="X169" i="30"/>
  <c r="Z169" i="30" s="1"/>
  <c r="R169" i="30"/>
  <c r="L221" i="15"/>
  <c r="N221" i="15" s="1"/>
  <c r="F221" i="15"/>
  <c r="X99" i="24"/>
  <c r="Z99" i="24" s="1"/>
  <c r="R99" i="24"/>
  <c r="X85" i="79"/>
  <c r="Z85" i="79" s="1"/>
  <c r="R85" i="79"/>
  <c r="L105" i="45"/>
  <c r="N105" i="45" s="1"/>
  <c r="F105" i="45"/>
  <c r="X117" i="27"/>
  <c r="Z117" i="27" s="1"/>
  <c r="R117" i="27"/>
  <c r="X56" i="82"/>
  <c r="Z56" i="82" s="1"/>
  <c r="R56" i="82"/>
  <c r="X130" i="39"/>
  <c r="Z130" i="39" s="1"/>
  <c r="R130" i="39"/>
  <c r="L107" i="51"/>
  <c r="N107" i="51" s="1"/>
  <c r="F107" i="51"/>
  <c r="X116" i="70"/>
  <c r="Z116" i="70" s="1"/>
  <c r="R116" i="70"/>
  <c r="L126" i="42"/>
  <c r="N126" i="42" s="1"/>
  <c r="F126" i="42"/>
  <c r="L101" i="95"/>
  <c r="N101" i="95" s="1"/>
  <c r="F101" i="95"/>
  <c r="L107" i="76"/>
  <c r="N107" i="76" s="1"/>
  <c r="F107" i="76"/>
  <c r="L99" i="24"/>
  <c r="N99" i="24" s="1"/>
  <c r="F99" i="24"/>
  <c r="X87" i="33"/>
  <c r="Z87" i="33" s="1"/>
  <c r="R87" i="33"/>
  <c r="X124" i="84"/>
  <c r="Z124" i="84" s="1"/>
  <c r="R124" i="84"/>
  <c r="L78" i="109"/>
  <c r="N78" i="109" s="1"/>
  <c r="F78" i="109"/>
  <c r="L169" i="30"/>
  <c r="N169" i="30" s="1"/>
  <c r="F169" i="30"/>
  <c r="X105" i="45"/>
  <c r="Z105" i="45" s="1"/>
  <c r="R105" i="45"/>
  <c r="L124" i="84"/>
  <c r="N124" i="84" s="1"/>
  <c r="F124" i="84"/>
  <c r="L151" i="74"/>
  <c r="N151" i="74" s="1"/>
  <c r="F151" i="74"/>
  <c r="L95" i="103"/>
  <c r="N95" i="103" s="1"/>
  <c r="F95" i="103"/>
  <c r="X151" i="74"/>
  <c r="Z151" i="74" s="1"/>
  <c r="R151" i="74"/>
  <c r="X107" i="51"/>
  <c r="Z107" i="51" s="1"/>
  <c r="R107" i="51"/>
  <c r="L117" i="27"/>
  <c r="N117" i="27" s="1"/>
  <c r="F117" i="27"/>
  <c r="X221" i="15"/>
  <c r="Z221" i="15" s="1"/>
  <c r="R221" i="15"/>
  <c r="X101" i="95"/>
  <c r="Z101" i="95" s="1"/>
  <c r="R101" i="95"/>
  <c r="X99" i="68"/>
  <c r="Z99" i="68" s="1"/>
  <c r="R99" i="68"/>
  <c r="X107" i="76"/>
  <c r="Z107" i="76" s="1"/>
  <c r="R107" i="76"/>
  <c r="L116" i="70"/>
  <c r="N116" i="70" s="1"/>
  <c r="F116" i="70"/>
</calcChain>
</file>

<file path=xl/sharedStrings.xml><?xml version="1.0" encoding="utf-8"?>
<sst xmlns="http://schemas.openxmlformats.org/spreadsheetml/2006/main" count="2844" uniqueCount="315">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</sst>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1" fillId="0" borderId="0" xfId="3" applyNumberFormat="1" applyFont="1" applyFill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167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7" fontId="0" fillId="0" borderId="0" xfId="3" applyNumberFormat="1" applyFont="1"/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49" fontId="1" fillId="0" borderId="0" xfId="0" applyNumberFormat="1" applyFont="1" applyFill="1"/>
    <xf numFmtId="49" fontId="2" fillId="0" borderId="0" xfId="0" applyNumberFormat="1" applyFont="1" applyFill="1"/>
    <xf numFmtId="0" fontId="3" fillId="0" borderId="0" xfId="0" applyFont="1"/>
    <xf numFmtId="49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Alignment="1">
      <alignment horizontal="left"/>
    </xf>
    <xf numFmtId="0" fontId="4" fillId="0" borderId="0" xfId="0" applyFont="1" applyFill="1"/>
    <xf numFmtId="0" fontId="5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166" fontId="5" fillId="0" borderId="0" xfId="0" applyNumberFormat="1" applyFont="1" applyAlignment="1">
      <alignment horizontal="left"/>
    </xf>
    <xf numFmtId="165" fontId="0" fillId="0" borderId="0" xfId="0" applyNumberFormat="1"/>
    <xf numFmtId="0" fontId="2" fillId="0" borderId="0" xfId="0" applyFont="1" applyFill="1" applyBorder="1"/>
    <xf numFmtId="0" fontId="0" fillId="0" borderId="0" xfId="0" applyBorder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307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307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306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7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306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305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305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70"/>
  <sheetViews>
    <sheetView tabSelected="1" zoomScale="80" workbookViewId="0">
      <pane xSplit="3" ySplit="10" topLeftCell="D259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297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680180.55000000028</v>
      </c>
      <c r="E12" s="4"/>
      <c r="F12" s="12"/>
      <c r="G12" s="4"/>
      <c r="H12" s="4">
        <f>SUM(OSRRefH13x_0)</f>
        <v>1218757</v>
      </c>
      <c r="I12" s="4"/>
      <c r="J12" s="12"/>
      <c r="K12" s="4"/>
      <c r="L12" s="4">
        <f t="shared" ref="L12:L94" si="0">+D12-H12</f>
        <v>-538576.44999999972</v>
      </c>
      <c r="M12" s="4"/>
      <c r="N12" s="12">
        <f t="shared" ref="N12:N94" si="1">IF(H12=0,0,L12/H12)</f>
        <v>-0.44190634392253725</v>
      </c>
      <c r="O12" s="10"/>
      <c r="P12" s="4">
        <f>SUM(OSRRefP13x_0)</f>
        <v>4263877.4599999972</v>
      </c>
      <c r="Q12" s="4"/>
      <c r="R12" s="12"/>
      <c r="S12" s="4"/>
      <c r="T12" s="4">
        <f>SUM(OSRRefT13x_0)</f>
        <v>6828818</v>
      </c>
      <c r="U12" s="4"/>
      <c r="V12" s="12"/>
      <c r="W12" s="4"/>
      <c r="X12" s="4">
        <f t="shared" ref="X12:X94" si="2">+P12-T12</f>
        <v>-2564940.5400000028</v>
      </c>
      <c r="Y12" s="4"/>
      <c r="Z12" s="12">
        <f t="shared" ref="Z12:Z94" si="3">IF(T12=0,0,X12/T12)</f>
        <v>-0.37560534487813307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-11561.63</f>
        <v>-11561.63</v>
      </c>
      <c r="E13" s="2"/>
      <c r="F13" s="22"/>
      <c r="G13" s="2"/>
      <c r="H13" s="2">
        <v>518944</v>
      </c>
      <c r="I13" s="2"/>
      <c r="J13" s="22"/>
      <c r="K13" s="2"/>
      <c r="L13" s="2">
        <f t="shared" si="0"/>
        <v>-530505.63</v>
      </c>
      <c r="M13" s="2"/>
      <c r="N13" s="22">
        <f t="shared" si="1"/>
        <v>-1.0222791476536968</v>
      </c>
      <c r="O13" s="11"/>
      <c r="P13" s="2">
        <f>-49362.41</f>
        <v>-49362.41</v>
      </c>
      <c r="Q13" s="2"/>
      <c r="R13" s="22"/>
      <c r="S13" s="2"/>
      <c r="T13" s="2">
        <v>5113060</v>
      </c>
      <c r="U13" s="2"/>
      <c r="V13" s="22"/>
      <c r="W13" s="2"/>
      <c r="X13" s="2">
        <f t="shared" si="2"/>
        <v>-5162422.41</v>
      </c>
      <c r="Y13" s="2"/>
      <c r="Z13" s="22">
        <f t="shared" si="3"/>
        <v>-1.0096541816446511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--17630.93</f>
        <v>17630.93</v>
      </c>
      <c r="E14" s="2"/>
      <c r="F14" s="22"/>
      <c r="G14" s="2"/>
      <c r="H14" s="2"/>
      <c r="I14" s="2"/>
      <c r="J14" s="22"/>
      <c r="K14" s="2"/>
      <c r="L14" s="2">
        <f t="shared" si="0"/>
        <v>17630.93</v>
      </c>
      <c r="M14" s="2"/>
      <c r="N14" s="22">
        <f t="shared" si="1"/>
        <v>0</v>
      </c>
      <c r="O14" s="11"/>
      <c r="P14" s="2">
        <f>--712327.57</f>
        <v>712327.57</v>
      </c>
      <c r="Q14" s="2"/>
      <c r="R14" s="22"/>
      <c r="S14" s="2"/>
      <c r="T14" s="2"/>
      <c r="U14" s="2"/>
      <c r="V14" s="22"/>
      <c r="W14" s="2"/>
      <c r="X14" s="2">
        <f t="shared" si="2"/>
        <v>712327.57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--2483.62</f>
        <v>2483.62</v>
      </c>
      <c r="E15" s="2"/>
      <c r="F15" s="22"/>
      <c r="G15" s="2"/>
      <c r="H15" s="2"/>
      <c r="I15" s="2"/>
      <c r="J15" s="22"/>
      <c r="K15" s="2"/>
      <c r="L15" s="2">
        <f t="shared" si="0"/>
        <v>2483.62</v>
      </c>
      <c r="M15" s="2"/>
      <c r="N15" s="22">
        <f t="shared" si="1"/>
        <v>0</v>
      </c>
      <c r="O15" s="11"/>
      <c r="P15" s="2">
        <f>--319139.52</f>
        <v>319139.52</v>
      </c>
      <c r="Q15" s="2"/>
      <c r="R15" s="22"/>
      <c r="S15" s="2"/>
      <c r="T15" s="2"/>
      <c r="U15" s="2"/>
      <c r="V15" s="22"/>
      <c r="W15" s="2"/>
      <c r="X15" s="2">
        <f t="shared" si="2"/>
        <v>319139.52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22"/>
      <c r="G16" s="2"/>
      <c r="H16" s="2"/>
      <c r="I16" s="2"/>
      <c r="J16" s="22"/>
      <c r="K16" s="2"/>
      <c r="L16" s="2">
        <f t="shared" si="0"/>
        <v>70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22"/>
      <c r="G17" s="2"/>
      <c r="H17" s="2"/>
      <c r="I17" s="2"/>
      <c r="J17" s="22"/>
      <c r="K17" s="2"/>
      <c r="L17" s="2">
        <f t="shared" si="0"/>
        <v>354.45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--157.47</f>
        <v>157.47</v>
      </c>
      <c r="E18" s="2"/>
      <c r="F18" s="22"/>
      <c r="G18" s="2"/>
      <c r="H18" s="2"/>
      <c r="I18" s="2"/>
      <c r="J18" s="22"/>
      <c r="K18" s="2"/>
      <c r="L18" s="2">
        <f t="shared" si="0"/>
        <v>157.47</v>
      </c>
      <c r="M18" s="2"/>
      <c r="N18" s="22">
        <f t="shared" si="1"/>
        <v>0</v>
      </c>
      <c r="O18" s="11"/>
      <c r="P18" s="2">
        <f>--197.37</f>
        <v>197.37</v>
      </c>
      <c r="Q18" s="2"/>
      <c r="R18" s="22"/>
      <c r="S18" s="2"/>
      <c r="T18" s="2"/>
      <c r="U18" s="2"/>
      <c r="V18" s="22"/>
      <c r="W18" s="2"/>
      <c r="X18" s="2">
        <f t="shared" si="2"/>
        <v>197.37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</f>
        <v>35.799999999999997</v>
      </c>
      <c r="E19" s="2"/>
      <c r="F19" s="22"/>
      <c r="G19" s="2"/>
      <c r="H19" s="2"/>
      <c r="I19" s="2"/>
      <c r="J19" s="22"/>
      <c r="K19" s="2"/>
      <c r="L19" s="2">
        <f t="shared" si="0"/>
        <v>35.799999999999997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0</f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--20.8</f>
        <v>20.8</v>
      </c>
      <c r="E21" s="2"/>
      <c r="F21" s="22"/>
      <c r="G21" s="2"/>
      <c r="H21" s="2"/>
      <c r="I21" s="2"/>
      <c r="J21" s="22"/>
      <c r="K21" s="2"/>
      <c r="L21" s="2">
        <f t="shared" si="0"/>
        <v>20.8</v>
      </c>
      <c r="M21" s="2"/>
      <c r="N21" s="22">
        <f t="shared" si="1"/>
        <v>0</v>
      </c>
      <c r="O21" s="11"/>
      <c r="P21" s="2">
        <f>--278.83</f>
        <v>278.83</v>
      </c>
      <c r="Q21" s="2"/>
      <c r="R21" s="22"/>
      <c r="S21" s="2"/>
      <c r="T21" s="2"/>
      <c r="U21" s="2"/>
      <c r="V21" s="22"/>
      <c r="W21" s="2"/>
      <c r="X21" s="2">
        <f t="shared" si="2"/>
        <v>278.83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--2328.89</f>
        <v>2328.89</v>
      </c>
      <c r="E22" s="2"/>
      <c r="F22" s="22"/>
      <c r="G22" s="2"/>
      <c r="H22" s="2"/>
      <c r="I22" s="2"/>
      <c r="J22" s="22"/>
      <c r="K22" s="2"/>
      <c r="L22" s="2">
        <f t="shared" si="0"/>
        <v>2328.89</v>
      </c>
      <c r="M22" s="2"/>
      <c r="N22" s="22">
        <f t="shared" si="1"/>
        <v>0</v>
      </c>
      <c r="O22" s="11"/>
      <c r="P22" s="2">
        <f>--35003.5</f>
        <v>35003.5</v>
      </c>
      <c r="Q22" s="2"/>
      <c r="R22" s="22"/>
      <c r="S22" s="2"/>
      <c r="T22" s="2"/>
      <c r="U22" s="2"/>
      <c r="V22" s="22"/>
      <c r="W22" s="2"/>
      <c r="X22" s="2">
        <f t="shared" si="2"/>
        <v>35003.5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--1769.95</f>
        <v>1769.95</v>
      </c>
      <c r="E23" s="2"/>
      <c r="F23" s="22"/>
      <c r="G23" s="2"/>
      <c r="H23" s="2"/>
      <c r="I23" s="2"/>
      <c r="J23" s="22"/>
      <c r="K23" s="2"/>
      <c r="L23" s="2">
        <f t="shared" si="0"/>
        <v>1769.95</v>
      </c>
      <c r="M23" s="2"/>
      <c r="N23" s="22">
        <f t="shared" si="1"/>
        <v>0</v>
      </c>
      <c r="O23" s="11"/>
      <c r="P23" s="2">
        <f>--14268.85</f>
        <v>14268.85</v>
      </c>
      <c r="Q23" s="2"/>
      <c r="R23" s="22"/>
      <c r="S23" s="2"/>
      <c r="T23" s="2"/>
      <c r="U23" s="2"/>
      <c r="V23" s="22"/>
      <c r="W23" s="2"/>
      <c r="X23" s="2">
        <f t="shared" si="2"/>
        <v>14268.85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--429.8</f>
        <v>429.8</v>
      </c>
      <c r="E24" s="2"/>
      <c r="F24" s="22"/>
      <c r="G24" s="2"/>
      <c r="H24" s="2"/>
      <c r="I24" s="2"/>
      <c r="J24" s="22"/>
      <c r="K24" s="2"/>
      <c r="L24" s="2">
        <f t="shared" si="0"/>
        <v>429.8</v>
      </c>
      <c r="M24" s="2"/>
      <c r="N24" s="22">
        <f t="shared" si="1"/>
        <v>0</v>
      </c>
      <c r="O24" s="11"/>
      <c r="P24" s="2">
        <f>--1667.96</f>
        <v>1667.96</v>
      </c>
      <c r="Q24" s="2"/>
      <c r="R24" s="22"/>
      <c r="S24" s="2"/>
      <c r="T24" s="2"/>
      <c r="U24" s="2"/>
      <c r="V24" s="22"/>
      <c r="W24" s="2"/>
      <c r="X24" s="2">
        <f t="shared" si="2"/>
        <v>1667.96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--54384.72</f>
        <v>54384.72</v>
      </c>
      <c r="E27" s="2"/>
      <c r="F27" s="22"/>
      <c r="G27" s="2"/>
      <c r="H27" s="2"/>
      <c r="I27" s="2"/>
      <c r="J27" s="22"/>
      <c r="K27" s="2"/>
      <c r="L27" s="2">
        <f t="shared" si="0"/>
        <v>54384.72</v>
      </c>
      <c r="M27" s="2"/>
      <c r="N27" s="22">
        <f t="shared" si="1"/>
        <v>0</v>
      </c>
      <c r="O27" s="11"/>
      <c r="P27" s="2">
        <f>--382804.91</f>
        <v>382804.91</v>
      </c>
      <c r="Q27" s="2"/>
      <c r="R27" s="22"/>
      <c r="S27" s="2"/>
      <c r="T27" s="2"/>
      <c r="U27" s="2"/>
      <c r="V27" s="22"/>
      <c r="W27" s="2"/>
      <c r="X27" s="2">
        <f t="shared" si="2"/>
        <v>382804.91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--22053.6</f>
        <v>22053.599999999999</v>
      </c>
      <c r="E28" s="2"/>
      <c r="F28" s="22"/>
      <c r="G28" s="2"/>
      <c r="H28" s="2"/>
      <c r="I28" s="2"/>
      <c r="J28" s="22"/>
      <c r="K28" s="2"/>
      <c r="L28" s="2">
        <f t="shared" si="0"/>
        <v>22053.599999999999</v>
      </c>
      <c r="M28" s="2"/>
      <c r="N28" s="22">
        <f t="shared" si="1"/>
        <v>0</v>
      </c>
      <c r="O28" s="11"/>
      <c r="P28" s="2">
        <f>--153087.22</f>
        <v>153087.22</v>
      </c>
      <c r="Q28" s="2"/>
      <c r="R28" s="22"/>
      <c r="S28" s="2"/>
      <c r="T28" s="2"/>
      <c r="U28" s="2"/>
      <c r="V28" s="22"/>
      <c r="W28" s="2"/>
      <c r="X28" s="2">
        <f t="shared" si="2"/>
        <v>153087.22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--6854.18</f>
        <v>6854.18</v>
      </c>
      <c r="E29" s="2"/>
      <c r="F29" s="22"/>
      <c r="G29" s="2"/>
      <c r="H29" s="2"/>
      <c r="I29" s="2"/>
      <c r="J29" s="22"/>
      <c r="K29" s="2"/>
      <c r="L29" s="2">
        <f t="shared" si="0"/>
        <v>6854.18</v>
      </c>
      <c r="M29" s="2"/>
      <c r="N29" s="22">
        <f t="shared" si="1"/>
        <v>0</v>
      </c>
      <c r="O29" s="11"/>
      <c r="P29" s="2">
        <f>--54783.68</f>
        <v>54783.68</v>
      </c>
      <c r="Q29" s="2"/>
      <c r="R29" s="22"/>
      <c r="S29" s="2"/>
      <c r="T29" s="2"/>
      <c r="U29" s="2"/>
      <c r="V29" s="22"/>
      <c r="W29" s="2"/>
      <c r="X29" s="2">
        <f t="shared" si="2"/>
        <v>54783.68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--30454.88</f>
        <v>30454.880000000001</v>
      </c>
      <c r="E30" s="2"/>
      <c r="F30" s="22"/>
      <c r="G30" s="2"/>
      <c r="H30" s="2"/>
      <c r="I30" s="2"/>
      <c r="J30" s="22"/>
      <c r="K30" s="2"/>
      <c r="L30" s="2">
        <f t="shared" si="0"/>
        <v>30454.880000000001</v>
      </c>
      <c r="M30" s="2"/>
      <c r="N30" s="22">
        <f t="shared" si="1"/>
        <v>0</v>
      </c>
      <c r="O30" s="11"/>
      <c r="P30" s="2">
        <f>--40246.04</f>
        <v>40246.04</v>
      </c>
      <c r="Q30" s="2"/>
      <c r="R30" s="22"/>
      <c r="S30" s="2"/>
      <c r="T30" s="2"/>
      <c r="U30" s="2"/>
      <c r="V30" s="22"/>
      <c r="W30" s="2"/>
      <c r="X30" s="2">
        <f t="shared" si="2"/>
        <v>40246.04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--1157.64</f>
        <v>1157.6400000000001</v>
      </c>
      <c r="E31" s="2"/>
      <c r="F31" s="22"/>
      <c r="G31" s="2"/>
      <c r="H31" s="2"/>
      <c r="I31" s="2"/>
      <c r="J31" s="22"/>
      <c r="K31" s="2"/>
      <c r="L31" s="2">
        <f t="shared" si="0"/>
        <v>1157.6400000000001</v>
      </c>
      <c r="M31" s="2"/>
      <c r="N31" s="22">
        <f t="shared" si="1"/>
        <v>0</v>
      </c>
      <c r="O31" s="11"/>
      <c r="P31" s="2">
        <f>--12489.16</f>
        <v>12489.16</v>
      </c>
      <c r="Q31" s="2"/>
      <c r="R31" s="22"/>
      <c r="S31" s="2"/>
      <c r="T31" s="2"/>
      <c r="U31" s="2"/>
      <c r="V31" s="22"/>
      <c r="W31" s="2"/>
      <c r="X31" s="2">
        <f t="shared" si="2"/>
        <v>12489.16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--4950.17</f>
        <v>4950.17</v>
      </c>
      <c r="E32" s="2"/>
      <c r="F32" s="22"/>
      <c r="G32" s="2"/>
      <c r="H32" s="2"/>
      <c r="I32" s="2"/>
      <c r="J32" s="22"/>
      <c r="K32" s="2"/>
      <c r="L32" s="2">
        <f t="shared" si="0"/>
        <v>4950.17</v>
      </c>
      <c r="M32" s="2"/>
      <c r="N32" s="22">
        <f t="shared" si="1"/>
        <v>0</v>
      </c>
      <c r="O32" s="11"/>
      <c r="P32" s="2">
        <f>--96956.61</f>
        <v>96956.61</v>
      </c>
      <c r="Q32" s="2"/>
      <c r="R32" s="22"/>
      <c r="S32" s="2"/>
      <c r="T32" s="2"/>
      <c r="U32" s="2"/>
      <c r="V32" s="22"/>
      <c r="W32" s="2"/>
      <c r="X32" s="2">
        <f t="shared" si="2"/>
        <v>96956.61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"4051", " - ", "TAXABLE SALES-FOOD")</f>
        <v xml:space="preserve">          4051 - TAXABLE SALES-FOOD</v>
      </c>
      <c r="C33" s="11"/>
      <c r="D33" s="2">
        <f>--6097.26</f>
        <v>6097.26</v>
      </c>
      <c r="E33" s="2"/>
      <c r="F33" s="22"/>
      <c r="G33" s="2"/>
      <c r="H33" s="2"/>
      <c r="I33" s="2"/>
      <c r="J33" s="22"/>
      <c r="K33" s="2"/>
      <c r="L33" s="2">
        <f t="shared" si="0"/>
        <v>6097.26</v>
      </c>
      <c r="M33" s="2"/>
      <c r="N33" s="22">
        <f t="shared" si="1"/>
        <v>0</v>
      </c>
      <c r="O33" s="11"/>
      <c r="P33" s="2">
        <f>--12749.94</f>
        <v>12749.94</v>
      </c>
      <c r="Q33" s="2"/>
      <c r="R33" s="22"/>
      <c r="S33" s="2"/>
      <c r="T33" s="2"/>
      <c r="U33" s="2"/>
      <c r="V33" s="22"/>
      <c r="W33" s="2"/>
      <c r="X33" s="2">
        <f t="shared" si="2"/>
        <v>12749.94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"4052", " - ", "TAXABLE SALES-FOOD")</f>
        <v xml:space="preserve">          4052 - TAXABLE SALES-FOOD</v>
      </c>
      <c r="C34" s="11"/>
      <c r="D34" s="2">
        <f>--30231.29</f>
        <v>30231.29</v>
      </c>
      <c r="E34" s="2"/>
      <c r="F34" s="22"/>
      <c r="G34" s="2"/>
      <c r="H34" s="2"/>
      <c r="I34" s="2"/>
      <c r="J34" s="22"/>
      <c r="K34" s="2"/>
      <c r="L34" s="2">
        <f t="shared" si="0"/>
        <v>30231.29</v>
      </c>
      <c r="M34" s="2"/>
      <c r="N34" s="22">
        <f t="shared" si="1"/>
        <v>0</v>
      </c>
      <c r="O34" s="11"/>
      <c r="P34" s="2">
        <f>--30231.29</f>
        <v>30231.29</v>
      </c>
      <c r="Q34" s="2"/>
      <c r="R34" s="22"/>
      <c r="S34" s="2"/>
      <c r="T34" s="2"/>
      <c r="U34" s="2"/>
      <c r="V34" s="22"/>
      <c r="W34" s="2"/>
      <c r="X34" s="2">
        <f t="shared" si="2"/>
        <v>30231.29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"4053", " - ", "TAXABLE SALES-FOOD")</f>
        <v xml:space="preserve">          4053 - TAXABLE SALES-FOOD</v>
      </c>
      <c r="C35" s="11"/>
      <c r="D35" s="2">
        <f t="shared" ref="D35:D36" si="5">0</f>
        <v>0</v>
      </c>
      <c r="E35" s="2"/>
      <c r="F35" s="22"/>
      <c r="G35" s="2"/>
      <c r="H35" s="2"/>
      <c r="I35" s="2"/>
      <c r="J35" s="22"/>
      <c r="K35" s="2"/>
      <c r="L35" s="2">
        <f t="shared" si="0"/>
        <v>0</v>
      </c>
      <c r="M35" s="2"/>
      <c r="N35" s="22">
        <f t="shared" si="1"/>
        <v>0</v>
      </c>
      <c r="O35" s="11"/>
      <c r="P35" s="2">
        <f>--402.44</f>
        <v>402.44</v>
      </c>
      <c r="Q35" s="2"/>
      <c r="R35" s="22"/>
      <c r="S35" s="2"/>
      <c r="T35" s="2"/>
      <c r="U35" s="2"/>
      <c r="V35" s="22"/>
      <c r="W35" s="2"/>
      <c r="X35" s="2">
        <f t="shared" si="2"/>
        <v>402.44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"4058", " - ", "TAXABLE SALES-FOOD")</f>
        <v xml:space="preserve">          4058 - TAXABLE SALES-FOOD</v>
      </c>
      <c r="C36" s="11"/>
      <c r="D36" s="2">
        <f t="shared" si="5"/>
        <v>0</v>
      </c>
      <c r="E36" s="2"/>
      <c r="F36" s="22"/>
      <c r="G36" s="2"/>
      <c r="H36" s="2"/>
      <c r="I36" s="2"/>
      <c r="J36" s="22"/>
      <c r="K36" s="2"/>
      <c r="L36" s="2">
        <f t="shared" si="0"/>
        <v>0</v>
      </c>
      <c r="M36" s="2"/>
      <c r="N36" s="22">
        <f t="shared" si="1"/>
        <v>0</v>
      </c>
      <c r="O36" s="11"/>
      <c r="P36" s="2">
        <f>--974.91</f>
        <v>974.91</v>
      </c>
      <c r="Q36" s="2"/>
      <c r="R36" s="22"/>
      <c r="S36" s="2"/>
      <c r="T36" s="2"/>
      <c r="U36" s="2"/>
      <c r="V36" s="22"/>
      <c r="W36" s="2"/>
      <c r="X36" s="2">
        <f t="shared" si="2"/>
        <v>974.91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"4081", " - ", "TAXABLE SALES-ELECTRONICS")</f>
        <v xml:space="preserve">          4081 - TAXABLE SALES-ELECTRONICS</v>
      </c>
      <c r="C37" s="11"/>
      <c r="D37" s="2">
        <f>--5014.67</f>
        <v>5014.67</v>
      </c>
      <c r="E37" s="2"/>
      <c r="F37" s="22"/>
      <c r="G37" s="2"/>
      <c r="H37" s="2"/>
      <c r="I37" s="2"/>
      <c r="J37" s="22"/>
      <c r="K37" s="2"/>
      <c r="L37" s="2">
        <f t="shared" si="0"/>
        <v>5014.67</v>
      </c>
      <c r="M37" s="2"/>
      <c r="N37" s="22">
        <f t="shared" si="1"/>
        <v>0</v>
      </c>
      <c r="O37" s="11"/>
      <c r="P37" s="2">
        <f>--55117.29</f>
        <v>55117.29</v>
      </c>
      <c r="Q37" s="2"/>
      <c r="R37" s="22"/>
      <c r="S37" s="2"/>
      <c r="T37" s="2"/>
      <c r="U37" s="2"/>
      <c r="V37" s="22"/>
      <c r="W37" s="2"/>
      <c r="X37" s="2">
        <f t="shared" si="2"/>
        <v>55117.29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>--152786.78</f>
        <v>152786.78</v>
      </c>
      <c r="E38" s="2"/>
      <c r="F38" s="22"/>
      <c r="G38" s="2"/>
      <c r="H38" s="2"/>
      <c r="I38" s="2"/>
      <c r="J38" s="22"/>
      <c r="K38" s="2"/>
      <c r="L38" s="2">
        <f t="shared" si="0"/>
        <v>152786.78</v>
      </c>
      <c r="M38" s="2"/>
      <c r="N38" s="22">
        <f t="shared" si="1"/>
        <v>0</v>
      </c>
      <c r="O38" s="11"/>
      <c r="P38" s="2">
        <f>--892099.99</f>
        <v>892099.99</v>
      </c>
      <c r="Q38" s="2"/>
      <c r="R38" s="22"/>
      <c r="S38" s="2"/>
      <c r="T38" s="2"/>
      <c r="U38" s="2"/>
      <c r="V38" s="22"/>
      <c r="W38" s="2"/>
      <c r="X38" s="2">
        <f t="shared" si="2"/>
        <v>892099.99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>--3392.4</f>
        <v>3392.4</v>
      </c>
      <c r="E39" s="2"/>
      <c r="F39" s="22"/>
      <c r="G39" s="2"/>
      <c r="H39" s="2"/>
      <c r="I39" s="2"/>
      <c r="J39" s="22"/>
      <c r="K39" s="2"/>
      <c r="L39" s="2">
        <f t="shared" si="0"/>
        <v>3392.4</v>
      </c>
      <c r="M39" s="2"/>
      <c r="N39" s="22">
        <f t="shared" si="1"/>
        <v>0</v>
      </c>
      <c r="O39" s="11"/>
      <c r="P39" s="2">
        <f>--72055.09</f>
        <v>72055.09</v>
      </c>
      <c r="Q39" s="2"/>
      <c r="R39" s="22"/>
      <c r="S39" s="2"/>
      <c r="T39" s="2"/>
      <c r="U39" s="2"/>
      <c r="V39" s="22"/>
      <c r="W39" s="2"/>
      <c r="X39" s="2">
        <f t="shared" si="2"/>
        <v>72055.09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"4085", " - ", "TAXABLE SALES-SOFTWARE")</f>
        <v xml:space="preserve">          4085 - TAXABLE SALES-SOFTWARE</v>
      </c>
      <c r="C40" s="11"/>
      <c r="D40" s="2">
        <f>--139</f>
        <v>139</v>
      </c>
      <c r="E40" s="2"/>
      <c r="F40" s="22"/>
      <c r="G40" s="2"/>
      <c r="H40" s="2"/>
      <c r="I40" s="2"/>
      <c r="J40" s="22"/>
      <c r="K40" s="2"/>
      <c r="L40" s="2">
        <f t="shared" si="0"/>
        <v>139</v>
      </c>
      <c r="M40" s="2"/>
      <c r="N40" s="22">
        <f t="shared" si="1"/>
        <v>0</v>
      </c>
      <c r="O40" s="11"/>
      <c r="P40" s="2">
        <f>--1120.96</f>
        <v>1120.96</v>
      </c>
      <c r="Q40" s="2"/>
      <c r="R40" s="22"/>
      <c r="S40" s="2"/>
      <c r="T40" s="2"/>
      <c r="U40" s="2"/>
      <c r="V40" s="22"/>
      <c r="W40" s="2"/>
      <c r="X40" s="2">
        <f t="shared" si="2"/>
        <v>1120.96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>--1385.25</f>
        <v>1385.25</v>
      </c>
      <c r="E41" s="2"/>
      <c r="F41" s="22"/>
      <c r="G41" s="2"/>
      <c r="H41" s="2"/>
      <c r="I41" s="2"/>
      <c r="J41" s="22"/>
      <c r="K41" s="2"/>
      <c r="L41" s="2">
        <f t="shared" si="0"/>
        <v>1385.25</v>
      </c>
      <c r="M41" s="2"/>
      <c r="N41" s="22">
        <f t="shared" si="1"/>
        <v>0</v>
      </c>
      <c r="O41" s="11"/>
      <c r="P41" s="2">
        <f>--29366.66</f>
        <v>29366.66</v>
      </c>
      <c r="Q41" s="2"/>
      <c r="R41" s="22"/>
      <c r="S41" s="2"/>
      <c r="T41" s="2"/>
      <c r="U41" s="2"/>
      <c r="V41" s="22"/>
      <c r="W41" s="2"/>
      <c r="X41" s="2">
        <f t="shared" si="2"/>
        <v>29366.66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"4100", " - ", "NON-TAXABLE SALES")</f>
        <v xml:space="preserve">          4100 - NON-TAXABLE SALES</v>
      </c>
      <c r="C42" s="11"/>
      <c r="D42" s="2">
        <f>--151698.79</f>
        <v>151698.79</v>
      </c>
      <c r="E42" s="2"/>
      <c r="F42" s="22"/>
      <c r="G42" s="2"/>
      <c r="H42" s="2">
        <v>699813</v>
      </c>
      <c r="I42" s="2"/>
      <c r="J42" s="22"/>
      <c r="K42" s="2"/>
      <c r="L42" s="2">
        <f t="shared" si="0"/>
        <v>-548114.21</v>
      </c>
      <c r="M42" s="2"/>
      <c r="N42" s="22">
        <f t="shared" si="1"/>
        <v>-0.7832295341755583</v>
      </c>
      <c r="O42" s="11"/>
      <c r="P42" s="2">
        <f>--434084.81</f>
        <v>434084.81</v>
      </c>
      <c r="Q42" s="2"/>
      <c r="R42" s="22"/>
      <c r="S42" s="2"/>
      <c r="T42" s="2">
        <v>1715758</v>
      </c>
      <c r="U42" s="2"/>
      <c r="V42" s="22"/>
      <c r="W42" s="2"/>
      <c r="X42" s="2">
        <f t="shared" si="2"/>
        <v>-1281673.19</v>
      </c>
      <c r="Y42" s="2"/>
      <c r="Z42" s="22">
        <f t="shared" si="3"/>
        <v>-0.74700114468357426</v>
      </c>
    </row>
    <row r="43" spans="1:26" s="24" customFormat="1" hidden="1" outlineLevel="1" x14ac:dyDescent="0.25">
      <c r="A43" s="51"/>
      <c r="B43" s="11" t="str">
        <f>CONCATENATE("          ", "4101", " - ", "NON-TAXABLE SALES-NEW TEXT")</f>
        <v xml:space="preserve">          4101 - NON-TAXABLE SALES-NEW TEXT</v>
      </c>
      <c r="C43" s="11"/>
      <c r="D43" s="2">
        <f>--7260.05</f>
        <v>7260.05</v>
      </c>
      <c r="E43" s="2"/>
      <c r="F43" s="22"/>
      <c r="G43" s="2"/>
      <c r="H43" s="2"/>
      <c r="I43" s="2"/>
      <c r="J43" s="22"/>
      <c r="K43" s="2"/>
      <c r="L43" s="2">
        <f t="shared" si="0"/>
        <v>7260.05</v>
      </c>
      <c r="M43" s="2"/>
      <c r="N43" s="22">
        <f t="shared" si="1"/>
        <v>0</v>
      </c>
      <c r="O43" s="11"/>
      <c r="P43" s="2">
        <f>--77664.89</f>
        <v>77664.89</v>
      </c>
      <c r="Q43" s="2"/>
      <c r="R43" s="22"/>
      <c r="S43" s="2"/>
      <c r="T43" s="2"/>
      <c r="U43" s="2"/>
      <c r="V43" s="22"/>
      <c r="W43" s="2"/>
      <c r="X43" s="2">
        <f t="shared" si="2"/>
        <v>77664.89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"4102", " - ", "NON-TAXABLE SALES-USED TEXT")</f>
        <v xml:space="preserve">          4102 - NON-TAXABLE SALES-USED TEXT</v>
      </c>
      <c r="C44" s="11"/>
      <c r="D44" s="2">
        <f>--2341.65</f>
        <v>2341.65</v>
      </c>
      <c r="E44" s="2"/>
      <c r="F44" s="22"/>
      <c r="G44" s="2"/>
      <c r="H44" s="2"/>
      <c r="I44" s="2"/>
      <c r="J44" s="22"/>
      <c r="K44" s="2"/>
      <c r="L44" s="2">
        <f t="shared" si="0"/>
        <v>2341.65</v>
      </c>
      <c r="M44" s="2"/>
      <c r="N44" s="22">
        <f t="shared" si="1"/>
        <v>0</v>
      </c>
      <c r="O44" s="11"/>
      <c r="P44" s="2">
        <f>--32712.47</f>
        <v>32712.47</v>
      </c>
      <c r="Q44" s="2"/>
      <c r="R44" s="22"/>
      <c r="S44" s="2"/>
      <c r="T44" s="2"/>
      <c r="U44" s="2"/>
      <c r="V44" s="22"/>
      <c r="W44" s="2"/>
      <c r="X44" s="2">
        <f t="shared" si="2"/>
        <v>32712.47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"4103", " - ", "NON-TAXABLE SALES-RENTAL TEXT")</f>
        <v xml:space="preserve">          4103 - NON-TAXABLE SALES-RENTAL TEXT</v>
      </c>
      <c r="C45" s="11"/>
      <c r="D45" s="2">
        <f>0</f>
        <v>0</v>
      </c>
      <c r="E45" s="2"/>
      <c r="F45" s="22"/>
      <c r="G45" s="2"/>
      <c r="H45" s="2"/>
      <c r="I45" s="2"/>
      <c r="J45" s="22"/>
      <c r="K45" s="2"/>
      <c r="L45" s="2">
        <f t="shared" si="0"/>
        <v>0</v>
      </c>
      <c r="M45" s="2"/>
      <c r="N45" s="22">
        <f t="shared" si="1"/>
        <v>0</v>
      </c>
      <c r="O45" s="11"/>
      <c r="P45" s="2">
        <f>--284.97</f>
        <v>284.97000000000003</v>
      </c>
      <c r="Q45" s="2"/>
      <c r="R45" s="22"/>
      <c r="S45" s="2"/>
      <c r="T45" s="2"/>
      <c r="U45" s="2"/>
      <c r="V45" s="22"/>
      <c r="W45" s="2"/>
      <c r="X45" s="2">
        <f t="shared" si="2"/>
        <v>284.97000000000003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"4104", " - ", "NON-TAXABLE SALES-DIGITAL TEXT")</f>
        <v xml:space="preserve">          4104 - NON-TAXABLE SALES-DIGITAL TEXT</v>
      </c>
      <c r="C46" s="11"/>
      <c r="D46" s="2">
        <f>--6767.67</f>
        <v>6767.67</v>
      </c>
      <c r="E46" s="2"/>
      <c r="F46" s="22"/>
      <c r="G46" s="2"/>
      <c r="H46" s="2"/>
      <c r="I46" s="2"/>
      <c r="J46" s="22"/>
      <c r="K46" s="2"/>
      <c r="L46" s="2">
        <f t="shared" si="0"/>
        <v>6767.67</v>
      </c>
      <c r="M46" s="2"/>
      <c r="N46" s="22">
        <f t="shared" si="1"/>
        <v>0</v>
      </c>
      <c r="O46" s="11"/>
      <c r="P46" s="2">
        <f>--293475.52</f>
        <v>293475.52</v>
      </c>
      <c r="Q46" s="2"/>
      <c r="R46" s="22"/>
      <c r="S46" s="2"/>
      <c r="T46" s="2"/>
      <c r="U46" s="2"/>
      <c r="V46" s="22"/>
      <c r="W46" s="2"/>
      <c r="X46" s="2">
        <f t="shared" si="2"/>
        <v>293475.52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"4113", " - ", "NON-TAXABLE SALES-TRADE BOOKS")</f>
        <v xml:space="preserve">          4113 - NON-TAXABLE SALES-TRADE BOOKS</v>
      </c>
      <c r="C47" s="11"/>
      <c r="D47" s="2">
        <f>--1655.95</f>
        <v>1655.95</v>
      </c>
      <c r="E47" s="2"/>
      <c r="F47" s="22"/>
      <c r="G47" s="2"/>
      <c r="H47" s="2"/>
      <c r="I47" s="2"/>
      <c r="J47" s="22"/>
      <c r="K47" s="2"/>
      <c r="L47" s="2">
        <f t="shared" si="0"/>
        <v>1655.95</v>
      </c>
      <c r="M47" s="2"/>
      <c r="N47" s="22">
        <f t="shared" si="1"/>
        <v>0</v>
      </c>
      <c r="O47" s="11"/>
      <c r="P47" s="2">
        <f>--1655.95</f>
        <v>1655.95</v>
      </c>
      <c r="Q47" s="2"/>
      <c r="R47" s="22"/>
      <c r="S47" s="2"/>
      <c r="T47" s="2"/>
      <c r="U47" s="2"/>
      <c r="V47" s="22"/>
      <c r="W47" s="2"/>
      <c r="X47" s="2">
        <f t="shared" si="2"/>
        <v>1655.95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"4118", " - ", "NON-TAXABLE SALES-STUDY GUIDES")</f>
        <v xml:space="preserve">          4118 - NON-TAXABLE SALES-STUDY GUIDES</v>
      </c>
      <c r="C48" s="11"/>
      <c r="D48" s="2">
        <f>--97.3</f>
        <v>97.3</v>
      </c>
      <c r="E48" s="2"/>
      <c r="F48" s="22"/>
      <c r="G48" s="2"/>
      <c r="H48" s="2"/>
      <c r="I48" s="2"/>
      <c r="J48" s="22"/>
      <c r="K48" s="2"/>
      <c r="L48" s="2">
        <f t="shared" si="0"/>
        <v>97.3</v>
      </c>
      <c r="M48" s="2"/>
      <c r="N48" s="22">
        <f t="shared" si="1"/>
        <v>0</v>
      </c>
      <c r="O48" s="11"/>
      <c r="P48" s="2">
        <f>--205.63</f>
        <v>205.63</v>
      </c>
      <c r="Q48" s="2"/>
      <c r="R48" s="22"/>
      <c r="S48" s="2"/>
      <c r="T48" s="2"/>
      <c r="U48" s="2"/>
      <c r="V48" s="22"/>
      <c r="W48" s="2"/>
      <c r="X48" s="2">
        <f t="shared" si="2"/>
        <v>205.63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"4126", " - ", "NON-TAXABLE SALES-WRITING INST")</f>
        <v xml:space="preserve">          4126 - NON-TAXABLE SALES-WRITING INST</v>
      </c>
      <c r="C49" s="11"/>
      <c r="D49" s="2">
        <f>0</f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--52.68</f>
        <v>52.68</v>
      </c>
      <c r="Q49" s="2"/>
      <c r="R49" s="22"/>
      <c r="S49" s="2"/>
      <c r="T49" s="2"/>
      <c r="U49" s="2"/>
      <c r="V49" s="22"/>
      <c r="W49" s="2"/>
      <c r="X49" s="2">
        <f t="shared" si="2"/>
        <v>52.68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"4127", " - ", "NON-TAXABLE SALES-SCHOOL SUPPL")</f>
        <v xml:space="preserve">          4127 - NON-TAXABLE SALES-SCHOOL SUPPL</v>
      </c>
      <c r="C50" s="11"/>
      <c r="D50" s="2">
        <f>--160.95</f>
        <v>160.94999999999999</v>
      </c>
      <c r="E50" s="2"/>
      <c r="F50" s="22"/>
      <c r="G50" s="2"/>
      <c r="H50" s="2"/>
      <c r="I50" s="2"/>
      <c r="J50" s="22"/>
      <c r="K50" s="2"/>
      <c r="L50" s="2">
        <f t="shared" si="0"/>
        <v>160.94999999999999</v>
      </c>
      <c r="M50" s="2"/>
      <c r="N50" s="22">
        <f t="shared" si="1"/>
        <v>0</v>
      </c>
      <c r="O50" s="11"/>
      <c r="P50" s="2">
        <f>--2831.69</f>
        <v>2831.69</v>
      </c>
      <c r="Q50" s="2"/>
      <c r="R50" s="22"/>
      <c r="S50" s="2"/>
      <c r="T50" s="2"/>
      <c r="U50" s="2"/>
      <c r="V50" s="22"/>
      <c r="W50" s="2"/>
      <c r="X50" s="2">
        <f t="shared" si="2"/>
        <v>2831.69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"4131", " - ", "NON-TAXABLE SALES-FOOD")</f>
        <v xml:space="preserve">          4131 - NON-TAXABLE SALES-FOOD</v>
      </c>
      <c r="C51" s="11"/>
      <c r="D51" s="2">
        <f>--1521.48</f>
        <v>1521.48</v>
      </c>
      <c r="E51" s="2"/>
      <c r="F51" s="22"/>
      <c r="G51" s="2"/>
      <c r="H51" s="2"/>
      <c r="I51" s="2"/>
      <c r="J51" s="22"/>
      <c r="K51" s="2"/>
      <c r="L51" s="2">
        <f t="shared" si="0"/>
        <v>1521.48</v>
      </c>
      <c r="M51" s="2"/>
      <c r="N51" s="22">
        <f t="shared" si="1"/>
        <v>0</v>
      </c>
      <c r="O51" s="11"/>
      <c r="P51" s="2">
        <f>--5525.44</f>
        <v>5525.44</v>
      </c>
      <c r="Q51" s="2"/>
      <c r="R51" s="22"/>
      <c r="S51" s="2"/>
      <c r="T51" s="2"/>
      <c r="U51" s="2"/>
      <c r="V51" s="22"/>
      <c r="W51" s="2"/>
      <c r="X51" s="2">
        <f t="shared" si="2"/>
        <v>5525.44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"4132", " - ", "NON-TAXABLE SALES-JUICE")</f>
        <v xml:space="preserve">          4132 - NON-TAXABLE SALES-JUICE</v>
      </c>
      <c r="C52" s="11"/>
      <c r="D52" s="2">
        <f t="shared" ref="D52:D55" si="6">0</f>
        <v>0</v>
      </c>
      <c r="E52" s="2"/>
      <c r="F52" s="22"/>
      <c r="G52" s="2"/>
      <c r="H52" s="2"/>
      <c r="I52" s="2"/>
      <c r="J52" s="22"/>
      <c r="K52" s="2"/>
      <c r="L52" s="2">
        <f t="shared" si="0"/>
        <v>0</v>
      </c>
      <c r="M52" s="2"/>
      <c r="N52" s="22">
        <f t="shared" si="1"/>
        <v>0</v>
      </c>
      <c r="O52" s="11"/>
      <c r="P52" s="2">
        <f>--2054.37</f>
        <v>2054.37</v>
      </c>
      <c r="Q52" s="2"/>
      <c r="R52" s="22"/>
      <c r="S52" s="2"/>
      <c r="T52" s="2"/>
      <c r="U52" s="2"/>
      <c r="V52" s="22"/>
      <c r="W52" s="2"/>
      <c r="X52" s="2">
        <f t="shared" si="2"/>
        <v>2054.37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"4133", " - ", "NON-TAXABLE SALES-CANDY")</f>
        <v xml:space="preserve">          4133 - NON-TAXABLE SALES-CANDY</v>
      </c>
      <c r="C53" s="11"/>
      <c r="D53" s="2">
        <f t="shared" si="6"/>
        <v>0</v>
      </c>
      <c r="E53" s="2"/>
      <c r="F53" s="22"/>
      <c r="G53" s="2"/>
      <c r="H53" s="2"/>
      <c r="I53" s="2"/>
      <c r="J53" s="22"/>
      <c r="K53" s="2"/>
      <c r="L53" s="2">
        <f t="shared" si="0"/>
        <v>0</v>
      </c>
      <c r="M53" s="2"/>
      <c r="N53" s="22">
        <f t="shared" si="1"/>
        <v>0</v>
      </c>
      <c r="O53" s="11"/>
      <c r="P53" s="2">
        <f>--80.71</f>
        <v>80.709999999999994</v>
      </c>
      <c r="Q53" s="2"/>
      <c r="R53" s="22"/>
      <c r="S53" s="2"/>
      <c r="T53" s="2"/>
      <c r="U53" s="2"/>
      <c r="V53" s="22"/>
      <c r="W53" s="2"/>
      <c r="X53" s="2">
        <f t="shared" si="2"/>
        <v>80.709999999999994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"4134", " - ", "NON-TAXABLE SALES-SODA")</f>
        <v xml:space="preserve">          4134 - NON-TAXABLE SALES-SODA</v>
      </c>
      <c r="C54" s="11"/>
      <c r="D54" s="2">
        <f t="shared" si="6"/>
        <v>0</v>
      </c>
      <c r="E54" s="2"/>
      <c r="F54" s="22"/>
      <c r="G54" s="2"/>
      <c r="H54" s="2"/>
      <c r="I54" s="2"/>
      <c r="J54" s="22"/>
      <c r="K54" s="2"/>
      <c r="L54" s="2">
        <f t="shared" si="0"/>
        <v>0</v>
      </c>
      <c r="M54" s="2"/>
      <c r="N54" s="22">
        <f t="shared" si="1"/>
        <v>0</v>
      </c>
      <c r="O54" s="11"/>
      <c r="P54" s="2">
        <f>--45.53</f>
        <v>45.53</v>
      </c>
      <c r="Q54" s="2"/>
      <c r="R54" s="22"/>
      <c r="S54" s="2"/>
      <c r="T54" s="2"/>
      <c r="U54" s="2"/>
      <c r="V54" s="22"/>
      <c r="W54" s="2"/>
      <c r="X54" s="2">
        <f t="shared" si="2"/>
        <v>45.53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"4137", " - ", "NON-TAXABLE SALES-WATER")</f>
        <v xml:space="preserve">          4137 - NON-TAXABLE SALES-WATER</v>
      </c>
      <c r="C55" s="11"/>
      <c r="D55" s="2">
        <f t="shared" si="6"/>
        <v>0</v>
      </c>
      <c r="E55" s="2"/>
      <c r="F55" s="22"/>
      <c r="G55" s="2"/>
      <c r="H55" s="2"/>
      <c r="I55" s="2"/>
      <c r="J55" s="22"/>
      <c r="K55" s="2"/>
      <c r="L55" s="2">
        <f t="shared" si="0"/>
        <v>0</v>
      </c>
      <c r="M55" s="2"/>
      <c r="N55" s="22">
        <f t="shared" si="1"/>
        <v>0</v>
      </c>
      <c r="O55" s="11"/>
      <c r="P55" s="2">
        <f>--68.25</f>
        <v>68.25</v>
      </c>
      <c r="Q55" s="2"/>
      <c r="R55" s="22"/>
      <c r="S55" s="2"/>
      <c r="T55" s="2"/>
      <c r="U55" s="2"/>
      <c r="V55" s="22"/>
      <c r="W55" s="2"/>
      <c r="X55" s="2">
        <f t="shared" si="2"/>
        <v>68.25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"4140", " - ", "NON-TAXABLE SALES-LOGO CLOTHIN")</f>
        <v xml:space="preserve">          4140 - NON-TAXABLE SALES-LOGO CLOTHIN</v>
      </c>
      <c r="C56" s="11"/>
      <c r="D56" s="2">
        <f>--13163.04</f>
        <v>13163.04</v>
      </c>
      <c r="E56" s="2"/>
      <c r="F56" s="22"/>
      <c r="G56" s="2"/>
      <c r="H56" s="2"/>
      <c r="I56" s="2"/>
      <c r="J56" s="22"/>
      <c r="K56" s="2"/>
      <c r="L56" s="2">
        <f t="shared" si="0"/>
        <v>13163.04</v>
      </c>
      <c r="M56" s="2"/>
      <c r="N56" s="22">
        <f t="shared" si="1"/>
        <v>0</v>
      </c>
      <c r="O56" s="11"/>
      <c r="P56" s="2">
        <f>--30615.48</f>
        <v>30615.48</v>
      </c>
      <c r="Q56" s="2"/>
      <c r="R56" s="22"/>
      <c r="S56" s="2"/>
      <c r="T56" s="2"/>
      <c r="U56" s="2"/>
      <c r="V56" s="22"/>
      <c r="W56" s="2"/>
      <c r="X56" s="2">
        <f t="shared" si="2"/>
        <v>30615.48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"4141", " - ", "NON-TAXABLE SALES-LOGO GIFTS")</f>
        <v xml:space="preserve">          4141 - NON-TAXABLE SALES-LOGO GIFTS</v>
      </c>
      <c r="C57" s="11"/>
      <c r="D57" s="2">
        <f>--437.71</f>
        <v>437.71</v>
      </c>
      <c r="E57" s="2"/>
      <c r="F57" s="22"/>
      <c r="G57" s="2"/>
      <c r="H57" s="2"/>
      <c r="I57" s="2"/>
      <c r="J57" s="22"/>
      <c r="K57" s="2"/>
      <c r="L57" s="2">
        <f t="shared" si="0"/>
        <v>437.71</v>
      </c>
      <c r="M57" s="2"/>
      <c r="N57" s="22">
        <f t="shared" si="1"/>
        <v>0</v>
      </c>
      <c r="O57" s="11"/>
      <c r="P57" s="2">
        <f>--3382.7</f>
        <v>3382.7</v>
      </c>
      <c r="Q57" s="2"/>
      <c r="R57" s="22"/>
      <c r="S57" s="2"/>
      <c r="T57" s="2"/>
      <c r="U57" s="2"/>
      <c r="V57" s="22"/>
      <c r="W57" s="2"/>
      <c r="X57" s="2">
        <f t="shared" si="2"/>
        <v>3382.7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"4142", " - ", "NON-TAXABLE SALES-EVERYDAY GIF")</f>
        <v xml:space="preserve">          4142 - NON-TAXABLE SALES-EVERYDAY GIF</v>
      </c>
      <c r="C58" s="11"/>
      <c r="D58" s="2">
        <f>--310.68</f>
        <v>310.68</v>
      </c>
      <c r="E58" s="2"/>
      <c r="F58" s="22"/>
      <c r="G58" s="2"/>
      <c r="H58" s="2"/>
      <c r="I58" s="2"/>
      <c r="J58" s="22"/>
      <c r="K58" s="2"/>
      <c r="L58" s="2">
        <f t="shared" si="0"/>
        <v>310.68</v>
      </c>
      <c r="M58" s="2"/>
      <c r="N58" s="22">
        <f t="shared" si="1"/>
        <v>0</v>
      </c>
      <c r="O58" s="11"/>
      <c r="P58" s="2">
        <f>--1320.41</f>
        <v>1320.41</v>
      </c>
      <c r="Q58" s="2"/>
      <c r="R58" s="22"/>
      <c r="S58" s="2"/>
      <c r="T58" s="2"/>
      <c r="U58" s="2"/>
      <c r="V58" s="22"/>
      <c r="W58" s="2"/>
      <c r="X58" s="2">
        <f t="shared" si="2"/>
        <v>1320.41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"4143", " - ", "NON-TAXABLE SALES-CARDS")</f>
        <v xml:space="preserve">          4143 - NON-TAXABLE SALES-CARDS</v>
      </c>
      <c r="C59" s="11"/>
      <c r="D59" s="2">
        <f>--9.99</f>
        <v>9.99</v>
      </c>
      <c r="E59" s="2"/>
      <c r="F59" s="22"/>
      <c r="G59" s="2"/>
      <c r="H59" s="2"/>
      <c r="I59" s="2"/>
      <c r="J59" s="22"/>
      <c r="K59" s="2"/>
      <c r="L59" s="2">
        <f t="shared" si="0"/>
        <v>9.99</v>
      </c>
      <c r="M59" s="2"/>
      <c r="N59" s="22">
        <f t="shared" si="1"/>
        <v>0</v>
      </c>
      <c r="O59" s="11"/>
      <c r="P59" s="2">
        <f>--29.97</f>
        <v>29.97</v>
      </c>
      <c r="Q59" s="2"/>
      <c r="R59" s="22"/>
      <c r="S59" s="2"/>
      <c r="T59" s="2"/>
      <c r="U59" s="2"/>
      <c r="V59" s="22"/>
      <c r="W59" s="2"/>
      <c r="X59" s="2">
        <f t="shared" si="2"/>
        <v>29.97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"4144", " - ", "NON-TAXABLE SALES-ACCESSORIES")</f>
        <v xml:space="preserve">          4144 - NON-TAXABLE SALES-ACCESSORIES</v>
      </c>
      <c r="C60" s="11"/>
      <c r="D60" s="2">
        <f>--154</f>
        <v>154</v>
      </c>
      <c r="E60" s="2"/>
      <c r="F60" s="22"/>
      <c r="G60" s="2"/>
      <c r="H60" s="2"/>
      <c r="I60" s="2"/>
      <c r="J60" s="22"/>
      <c r="K60" s="2"/>
      <c r="L60" s="2">
        <f t="shared" si="0"/>
        <v>154</v>
      </c>
      <c r="M60" s="2"/>
      <c r="N60" s="22">
        <f t="shared" si="1"/>
        <v>0</v>
      </c>
      <c r="O60" s="11"/>
      <c r="P60" s="2">
        <f>--369.75</f>
        <v>369.75</v>
      </c>
      <c r="Q60" s="2"/>
      <c r="R60" s="22"/>
      <c r="S60" s="2"/>
      <c r="T60" s="2"/>
      <c r="U60" s="2"/>
      <c r="V60" s="22"/>
      <c r="W60" s="2"/>
      <c r="X60" s="2">
        <f t="shared" si="2"/>
        <v>369.75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"4145", " - ", "NON-TAXABLE SALES-SPECIAL ORDE")</f>
        <v xml:space="preserve">          4145 - NON-TAXABLE SALES-SPECIAL ORDE</v>
      </c>
      <c r="C61" s="11"/>
      <c r="D61" s="2">
        <f>0</f>
        <v>0</v>
      </c>
      <c r="E61" s="2"/>
      <c r="F61" s="22"/>
      <c r="G61" s="2"/>
      <c r="H61" s="2"/>
      <c r="I61" s="2"/>
      <c r="J61" s="22"/>
      <c r="K61" s="2"/>
      <c r="L61" s="2">
        <f t="shared" si="0"/>
        <v>0</v>
      </c>
      <c r="M61" s="2"/>
      <c r="N61" s="22">
        <f t="shared" si="1"/>
        <v>0</v>
      </c>
      <c r="O61" s="11"/>
      <c r="P61" s="2">
        <f>--35846</f>
        <v>35846</v>
      </c>
      <c r="Q61" s="2"/>
      <c r="R61" s="22"/>
      <c r="S61" s="2"/>
      <c r="T61" s="2"/>
      <c r="U61" s="2"/>
      <c r="V61" s="22"/>
      <c r="W61" s="2"/>
      <c r="X61" s="2">
        <f t="shared" si="2"/>
        <v>35846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"4146", " - ", "NON-TAXABLE SALES-COIN OP MACH")</f>
        <v xml:space="preserve">          4146 - NON-TAXABLE SALES-COIN OP MACH</v>
      </c>
      <c r="C62" s="11"/>
      <c r="D62" s="2">
        <f>--21.3</f>
        <v>21.3</v>
      </c>
      <c r="E62" s="2"/>
      <c r="F62" s="22"/>
      <c r="G62" s="2"/>
      <c r="H62" s="2"/>
      <c r="I62" s="2"/>
      <c r="J62" s="22"/>
      <c r="K62" s="2"/>
      <c r="L62" s="2">
        <f t="shared" si="0"/>
        <v>21.3</v>
      </c>
      <c r="M62" s="2"/>
      <c r="N62" s="22">
        <f t="shared" si="1"/>
        <v>0</v>
      </c>
      <c r="O62" s="11"/>
      <c r="P62" s="2">
        <f t="shared" ref="P62:P63" si="7">--86.5</f>
        <v>86.5</v>
      </c>
      <c r="Q62" s="2"/>
      <c r="R62" s="22"/>
      <c r="S62" s="2"/>
      <c r="T62" s="2"/>
      <c r="U62" s="2"/>
      <c r="V62" s="22"/>
      <c r="W62" s="2"/>
      <c r="X62" s="2">
        <f t="shared" si="2"/>
        <v>86.5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"4147", " - ", "NON-TAXABLE SALES-MISC")</f>
        <v xml:space="preserve">          4147 - NON-TAXABLE SALES-MISC</v>
      </c>
      <c r="C63" s="11"/>
      <c r="D63" s="2">
        <f>--38.5</f>
        <v>38.5</v>
      </c>
      <c r="E63" s="2"/>
      <c r="F63" s="22"/>
      <c r="G63" s="2"/>
      <c r="H63" s="2"/>
      <c r="I63" s="2"/>
      <c r="J63" s="22"/>
      <c r="K63" s="2"/>
      <c r="L63" s="2">
        <f t="shared" si="0"/>
        <v>38.5</v>
      </c>
      <c r="M63" s="2"/>
      <c r="N63" s="22">
        <f t="shared" si="1"/>
        <v>0</v>
      </c>
      <c r="O63" s="11"/>
      <c r="P63" s="2">
        <f t="shared" si="7"/>
        <v>86.5</v>
      </c>
      <c r="Q63" s="2"/>
      <c r="R63" s="22"/>
      <c r="S63" s="2"/>
      <c r="T63" s="2"/>
      <c r="U63" s="2"/>
      <c r="V63" s="22"/>
      <c r="W63" s="2"/>
      <c r="X63" s="2">
        <f t="shared" si="2"/>
        <v>86.5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"4151", " - ", "NON-TAXABLE SALES-FOOD")</f>
        <v xml:space="preserve">          4151 - NON-TAXABLE SALES-FOOD</v>
      </c>
      <c r="C64" s="11"/>
      <c r="D64" s="2">
        <f>--173820.37</f>
        <v>173820.37</v>
      </c>
      <c r="E64" s="2"/>
      <c r="F64" s="22"/>
      <c r="G64" s="2"/>
      <c r="H64" s="2"/>
      <c r="I64" s="2"/>
      <c r="J64" s="22"/>
      <c r="K64" s="2"/>
      <c r="L64" s="2">
        <f t="shared" si="0"/>
        <v>173820.37</v>
      </c>
      <c r="M64" s="2"/>
      <c r="N64" s="22">
        <f t="shared" si="1"/>
        <v>0</v>
      </c>
      <c r="O64" s="11"/>
      <c r="P64" s="2">
        <f>--441429.04</f>
        <v>441429.04</v>
      </c>
      <c r="Q64" s="2"/>
      <c r="R64" s="22"/>
      <c r="S64" s="2"/>
      <c r="T64" s="2"/>
      <c r="U64" s="2"/>
      <c r="V64" s="22"/>
      <c r="W64" s="2"/>
      <c r="X64" s="2">
        <f t="shared" si="2"/>
        <v>441429.04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"4153", " - ", "NON-TAXABLE SALES-FOOD")</f>
        <v xml:space="preserve">          4153 - NON-TAXABLE SALES-FOOD</v>
      </c>
      <c r="C65" s="11"/>
      <c r="D65" s="2">
        <f>-14477.2</f>
        <v>-14477.2</v>
      </c>
      <c r="E65" s="2"/>
      <c r="F65" s="22"/>
      <c r="G65" s="2"/>
      <c r="H65" s="2"/>
      <c r="I65" s="2"/>
      <c r="J65" s="22"/>
      <c r="K65" s="2"/>
      <c r="L65" s="2">
        <f t="shared" si="0"/>
        <v>-14477.2</v>
      </c>
      <c r="M65" s="2"/>
      <c r="N65" s="22">
        <f t="shared" si="1"/>
        <v>0</v>
      </c>
      <c r="O65" s="11"/>
      <c r="P65" s="2">
        <f>--15876.58</f>
        <v>15876.58</v>
      </c>
      <c r="Q65" s="2"/>
      <c r="R65" s="22"/>
      <c r="S65" s="2"/>
      <c r="T65" s="2"/>
      <c r="U65" s="2"/>
      <c r="V65" s="22"/>
      <c r="W65" s="2"/>
      <c r="X65" s="2">
        <f t="shared" si="2"/>
        <v>15876.58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"4181", " - ", "NON-TAXABLE SALES-ELECTRONICS")</f>
        <v xml:space="preserve">          4181 - NON-TAXABLE SALES-ELECTRONICS</v>
      </c>
      <c r="C66" s="11"/>
      <c r="D66" s="2">
        <f>--194.97</f>
        <v>194.97</v>
      </c>
      <c r="E66" s="2"/>
      <c r="F66" s="22"/>
      <c r="G66" s="2"/>
      <c r="H66" s="2"/>
      <c r="I66" s="2"/>
      <c r="J66" s="22"/>
      <c r="K66" s="2"/>
      <c r="L66" s="2">
        <f t="shared" si="0"/>
        <v>194.97</v>
      </c>
      <c r="M66" s="2"/>
      <c r="N66" s="22">
        <f t="shared" si="1"/>
        <v>0</v>
      </c>
      <c r="O66" s="11"/>
      <c r="P66" s="2">
        <f>--3504.13</f>
        <v>3504.13</v>
      </c>
      <c r="Q66" s="2"/>
      <c r="R66" s="22"/>
      <c r="S66" s="2"/>
      <c r="T66" s="2"/>
      <c r="U66" s="2"/>
      <c r="V66" s="22"/>
      <c r="W66" s="2"/>
      <c r="X66" s="2">
        <f t="shared" si="2"/>
        <v>3504.13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"4182", " - ", "NON-TAXABLE SALES-COMPUTER HAR")</f>
        <v xml:space="preserve">          4182 - NON-TAXABLE SALES-COMPUTER HAR</v>
      </c>
      <c r="C67" s="11"/>
      <c r="D67" s="2">
        <f>--24570</f>
        <v>24570</v>
      </c>
      <c r="E67" s="2"/>
      <c r="F67" s="22"/>
      <c r="G67" s="2"/>
      <c r="H67" s="2"/>
      <c r="I67" s="2"/>
      <c r="J67" s="22"/>
      <c r="K67" s="2"/>
      <c r="L67" s="2">
        <f t="shared" si="0"/>
        <v>24570</v>
      </c>
      <c r="M67" s="2"/>
      <c r="N67" s="22">
        <f t="shared" si="1"/>
        <v>0</v>
      </c>
      <c r="O67" s="11"/>
      <c r="P67" s="2">
        <f>--145294.38</f>
        <v>145294.38</v>
      </c>
      <c r="Q67" s="2"/>
      <c r="R67" s="22"/>
      <c r="S67" s="2"/>
      <c r="T67" s="2"/>
      <c r="U67" s="2"/>
      <c r="V67" s="22"/>
      <c r="W67" s="2"/>
      <c r="X67" s="2">
        <f t="shared" si="2"/>
        <v>145294.38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"4183", " - ", "NON-TAXABLE SALES-COMPUTER EQU")</f>
        <v xml:space="preserve">          4183 - NON-TAXABLE SALES-COMPUTER EQU</v>
      </c>
      <c r="C68" s="11"/>
      <c r="D68" s="2">
        <f>--1269.91</f>
        <v>1269.9100000000001</v>
      </c>
      <c r="E68" s="2"/>
      <c r="F68" s="22"/>
      <c r="G68" s="2"/>
      <c r="H68" s="2"/>
      <c r="I68" s="2"/>
      <c r="J68" s="22"/>
      <c r="K68" s="2"/>
      <c r="L68" s="2">
        <f t="shared" si="0"/>
        <v>1269.9100000000001</v>
      </c>
      <c r="M68" s="2"/>
      <c r="N68" s="22">
        <f t="shared" si="1"/>
        <v>0</v>
      </c>
      <c r="O68" s="11"/>
      <c r="P68" s="2">
        <f>--6336.39</f>
        <v>6336.39</v>
      </c>
      <c r="Q68" s="2"/>
      <c r="R68" s="22"/>
      <c r="S68" s="2"/>
      <c r="T68" s="2"/>
      <c r="U68" s="2"/>
      <c r="V68" s="22"/>
      <c r="W68" s="2"/>
      <c r="X68" s="2">
        <f t="shared" si="2"/>
        <v>6336.39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"4185", " - ", "NON-TAXABLE SALES-SOFTWARE")</f>
        <v xml:space="preserve">          4185 - NON-TAXABLE SALES-SOFTWARE</v>
      </c>
      <c r="C69" s="11"/>
      <c r="D69" s="2">
        <f>--4590.76</f>
        <v>4590.76</v>
      </c>
      <c r="E69" s="2"/>
      <c r="F69" s="22"/>
      <c r="G69" s="2"/>
      <c r="H69" s="2"/>
      <c r="I69" s="2"/>
      <c r="J69" s="22"/>
      <c r="K69" s="2"/>
      <c r="L69" s="2">
        <f t="shared" si="0"/>
        <v>4590.76</v>
      </c>
      <c r="M69" s="2"/>
      <c r="N69" s="22">
        <f t="shared" si="1"/>
        <v>0</v>
      </c>
      <c r="O69" s="11"/>
      <c r="P69" s="2">
        <f>--23816.85</f>
        <v>23816.85</v>
      </c>
      <c r="Q69" s="2"/>
      <c r="R69" s="22"/>
      <c r="S69" s="2"/>
      <c r="T69" s="2"/>
      <c r="U69" s="2"/>
      <c r="V69" s="22"/>
      <c r="W69" s="2"/>
      <c r="X69" s="2">
        <f t="shared" si="2"/>
        <v>23816.85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"4186", " - ", "NON-TAXABLE SALES-COMPUTER SUP")</f>
        <v xml:space="preserve">          4186 - NON-TAXABLE SALES-COMPUTER SUP</v>
      </c>
      <c r="C70" s="11"/>
      <c r="D70" s="2">
        <f>--855.98</f>
        <v>855.98</v>
      </c>
      <c r="E70" s="2"/>
      <c r="F70" s="22"/>
      <c r="G70" s="2"/>
      <c r="H70" s="2"/>
      <c r="I70" s="2"/>
      <c r="J70" s="22"/>
      <c r="K70" s="2"/>
      <c r="L70" s="2">
        <f t="shared" si="0"/>
        <v>855.98</v>
      </c>
      <c r="M70" s="2"/>
      <c r="N70" s="22">
        <f t="shared" si="1"/>
        <v>0</v>
      </c>
      <c r="O70" s="11"/>
      <c r="P70" s="2">
        <f>--1729.77</f>
        <v>1729.77</v>
      </c>
      <c r="Q70" s="2"/>
      <c r="R70" s="22"/>
      <c r="S70" s="2"/>
      <c r="T70" s="2"/>
      <c r="U70" s="2"/>
      <c r="V70" s="22"/>
      <c r="W70" s="2"/>
      <c r="X70" s="2">
        <f t="shared" si="2"/>
        <v>1729.77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"4201", " - ", "SALES RETURN TAXABLE-NEW TEXT")</f>
        <v xml:space="preserve">          4201 - SALES RETURN TAXABLE-NEW TEXT</v>
      </c>
      <c r="C71" s="11"/>
      <c r="D71" s="2">
        <f>-1512.25</f>
        <v>-1512.25</v>
      </c>
      <c r="E71" s="2"/>
      <c r="F71" s="22"/>
      <c r="G71" s="2"/>
      <c r="H71" s="2"/>
      <c r="I71" s="2"/>
      <c r="J71" s="22"/>
      <c r="K71" s="2"/>
      <c r="L71" s="2">
        <f t="shared" si="0"/>
        <v>-1512.25</v>
      </c>
      <c r="M71" s="2"/>
      <c r="N71" s="22">
        <f t="shared" si="1"/>
        <v>0</v>
      </c>
      <c r="O71" s="11"/>
      <c r="P71" s="2">
        <f>-33761.24</f>
        <v>-33761.24</v>
      </c>
      <c r="Q71" s="2"/>
      <c r="R71" s="22"/>
      <c r="S71" s="2"/>
      <c r="T71" s="2"/>
      <c r="U71" s="2"/>
      <c r="V71" s="22"/>
      <c r="W71" s="2"/>
      <c r="X71" s="2">
        <f t="shared" si="2"/>
        <v>-33761.24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"4202", " - ", "SALES RETURN TAXABLE-USED TEXT")</f>
        <v xml:space="preserve">          4202 - SALES RETURN TAXABLE-USED TEXT</v>
      </c>
      <c r="C72" s="11"/>
      <c r="D72" s="2">
        <f>-136.05</f>
        <v>-136.05000000000001</v>
      </c>
      <c r="E72" s="2"/>
      <c r="F72" s="22"/>
      <c r="G72" s="2"/>
      <c r="H72" s="2"/>
      <c r="I72" s="2"/>
      <c r="J72" s="22"/>
      <c r="K72" s="2"/>
      <c r="L72" s="2">
        <f t="shared" si="0"/>
        <v>-136.05000000000001</v>
      </c>
      <c r="M72" s="2"/>
      <c r="N72" s="22">
        <f t="shared" si="1"/>
        <v>0</v>
      </c>
      <c r="O72" s="11"/>
      <c r="P72" s="2">
        <f>-10529</f>
        <v>-10529</v>
      </c>
      <c r="Q72" s="2"/>
      <c r="R72" s="22"/>
      <c r="S72" s="2"/>
      <c r="T72" s="2"/>
      <c r="U72" s="2"/>
      <c r="V72" s="22"/>
      <c r="W72" s="2"/>
      <c r="X72" s="2">
        <f t="shared" si="2"/>
        <v>-10529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"4204", " - ", "SALES RETURN TAXABLE-DIGITAL T")</f>
        <v xml:space="preserve">          4204 - SALES RETURN TAXABLE-DIGITAL T</v>
      </c>
      <c r="C73" s="11"/>
      <c r="D73" s="2">
        <f>-383.9</f>
        <v>-383.9</v>
      </c>
      <c r="E73" s="2"/>
      <c r="F73" s="22"/>
      <c r="G73" s="2"/>
      <c r="H73" s="2"/>
      <c r="I73" s="2"/>
      <c r="J73" s="22"/>
      <c r="K73" s="2"/>
      <c r="L73" s="2">
        <f t="shared" si="0"/>
        <v>-383.9</v>
      </c>
      <c r="M73" s="2"/>
      <c r="N73" s="22">
        <f t="shared" si="1"/>
        <v>0</v>
      </c>
      <c r="O73" s="11"/>
      <c r="P73" s="2">
        <f>-1630.85</f>
        <v>-1630.85</v>
      </c>
      <c r="Q73" s="2"/>
      <c r="R73" s="22"/>
      <c r="S73" s="2"/>
      <c r="T73" s="2"/>
      <c r="U73" s="2"/>
      <c r="V73" s="22"/>
      <c r="W73" s="2"/>
      <c r="X73" s="2">
        <f t="shared" si="2"/>
        <v>-1630.85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"4226", " - ", "SALES RETURN TAXABLE-WRITING I")</f>
        <v xml:space="preserve">          4226 - SALES RETURN TAXABLE-WRITING I</v>
      </c>
      <c r="C74" s="11"/>
      <c r="D74" s="2">
        <f>-5.36</f>
        <v>-5.36</v>
      </c>
      <c r="E74" s="2"/>
      <c r="F74" s="22"/>
      <c r="G74" s="2"/>
      <c r="H74" s="2"/>
      <c r="I74" s="2"/>
      <c r="J74" s="22"/>
      <c r="K74" s="2"/>
      <c r="L74" s="2">
        <f t="shared" si="0"/>
        <v>-5.36</v>
      </c>
      <c r="M74" s="2"/>
      <c r="N74" s="22">
        <f t="shared" si="1"/>
        <v>0</v>
      </c>
      <c r="O74" s="11"/>
      <c r="P74" s="2">
        <f>-34.23</f>
        <v>-34.229999999999997</v>
      </c>
      <c r="Q74" s="2"/>
      <c r="R74" s="22"/>
      <c r="S74" s="2"/>
      <c r="T74" s="2"/>
      <c r="U74" s="2"/>
      <c r="V74" s="22"/>
      <c r="W74" s="2"/>
      <c r="X74" s="2">
        <f t="shared" si="2"/>
        <v>-34.229999999999997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"4227", " - ", "SALES RETURN TAXABLE-SCHOOL SU")</f>
        <v xml:space="preserve">          4227 - SALES RETURN TAXABLE-SCHOOL SU</v>
      </c>
      <c r="C75" s="11"/>
      <c r="D75" s="2">
        <f>-9.99</f>
        <v>-9.99</v>
      </c>
      <c r="E75" s="2"/>
      <c r="F75" s="22"/>
      <c r="G75" s="2"/>
      <c r="H75" s="2"/>
      <c r="I75" s="2"/>
      <c r="J75" s="22"/>
      <c r="K75" s="2"/>
      <c r="L75" s="2">
        <f t="shared" si="0"/>
        <v>-9.99</v>
      </c>
      <c r="M75" s="2"/>
      <c r="N75" s="22">
        <f t="shared" si="1"/>
        <v>0</v>
      </c>
      <c r="O75" s="11"/>
      <c r="P75" s="2">
        <f>-578.66</f>
        <v>-578.66</v>
      </c>
      <c r="Q75" s="2"/>
      <c r="R75" s="22"/>
      <c r="S75" s="2"/>
      <c r="T75" s="2"/>
      <c r="U75" s="2"/>
      <c r="V75" s="22"/>
      <c r="W75" s="2"/>
      <c r="X75" s="2">
        <f t="shared" si="2"/>
        <v>-578.66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"4228", " - ", "SALES RETURN TAXABLE-ART/TECH")</f>
        <v xml:space="preserve">          4228 - SALES RETURN TAXABLE-ART/TECH</v>
      </c>
      <c r="C76" s="11"/>
      <c r="D76" s="2">
        <f>0</f>
        <v>0</v>
      </c>
      <c r="E76" s="2"/>
      <c r="F76" s="22"/>
      <c r="G76" s="2"/>
      <c r="H76" s="2"/>
      <c r="I76" s="2"/>
      <c r="J76" s="22"/>
      <c r="K76" s="2"/>
      <c r="L76" s="2">
        <f t="shared" si="0"/>
        <v>0</v>
      </c>
      <c r="M76" s="2"/>
      <c r="N76" s="22">
        <f t="shared" si="1"/>
        <v>0</v>
      </c>
      <c r="O76" s="11"/>
      <c r="P76" s="2">
        <f>-222.2</f>
        <v>-222.2</v>
      </c>
      <c r="Q76" s="2"/>
      <c r="R76" s="22"/>
      <c r="S76" s="2"/>
      <c r="T76" s="2"/>
      <c r="U76" s="2"/>
      <c r="V76" s="22"/>
      <c r="W76" s="2"/>
      <c r="X76" s="2">
        <f t="shared" si="2"/>
        <v>-222.2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"4240", " - ", "SALES RETURN TAXABLE-LOGO CLOT")</f>
        <v xml:space="preserve">          4240 - SALES RETURN TAXABLE-LOGO CLOT</v>
      </c>
      <c r="C77" s="11"/>
      <c r="D77" s="2">
        <f>-2239.56</f>
        <v>-2239.56</v>
      </c>
      <c r="E77" s="2"/>
      <c r="F77" s="22"/>
      <c r="G77" s="2"/>
      <c r="H77" s="2"/>
      <c r="I77" s="2"/>
      <c r="J77" s="22"/>
      <c r="K77" s="2"/>
      <c r="L77" s="2">
        <f t="shared" si="0"/>
        <v>-2239.56</v>
      </c>
      <c r="M77" s="2"/>
      <c r="N77" s="22">
        <f t="shared" si="1"/>
        <v>0</v>
      </c>
      <c r="O77" s="11"/>
      <c r="P77" s="2">
        <f>-13849.52</f>
        <v>-13849.52</v>
      </c>
      <c r="Q77" s="2"/>
      <c r="R77" s="22"/>
      <c r="S77" s="2"/>
      <c r="T77" s="2"/>
      <c r="U77" s="2"/>
      <c r="V77" s="22"/>
      <c r="W77" s="2"/>
      <c r="X77" s="2">
        <f t="shared" si="2"/>
        <v>-13849.52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"4241", " - ", "SALES RETURN TAXABLE-LOGO GIFT")</f>
        <v xml:space="preserve">          4241 - SALES RETURN TAXABLE-LOGO GIFT</v>
      </c>
      <c r="C78" s="11"/>
      <c r="D78" s="2">
        <f>-379.45</f>
        <v>-379.45</v>
      </c>
      <c r="E78" s="2"/>
      <c r="F78" s="22"/>
      <c r="G78" s="2"/>
      <c r="H78" s="2"/>
      <c r="I78" s="2"/>
      <c r="J78" s="22"/>
      <c r="K78" s="2"/>
      <c r="L78" s="2">
        <f t="shared" si="0"/>
        <v>-379.45</v>
      </c>
      <c r="M78" s="2"/>
      <c r="N78" s="22">
        <f t="shared" si="1"/>
        <v>0</v>
      </c>
      <c r="O78" s="11"/>
      <c r="P78" s="2">
        <f>-2696.56</f>
        <v>-2696.56</v>
      </c>
      <c r="Q78" s="2"/>
      <c r="R78" s="22"/>
      <c r="S78" s="2"/>
      <c r="T78" s="2"/>
      <c r="U78" s="2"/>
      <c r="V78" s="22"/>
      <c r="W78" s="2"/>
      <c r="X78" s="2">
        <f t="shared" si="2"/>
        <v>-2696.56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"4242", " - ", "SALES RETURN TAXABLE-EVERYDAY")</f>
        <v xml:space="preserve">          4242 - SALES RETURN TAXABLE-EVERYDAY</v>
      </c>
      <c r="C79" s="11"/>
      <c r="D79" s="2">
        <f>-266.95</f>
        <v>-266.95</v>
      </c>
      <c r="E79" s="2"/>
      <c r="F79" s="22"/>
      <c r="G79" s="2"/>
      <c r="H79" s="2"/>
      <c r="I79" s="2"/>
      <c r="J79" s="22"/>
      <c r="K79" s="2"/>
      <c r="L79" s="2">
        <f t="shared" si="0"/>
        <v>-266.95</v>
      </c>
      <c r="M79" s="2"/>
      <c r="N79" s="22">
        <f t="shared" si="1"/>
        <v>0</v>
      </c>
      <c r="O79" s="11"/>
      <c r="P79" s="2">
        <f>-1321.51</f>
        <v>-1321.51</v>
      </c>
      <c r="Q79" s="2"/>
      <c r="R79" s="22"/>
      <c r="S79" s="2"/>
      <c r="T79" s="2"/>
      <c r="U79" s="2"/>
      <c r="V79" s="22"/>
      <c r="W79" s="2"/>
      <c r="X79" s="2">
        <f t="shared" si="2"/>
        <v>-1321.51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"4243", " - ", "SALES RETURN TAXABLE-CARDS")</f>
        <v xml:space="preserve">          4243 - SALES RETURN TAXABLE-CARDS</v>
      </c>
      <c r="C80" s="11"/>
      <c r="D80" s="2">
        <f>-829.55</f>
        <v>-829.55</v>
      </c>
      <c r="E80" s="2"/>
      <c r="F80" s="22"/>
      <c r="G80" s="2"/>
      <c r="H80" s="2"/>
      <c r="I80" s="2"/>
      <c r="J80" s="22"/>
      <c r="K80" s="2"/>
      <c r="L80" s="2">
        <f t="shared" si="0"/>
        <v>-829.55</v>
      </c>
      <c r="M80" s="2"/>
      <c r="N80" s="22">
        <f t="shared" si="1"/>
        <v>0</v>
      </c>
      <c r="O80" s="11"/>
      <c r="P80" s="2">
        <f>-982.92</f>
        <v>-982.92</v>
      </c>
      <c r="Q80" s="2"/>
      <c r="R80" s="22"/>
      <c r="S80" s="2"/>
      <c r="T80" s="2"/>
      <c r="U80" s="2"/>
      <c r="V80" s="22"/>
      <c r="W80" s="2"/>
      <c r="X80" s="2">
        <f t="shared" si="2"/>
        <v>-982.92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"4244", " - ", "SALES RETURN TAXABLE-ACCESSORI")</f>
        <v xml:space="preserve">          4244 - SALES RETURN TAXABLE-ACCESSORI</v>
      </c>
      <c r="C81" s="11"/>
      <c r="D81" s="2">
        <f>0</f>
        <v>0</v>
      </c>
      <c r="E81" s="2"/>
      <c r="F81" s="22"/>
      <c r="G81" s="2"/>
      <c r="H81" s="2"/>
      <c r="I81" s="2"/>
      <c r="J81" s="22"/>
      <c r="K81" s="2"/>
      <c r="L81" s="2">
        <f t="shared" si="0"/>
        <v>0</v>
      </c>
      <c r="M81" s="2"/>
      <c r="N81" s="22">
        <f t="shared" si="1"/>
        <v>0</v>
      </c>
      <c r="O81" s="11"/>
      <c r="P81" s="2">
        <f>-410.99</f>
        <v>-410.99</v>
      </c>
      <c r="Q81" s="2"/>
      <c r="R81" s="22"/>
      <c r="S81" s="2"/>
      <c r="T81" s="2"/>
      <c r="U81" s="2"/>
      <c r="V81" s="22"/>
      <c r="W81" s="2"/>
      <c r="X81" s="2">
        <f t="shared" si="2"/>
        <v>-410.99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"4245", " - ", "SALES RETURN TAXABLE-SPECIAL O")</f>
        <v xml:space="preserve">          4245 - SALES RETURN TAXABLE-SPECIAL O</v>
      </c>
      <c r="C82" s="11"/>
      <c r="D82" s="2">
        <f>-363.98</f>
        <v>-363.98</v>
      </c>
      <c r="E82" s="2"/>
      <c r="F82" s="22"/>
      <c r="G82" s="2"/>
      <c r="H82" s="2"/>
      <c r="I82" s="2"/>
      <c r="J82" s="22"/>
      <c r="K82" s="2"/>
      <c r="L82" s="2">
        <f t="shared" si="0"/>
        <v>-363.98</v>
      </c>
      <c r="M82" s="2"/>
      <c r="N82" s="22">
        <f t="shared" si="1"/>
        <v>0</v>
      </c>
      <c r="O82" s="11"/>
      <c r="P82" s="2">
        <f>-1546.93</f>
        <v>-1546.93</v>
      </c>
      <c r="Q82" s="2"/>
      <c r="R82" s="22"/>
      <c r="S82" s="2"/>
      <c r="T82" s="2"/>
      <c r="U82" s="2"/>
      <c r="V82" s="22"/>
      <c r="W82" s="2"/>
      <c r="X82" s="2">
        <f t="shared" si="2"/>
        <v>-1546.93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"4281", " - ", "SALES RETURN TAXABLE-ELECTRONI")</f>
        <v xml:space="preserve">          4281 - SALES RETURN TAXABLE-ELECTRONI</v>
      </c>
      <c r="C83" s="11"/>
      <c r="D83" s="2">
        <f>-357.99</f>
        <v>-357.99</v>
      </c>
      <c r="E83" s="2"/>
      <c r="F83" s="22"/>
      <c r="G83" s="2"/>
      <c r="H83" s="2"/>
      <c r="I83" s="2"/>
      <c r="J83" s="22"/>
      <c r="K83" s="2"/>
      <c r="L83" s="2">
        <f t="shared" si="0"/>
        <v>-357.99</v>
      </c>
      <c r="M83" s="2"/>
      <c r="N83" s="22">
        <f t="shared" si="1"/>
        <v>0</v>
      </c>
      <c r="O83" s="11"/>
      <c r="P83" s="2">
        <f>-14632.15</f>
        <v>-14632.15</v>
      </c>
      <c r="Q83" s="2"/>
      <c r="R83" s="22"/>
      <c r="S83" s="2"/>
      <c r="T83" s="2"/>
      <c r="U83" s="2"/>
      <c r="V83" s="22"/>
      <c r="W83" s="2"/>
      <c r="X83" s="2">
        <f t="shared" si="2"/>
        <v>-14632.15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"4282", " - ", "SALES RETURN TAXABLE-COMPUTER")</f>
        <v xml:space="preserve">          4282 - SALES RETURN TAXABLE-COMPUTER</v>
      </c>
      <c r="C84" s="11"/>
      <c r="D84" s="2">
        <f>-20038</f>
        <v>-20038</v>
      </c>
      <c r="E84" s="2"/>
      <c r="F84" s="22"/>
      <c r="G84" s="2"/>
      <c r="H84" s="2"/>
      <c r="I84" s="2"/>
      <c r="J84" s="22"/>
      <c r="K84" s="2"/>
      <c r="L84" s="2">
        <f t="shared" si="0"/>
        <v>-20038</v>
      </c>
      <c r="M84" s="2"/>
      <c r="N84" s="22">
        <f t="shared" si="1"/>
        <v>0</v>
      </c>
      <c r="O84" s="11"/>
      <c r="P84" s="2">
        <f>-68323</f>
        <v>-68323</v>
      </c>
      <c r="Q84" s="2"/>
      <c r="R84" s="22"/>
      <c r="S84" s="2"/>
      <c r="T84" s="2"/>
      <c r="U84" s="2"/>
      <c r="V84" s="22"/>
      <c r="W84" s="2"/>
      <c r="X84" s="2">
        <f t="shared" si="2"/>
        <v>-68323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"4283", " - ", "SALES RETURN TAXABLE-COMPUTER")</f>
        <v xml:space="preserve">          4283 - SALES RETURN TAXABLE-COMPUTER</v>
      </c>
      <c r="C85" s="11"/>
      <c r="D85" s="2">
        <f>-629.58</f>
        <v>-629.58000000000004</v>
      </c>
      <c r="E85" s="2"/>
      <c r="F85" s="22"/>
      <c r="G85" s="2"/>
      <c r="H85" s="2"/>
      <c r="I85" s="2"/>
      <c r="J85" s="22"/>
      <c r="K85" s="2"/>
      <c r="L85" s="2">
        <f t="shared" si="0"/>
        <v>-629.58000000000004</v>
      </c>
      <c r="M85" s="2"/>
      <c r="N85" s="22">
        <f t="shared" si="1"/>
        <v>0</v>
      </c>
      <c r="O85" s="11"/>
      <c r="P85" s="2">
        <f>-2632.31</f>
        <v>-2632.31</v>
      </c>
      <c r="Q85" s="2"/>
      <c r="R85" s="22"/>
      <c r="S85" s="2"/>
      <c r="T85" s="2"/>
      <c r="U85" s="2"/>
      <c r="V85" s="22"/>
      <c r="W85" s="2"/>
      <c r="X85" s="2">
        <f t="shared" si="2"/>
        <v>-2632.31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"4285", " - ", "SALES RETURN TAXABLE-SOFTWARE")</f>
        <v xml:space="preserve">          4285 - SALES RETURN TAXABLE-SOFTWARE</v>
      </c>
      <c r="C86" s="11"/>
      <c r="D86" s="2">
        <f>0</f>
        <v>0</v>
      </c>
      <c r="E86" s="2"/>
      <c r="F86" s="22"/>
      <c r="G86" s="2"/>
      <c r="H86" s="2"/>
      <c r="I86" s="2"/>
      <c r="J86" s="22"/>
      <c r="K86" s="2"/>
      <c r="L86" s="2">
        <f t="shared" si="0"/>
        <v>0</v>
      </c>
      <c r="M86" s="2"/>
      <c r="N86" s="22">
        <f t="shared" si="1"/>
        <v>0</v>
      </c>
      <c r="O86" s="11"/>
      <c r="P86" s="2">
        <f>-552.98</f>
        <v>-552.98</v>
      </c>
      <c r="Q86" s="2"/>
      <c r="R86" s="22"/>
      <c r="S86" s="2"/>
      <c r="T86" s="2"/>
      <c r="U86" s="2"/>
      <c r="V86" s="22"/>
      <c r="W86" s="2"/>
      <c r="X86" s="2">
        <f t="shared" si="2"/>
        <v>-552.98</v>
      </c>
      <c r="Y86" s="2"/>
      <c r="Z86" s="22">
        <f t="shared" si="3"/>
        <v>0</v>
      </c>
    </row>
    <row r="87" spans="1:26" s="24" customFormat="1" hidden="1" outlineLevel="1" x14ac:dyDescent="0.25">
      <c r="A87" s="51"/>
      <c r="B87" s="11" t="str">
        <f>CONCATENATE("          ", "4286", " - ", "SALES RETURN TAXABLE-COMPUTER")</f>
        <v xml:space="preserve">          4286 - SALES RETURN TAXABLE-COMPUTER</v>
      </c>
      <c r="C87" s="11"/>
      <c r="D87" s="2">
        <f>-158.96</f>
        <v>-158.96</v>
      </c>
      <c r="E87" s="2"/>
      <c r="F87" s="22"/>
      <c r="G87" s="2"/>
      <c r="H87" s="2"/>
      <c r="I87" s="2"/>
      <c r="J87" s="22"/>
      <c r="K87" s="2"/>
      <c r="L87" s="2">
        <f t="shared" si="0"/>
        <v>-158.96</v>
      </c>
      <c r="M87" s="2"/>
      <c r="N87" s="22">
        <f t="shared" si="1"/>
        <v>0</v>
      </c>
      <c r="O87" s="11"/>
      <c r="P87" s="2">
        <f>-571.36</f>
        <v>-571.36</v>
      </c>
      <c r="Q87" s="2"/>
      <c r="R87" s="22"/>
      <c r="S87" s="2"/>
      <c r="T87" s="2"/>
      <c r="U87" s="2"/>
      <c r="V87" s="22"/>
      <c r="W87" s="2"/>
      <c r="X87" s="2">
        <f t="shared" si="2"/>
        <v>-571.36</v>
      </c>
      <c r="Y87" s="2"/>
      <c r="Z87" s="22">
        <f t="shared" si="3"/>
        <v>0</v>
      </c>
    </row>
    <row r="88" spans="1:26" s="24" customFormat="1" hidden="1" outlineLevel="1" x14ac:dyDescent="0.25">
      <c r="A88" s="51"/>
      <c r="B88" s="11" t="str">
        <f>CONCATENATE("          ", "4301", " - ", "SALES RETURN NON TAXABLE-NEW T")</f>
        <v xml:space="preserve">          4301 - SALES RETURN NON TAXABLE-NEW T</v>
      </c>
      <c r="C88" s="11"/>
      <c r="D88" s="2">
        <f>-535.49</f>
        <v>-535.49</v>
      </c>
      <c r="E88" s="2"/>
      <c r="F88" s="22"/>
      <c r="G88" s="2"/>
      <c r="H88" s="2"/>
      <c r="I88" s="2"/>
      <c r="J88" s="22"/>
      <c r="K88" s="2"/>
      <c r="L88" s="2">
        <f t="shared" si="0"/>
        <v>-535.49</v>
      </c>
      <c r="M88" s="2"/>
      <c r="N88" s="22">
        <f t="shared" si="1"/>
        <v>0</v>
      </c>
      <c r="O88" s="11"/>
      <c r="P88" s="2">
        <f>-2376.17</f>
        <v>-2376.17</v>
      </c>
      <c r="Q88" s="2"/>
      <c r="R88" s="22"/>
      <c r="S88" s="2"/>
      <c r="T88" s="2"/>
      <c r="U88" s="2"/>
      <c r="V88" s="22"/>
      <c r="W88" s="2"/>
      <c r="X88" s="2">
        <f t="shared" si="2"/>
        <v>-2376.17</v>
      </c>
      <c r="Y88" s="2"/>
      <c r="Z88" s="22">
        <f t="shared" si="3"/>
        <v>0</v>
      </c>
    </row>
    <row r="89" spans="1:26" s="24" customFormat="1" hidden="1" outlineLevel="1" x14ac:dyDescent="0.25">
      <c r="A89" s="51"/>
      <c r="B89" s="11" t="str">
        <f>CONCATENATE("          ", "4302", " - ", "SALES RETURN NON TAXABLE-TEXT")</f>
        <v xml:space="preserve">          4302 - SALES RETURN NON TAXABLE-TEXT</v>
      </c>
      <c r="C89" s="11"/>
      <c r="D89" s="2">
        <f>-169.72</f>
        <v>-169.72</v>
      </c>
      <c r="E89" s="2"/>
      <c r="F89" s="22"/>
      <c r="G89" s="2"/>
      <c r="H89" s="2"/>
      <c r="I89" s="2"/>
      <c r="J89" s="22"/>
      <c r="K89" s="2"/>
      <c r="L89" s="2">
        <f t="shared" si="0"/>
        <v>-169.72</v>
      </c>
      <c r="M89" s="2"/>
      <c r="N89" s="22">
        <f t="shared" si="1"/>
        <v>0</v>
      </c>
      <c r="O89" s="11"/>
      <c r="P89" s="2">
        <f>-1316.8</f>
        <v>-1316.8</v>
      </c>
      <c r="Q89" s="2"/>
      <c r="R89" s="22"/>
      <c r="S89" s="2"/>
      <c r="T89" s="2"/>
      <c r="U89" s="2"/>
      <c r="V89" s="22"/>
      <c r="W89" s="2"/>
      <c r="X89" s="2">
        <f t="shared" si="2"/>
        <v>-1316.8</v>
      </c>
      <c r="Y89" s="2"/>
      <c r="Z89" s="22">
        <f t="shared" si="3"/>
        <v>0</v>
      </c>
    </row>
    <row r="90" spans="1:26" s="24" customFormat="1" hidden="1" outlineLevel="1" x14ac:dyDescent="0.25">
      <c r="A90" s="51"/>
      <c r="B90" s="11" t="str">
        <f>CONCATENATE("          ", "4304", " - ", "SALES RETURN NON TAXABLE-DIGIT")</f>
        <v xml:space="preserve">          4304 - SALES RETURN NON TAXABLE-DIGIT</v>
      </c>
      <c r="C90" s="11"/>
      <c r="D90" s="2">
        <f>-692.75</f>
        <v>-692.75</v>
      </c>
      <c r="E90" s="2"/>
      <c r="F90" s="22"/>
      <c r="G90" s="2"/>
      <c r="H90" s="2"/>
      <c r="I90" s="2"/>
      <c r="J90" s="22"/>
      <c r="K90" s="2"/>
      <c r="L90" s="2">
        <f t="shared" si="0"/>
        <v>-692.75</v>
      </c>
      <c r="M90" s="2"/>
      <c r="N90" s="22">
        <f t="shared" si="1"/>
        <v>0</v>
      </c>
      <c r="O90" s="11"/>
      <c r="P90" s="2">
        <f>-14102.11</f>
        <v>-14102.11</v>
      </c>
      <c r="Q90" s="2"/>
      <c r="R90" s="22"/>
      <c r="S90" s="2"/>
      <c r="T90" s="2"/>
      <c r="U90" s="2"/>
      <c r="V90" s="22"/>
      <c r="W90" s="2"/>
      <c r="X90" s="2">
        <f t="shared" si="2"/>
        <v>-14102.11</v>
      </c>
      <c r="Y90" s="2"/>
      <c r="Z90" s="22">
        <f t="shared" si="3"/>
        <v>0</v>
      </c>
    </row>
    <row r="91" spans="1:26" s="24" customFormat="1" hidden="1" outlineLevel="1" x14ac:dyDescent="0.25">
      <c r="A91" s="51"/>
      <c r="B91" s="11" t="str">
        <f>CONCATENATE("          ", "4340", " - ", "SALES RETURN NON TAXABLE-LOGO")</f>
        <v xml:space="preserve">          4340 - SALES RETURN NON TAXABLE-LOGO</v>
      </c>
      <c r="C91" s="11"/>
      <c r="D91" s="2">
        <f>-195.69</f>
        <v>-195.69</v>
      </c>
      <c r="E91" s="2"/>
      <c r="F91" s="22"/>
      <c r="G91" s="2"/>
      <c r="H91" s="2"/>
      <c r="I91" s="2"/>
      <c r="J91" s="22"/>
      <c r="K91" s="2"/>
      <c r="L91" s="2">
        <f t="shared" si="0"/>
        <v>-195.69</v>
      </c>
      <c r="M91" s="2"/>
      <c r="N91" s="22">
        <f t="shared" si="1"/>
        <v>0</v>
      </c>
      <c r="O91" s="11"/>
      <c r="P91" s="2">
        <f>-736.73</f>
        <v>-736.73</v>
      </c>
      <c r="Q91" s="2"/>
      <c r="R91" s="22"/>
      <c r="S91" s="2"/>
      <c r="T91" s="2"/>
      <c r="U91" s="2"/>
      <c r="V91" s="22"/>
      <c r="W91" s="2"/>
      <c r="X91" s="2">
        <f t="shared" si="2"/>
        <v>-736.73</v>
      </c>
      <c r="Y91" s="2"/>
      <c r="Z91" s="22">
        <f t="shared" si="3"/>
        <v>0</v>
      </c>
    </row>
    <row r="92" spans="1:26" s="24" customFormat="1" hidden="1" outlineLevel="1" x14ac:dyDescent="0.25">
      <c r="A92" s="51"/>
      <c r="B92" s="11" t="str">
        <f>CONCATENATE("          ", "4341", " - ", "SALES RETURN NON TAXABLE-LOGO")</f>
        <v xml:space="preserve">          4341 - SALES RETURN NON TAXABLE-LOGO</v>
      </c>
      <c r="C92" s="11"/>
      <c r="D92" s="2">
        <f t="shared" ref="D92:D94" si="8">0</f>
        <v>0</v>
      </c>
      <c r="E92" s="2"/>
      <c r="F92" s="22"/>
      <c r="G92" s="2"/>
      <c r="H92" s="2"/>
      <c r="I92" s="2"/>
      <c r="J92" s="22"/>
      <c r="K92" s="2"/>
      <c r="L92" s="2">
        <f t="shared" si="0"/>
        <v>0</v>
      </c>
      <c r="M92" s="2"/>
      <c r="N92" s="22">
        <f t="shared" si="1"/>
        <v>0</v>
      </c>
      <c r="O92" s="11"/>
      <c r="P92" s="2">
        <f>-146.9</f>
        <v>-146.9</v>
      </c>
      <c r="Q92" s="2"/>
      <c r="R92" s="22"/>
      <c r="S92" s="2"/>
      <c r="T92" s="2"/>
      <c r="U92" s="2"/>
      <c r="V92" s="22"/>
      <c r="W92" s="2"/>
      <c r="X92" s="2">
        <f t="shared" si="2"/>
        <v>-146.9</v>
      </c>
      <c r="Y92" s="2"/>
      <c r="Z92" s="22">
        <f t="shared" si="3"/>
        <v>0</v>
      </c>
    </row>
    <row r="93" spans="1:26" s="24" customFormat="1" hidden="1" outlineLevel="1" x14ac:dyDescent="0.25">
      <c r="A93" s="51"/>
      <c r="B93" s="11" t="str">
        <f>CONCATENATE("          ", "4342", " - ", "SALES RETURN NON TAXABLE-EVERY")</f>
        <v xml:space="preserve">          4342 - SALES RETURN NON TAXABLE-EVERY</v>
      </c>
      <c r="C93" s="11"/>
      <c r="D93" s="2">
        <f t="shared" si="8"/>
        <v>0</v>
      </c>
      <c r="E93" s="2"/>
      <c r="F93" s="22"/>
      <c r="G93" s="2"/>
      <c r="H93" s="2"/>
      <c r="I93" s="2"/>
      <c r="J93" s="22"/>
      <c r="K93" s="2"/>
      <c r="L93" s="2">
        <f t="shared" si="0"/>
        <v>0</v>
      </c>
      <c r="M93" s="2"/>
      <c r="N93" s="22">
        <f t="shared" si="1"/>
        <v>0</v>
      </c>
      <c r="O93" s="11"/>
      <c r="P93" s="2">
        <f>-118.7</f>
        <v>-118.7</v>
      </c>
      <c r="Q93" s="2"/>
      <c r="R93" s="22"/>
      <c r="S93" s="2"/>
      <c r="T93" s="2"/>
      <c r="U93" s="2"/>
      <c r="V93" s="22"/>
      <c r="W93" s="2"/>
      <c r="X93" s="2">
        <f t="shared" si="2"/>
        <v>-118.7</v>
      </c>
      <c r="Y93" s="2"/>
      <c r="Z93" s="22">
        <f t="shared" si="3"/>
        <v>0</v>
      </c>
    </row>
    <row r="94" spans="1:26" s="24" customFormat="1" hidden="1" outlineLevel="1" x14ac:dyDescent="0.25">
      <c r="A94" s="51"/>
      <c r="B94" s="11" t="str">
        <f>CONCATENATE("          ", "4381", " - ", "SALES RETURN NON TAXABLE-ELECT")</f>
        <v xml:space="preserve">          4381 - SALES RETURN NON TAXABLE-ELECT</v>
      </c>
      <c r="C94" s="11"/>
      <c r="D94" s="2">
        <f t="shared" si="8"/>
        <v>0</v>
      </c>
      <c r="E94" s="2"/>
      <c r="F94" s="22"/>
      <c r="G94" s="2"/>
      <c r="H94" s="2"/>
      <c r="I94" s="2"/>
      <c r="J94" s="22"/>
      <c r="K94" s="2"/>
      <c r="L94" s="2">
        <f t="shared" si="0"/>
        <v>0</v>
      </c>
      <c r="M94" s="2"/>
      <c r="N94" s="22">
        <f t="shared" si="1"/>
        <v>0</v>
      </c>
      <c r="O94" s="11"/>
      <c r="P94" s="2">
        <f>-5624.15</f>
        <v>-5624.15</v>
      </c>
      <c r="Q94" s="2"/>
      <c r="R94" s="22"/>
      <c r="S94" s="2"/>
      <c r="T94" s="2"/>
      <c r="U94" s="2"/>
      <c r="V94" s="22"/>
      <c r="W94" s="2"/>
      <c r="X94" s="2">
        <f t="shared" si="2"/>
        <v>-5624.15</v>
      </c>
      <c r="Y94" s="2"/>
      <c r="Z94" s="22">
        <f t="shared" si="3"/>
        <v>0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collapsed="1" x14ac:dyDescent="0.25">
      <c r="A96" s="10"/>
      <c r="B96" s="25" t="s">
        <v>8</v>
      </c>
      <c r="C96" s="10"/>
      <c r="D96" s="4">
        <f>SUM(OSRRefD16x_0)</f>
        <v>333634.33</v>
      </c>
      <c r="E96" s="4"/>
      <c r="F96" s="12">
        <f t="shared" ref="F96:F137" si="9">IF(D$12=0,0,D96/D$12)</f>
        <v>0.49050848337253966</v>
      </c>
      <c r="G96" s="4"/>
      <c r="H96" s="4">
        <f>SUM(OSRRefH16x_0)</f>
        <v>476560</v>
      </c>
      <c r="I96" s="4"/>
      <c r="J96" s="12">
        <f t="shared" ref="J96:J137" si="10">IF(H$12=0,0,H96/H$12)</f>
        <v>0.3910213438774095</v>
      </c>
      <c r="K96" s="4"/>
      <c r="L96" s="4">
        <f t="shared" ref="L96:L137" si="11">+D96-H96</f>
        <v>-142925.66999999998</v>
      </c>
      <c r="M96" s="4"/>
      <c r="N96" s="12">
        <f t="shared" ref="N96:N137" si="12">IF(H96=0,0,L96/H96)</f>
        <v>-0.29991117592748023</v>
      </c>
      <c r="O96" s="10"/>
      <c r="P96" s="4">
        <f>SUM(OSRRefP16x_0)</f>
        <v>2817354.5100000012</v>
      </c>
      <c r="Q96" s="4"/>
      <c r="R96" s="12">
        <f t="shared" ref="R96:R137" si="13">IF(P$12=0,0,P96/P$12)</f>
        <v>0.66074940859111908</v>
      </c>
      <c r="S96" s="4"/>
      <c r="T96" s="4">
        <f>SUM(OSRRefT16x_0)</f>
        <v>3804717.9999999995</v>
      </c>
      <c r="U96" s="4"/>
      <c r="V96" s="12">
        <f t="shared" ref="V96:V137" si="14">IF(T$12=0,0,T96/T$12)</f>
        <v>0.55715615791781237</v>
      </c>
      <c r="W96" s="4"/>
      <c r="X96" s="4">
        <f t="shared" ref="X96:X137" si="15">+P96-T96</f>
        <v>-987363.48999999836</v>
      </c>
      <c r="Y96" s="4"/>
      <c r="Z96" s="12">
        <f t="shared" ref="Z96:Z137" si="16">IF(T96=0,0,X96/T96)</f>
        <v>-0.25951029484970989</v>
      </c>
    </row>
    <row r="97" spans="1:26" s="24" customFormat="1" hidden="1" outlineLevel="1" x14ac:dyDescent="0.25">
      <c r="A97" s="51"/>
      <c r="B97" s="11" t="str">
        <f>CONCATENATE("          ", "5000", " - ", "PURCHASES @ COST")</f>
        <v xml:space="preserve">          5000 - PURCHASES @ COST</v>
      </c>
      <c r="C97" s="11"/>
      <c r="D97" s="2"/>
      <c r="E97" s="2"/>
      <c r="F97" s="22">
        <f t="shared" si="9"/>
        <v>0</v>
      </c>
      <c r="G97" s="2"/>
      <c r="H97" s="2">
        <v>476560</v>
      </c>
      <c r="I97" s="2"/>
      <c r="J97" s="22">
        <f t="shared" si="10"/>
        <v>0.3910213438774095</v>
      </c>
      <c r="K97" s="2"/>
      <c r="L97" s="2">
        <f t="shared" si="11"/>
        <v>-476560</v>
      </c>
      <c r="M97" s="2"/>
      <c r="N97" s="22">
        <f t="shared" si="12"/>
        <v>-1</v>
      </c>
      <c r="O97" s="11"/>
      <c r="P97" s="2"/>
      <c r="Q97" s="2"/>
      <c r="R97" s="22">
        <f t="shared" si="13"/>
        <v>0</v>
      </c>
      <c r="S97" s="2"/>
      <c r="T97" s="2">
        <v>3804717.9999999995</v>
      </c>
      <c r="U97" s="2"/>
      <c r="V97" s="22">
        <f t="shared" si="14"/>
        <v>0.55715615791781237</v>
      </c>
      <c r="W97" s="2"/>
      <c r="X97" s="2">
        <f t="shared" si="15"/>
        <v>-3804717.9999999995</v>
      </c>
      <c r="Y97" s="2"/>
      <c r="Z97" s="22">
        <f t="shared" si="16"/>
        <v>-1</v>
      </c>
    </row>
    <row r="98" spans="1:26" s="24" customFormat="1" hidden="1" outlineLevel="1" x14ac:dyDescent="0.25">
      <c r="A98" s="51"/>
      <c r="B98" s="11" t="str">
        <f>CONCATENATE("          ", "5001", " - ", "PURCHASES @ COST-NEW TEXT")</f>
        <v xml:space="preserve">          5001 - PURCHASES @ COST-NEW TEXT</v>
      </c>
      <c r="C98" s="11"/>
      <c r="D98" s="2">
        <v>55775.07</v>
      </c>
      <c r="E98" s="2"/>
      <c r="F98" s="22">
        <f t="shared" si="9"/>
        <v>8.200038945541735E-2</v>
      </c>
      <c r="G98" s="2"/>
      <c r="H98" s="2"/>
      <c r="I98" s="2"/>
      <c r="J98" s="22">
        <f t="shared" si="10"/>
        <v>0</v>
      </c>
      <c r="K98" s="2"/>
      <c r="L98" s="2">
        <f t="shared" si="11"/>
        <v>55775.07</v>
      </c>
      <c r="M98" s="2"/>
      <c r="N98" s="22">
        <f t="shared" si="12"/>
        <v>0</v>
      </c>
      <c r="O98" s="11"/>
      <c r="P98" s="2">
        <v>1349196.8299999998</v>
      </c>
      <c r="Q98" s="2"/>
      <c r="R98" s="22">
        <f t="shared" si="13"/>
        <v>0.316424860389867</v>
      </c>
      <c r="S98" s="2"/>
      <c r="T98" s="2"/>
      <c r="U98" s="2"/>
      <c r="V98" s="22">
        <f t="shared" si="14"/>
        <v>0</v>
      </c>
      <c r="W98" s="2"/>
      <c r="X98" s="2">
        <f t="shared" si="15"/>
        <v>1349196.8299999998</v>
      </c>
      <c r="Y98" s="2"/>
      <c r="Z98" s="22">
        <f t="shared" si="16"/>
        <v>0</v>
      </c>
    </row>
    <row r="99" spans="1:26" s="24" customFormat="1" hidden="1" outlineLevel="1" x14ac:dyDescent="0.25">
      <c r="A99" s="51"/>
      <c r="B99" s="11" t="str">
        <f>CONCATENATE("          ", "5002", " - ", "PURCHASES @ COST-USED TEXT")</f>
        <v xml:space="preserve">          5002 - PURCHASES @ COST-USED TEXT</v>
      </c>
      <c r="C99" s="11"/>
      <c r="D99" s="2">
        <v>6331.95</v>
      </c>
      <c r="E99" s="2"/>
      <c r="F99" s="22">
        <f t="shared" si="9"/>
        <v>9.3092194418084983E-3</v>
      </c>
      <c r="G99" s="2"/>
      <c r="H99" s="2"/>
      <c r="I99" s="2"/>
      <c r="J99" s="22">
        <f t="shared" si="10"/>
        <v>0</v>
      </c>
      <c r="K99" s="2"/>
      <c r="L99" s="2">
        <f t="shared" si="11"/>
        <v>6331.95</v>
      </c>
      <c r="M99" s="2"/>
      <c r="N99" s="22">
        <f t="shared" si="12"/>
        <v>0</v>
      </c>
      <c r="O99" s="11"/>
      <c r="P99" s="2">
        <v>303063.33</v>
      </c>
      <c r="Q99" s="2"/>
      <c r="R99" s="22">
        <f t="shared" si="13"/>
        <v>7.1076932403212223E-2</v>
      </c>
      <c r="S99" s="2"/>
      <c r="T99" s="2"/>
      <c r="U99" s="2"/>
      <c r="V99" s="22">
        <f t="shared" si="14"/>
        <v>0</v>
      </c>
      <c r="W99" s="2"/>
      <c r="X99" s="2">
        <f t="shared" si="15"/>
        <v>303063.33</v>
      </c>
      <c r="Y99" s="2"/>
      <c r="Z99" s="22">
        <f t="shared" si="16"/>
        <v>0</v>
      </c>
    </row>
    <row r="100" spans="1:26" s="24" customFormat="1" hidden="1" outlineLevel="1" x14ac:dyDescent="0.25">
      <c r="A100" s="51"/>
      <c r="B100" s="11" t="str">
        <f>CONCATENATE("          ", "5003", " - ", "PURCHASES @ COST-RENTAL TEXT")</f>
        <v xml:space="preserve">          5003 - PURCHASES @ COST-RENTAL TEXT</v>
      </c>
      <c r="C100" s="11"/>
      <c r="D100" s="2">
        <v>10600.69</v>
      </c>
      <c r="E100" s="2"/>
      <c r="F100" s="22">
        <f t="shared" si="9"/>
        <v>1.5585111923591459E-2</v>
      </c>
      <c r="G100" s="2"/>
      <c r="H100" s="2"/>
      <c r="I100" s="2"/>
      <c r="J100" s="22">
        <f t="shared" si="10"/>
        <v>0</v>
      </c>
      <c r="K100" s="2"/>
      <c r="L100" s="2">
        <f t="shared" si="11"/>
        <v>10600.69</v>
      </c>
      <c r="M100" s="2"/>
      <c r="N100" s="22">
        <f t="shared" si="12"/>
        <v>0</v>
      </c>
      <c r="O100" s="11"/>
      <c r="P100" s="2">
        <v>-485.41</v>
      </c>
      <c r="Q100" s="2"/>
      <c r="R100" s="22">
        <f t="shared" si="13"/>
        <v>-1.1384238983265723E-4</v>
      </c>
      <c r="S100" s="2"/>
      <c r="T100" s="2"/>
      <c r="U100" s="2"/>
      <c r="V100" s="22">
        <f t="shared" si="14"/>
        <v>0</v>
      </c>
      <c r="W100" s="2"/>
      <c r="X100" s="2">
        <f t="shared" si="15"/>
        <v>-485.41</v>
      </c>
      <c r="Y100" s="2"/>
      <c r="Z100" s="22">
        <f t="shared" si="16"/>
        <v>0</v>
      </c>
    </row>
    <row r="101" spans="1:26" s="24" customFormat="1" hidden="1" outlineLevel="1" x14ac:dyDescent="0.25">
      <c r="A101" s="51"/>
      <c r="B101" s="11" t="str">
        <f>CONCATENATE("          ", "5004", " - ", "PURCHASES @ COST-DIGITAL TEXT")</f>
        <v xml:space="preserve">          5004 - PURCHASES @ COST-DIGITAL TEXT</v>
      </c>
      <c r="C101" s="11"/>
      <c r="D101" s="2">
        <v>12903.46</v>
      </c>
      <c r="E101" s="2"/>
      <c r="F101" s="22">
        <f t="shared" si="9"/>
        <v>1.8970639486824481E-2</v>
      </c>
      <c r="G101" s="2"/>
      <c r="H101" s="2"/>
      <c r="I101" s="2"/>
      <c r="J101" s="22">
        <f t="shared" si="10"/>
        <v>0</v>
      </c>
      <c r="K101" s="2"/>
      <c r="L101" s="2">
        <f t="shared" si="11"/>
        <v>12903.46</v>
      </c>
      <c r="M101" s="2"/>
      <c r="N101" s="22">
        <f t="shared" si="12"/>
        <v>0</v>
      </c>
      <c r="O101" s="11"/>
      <c r="P101" s="2">
        <v>195519.53</v>
      </c>
      <c r="Q101" s="2"/>
      <c r="R101" s="22">
        <f t="shared" si="13"/>
        <v>4.5854866101147321E-2</v>
      </c>
      <c r="S101" s="2"/>
      <c r="T101" s="2"/>
      <c r="U101" s="2"/>
      <c r="V101" s="22">
        <f t="shared" si="14"/>
        <v>0</v>
      </c>
      <c r="W101" s="2"/>
      <c r="X101" s="2">
        <f t="shared" si="15"/>
        <v>195519.53</v>
      </c>
      <c r="Y101" s="2"/>
      <c r="Z101" s="22">
        <f t="shared" si="16"/>
        <v>0</v>
      </c>
    </row>
    <row r="102" spans="1:26" s="24" customFormat="1" hidden="1" outlineLevel="1" x14ac:dyDescent="0.25">
      <c r="A102" s="51"/>
      <c r="B102" s="11" t="str">
        <f>CONCATENATE("          ", "5011", " - ", "PURCHASES @ COST-NO VALUE TEXT")</f>
        <v xml:space="preserve">          5011 - PURCHASES @ COST-NO VALUE TEXT</v>
      </c>
      <c r="C102" s="11"/>
      <c r="D102" s="2">
        <v>67.17</v>
      </c>
      <c r="E102" s="2"/>
      <c r="F102" s="22">
        <f t="shared" si="9"/>
        <v>9.8753191340152227E-5</v>
      </c>
      <c r="G102" s="2"/>
      <c r="H102" s="2"/>
      <c r="I102" s="2"/>
      <c r="J102" s="22">
        <f t="shared" si="10"/>
        <v>0</v>
      </c>
      <c r="K102" s="2"/>
      <c r="L102" s="2">
        <f t="shared" si="11"/>
        <v>67.17</v>
      </c>
      <c r="M102" s="2"/>
      <c r="N102" s="22">
        <f t="shared" si="12"/>
        <v>0</v>
      </c>
      <c r="O102" s="11"/>
      <c r="P102" s="2">
        <v>67.17</v>
      </c>
      <c r="Q102" s="2"/>
      <c r="R102" s="22">
        <f t="shared" si="13"/>
        <v>1.5753266980613473E-5</v>
      </c>
      <c r="S102" s="2"/>
      <c r="T102" s="2"/>
      <c r="U102" s="2"/>
      <c r="V102" s="22">
        <f t="shared" si="14"/>
        <v>0</v>
      </c>
      <c r="W102" s="2"/>
      <c r="X102" s="2">
        <f t="shared" si="15"/>
        <v>67.17</v>
      </c>
      <c r="Y102" s="2"/>
      <c r="Z102" s="22">
        <f t="shared" si="16"/>
        <v>0</v>
      </c>
    </row>
    <row r="103" spans="1:26" s="24" customFormat="1" hidden="1" outlineLevel="1" x14ac:dyDescent="0.25">
      <c r="A103" s="51"/>
      <c r="B103" s="11" t="str">
        <f>CONCATENATE("          ", "5013", " - ", "PURCHASES @ COST-TRADE BOOKS")</f>
        <v xml:space="preserve">          5013 - PURCHASES @ COST-TRADE BOOKS</v>
      </c>
      <c r="C103" s="11"/>
      <c r="D103" s="2">
        <v>1384.46</v>
      </c>
      <c r="E103" s="2"/>
      <c r="F103" s="22">
        <f t="shared" si="9"/>
        <v>2.0354301515972477E-3</v>
      </c>
      <c r="G103" s="2"/>
      <c r="H103" s="2"/>
      <c r="I103" s="2"/>
      <c r="J103" s="22">
        <f t="shared" si="10"/>
        <v>0</v>
      </c>
      <c r="K103" s="2"/>
      <c r="L103" s="2">
        <f t="shared" si="11"/>
        <v>1384.46</v>
      </c>
      <c r="M103" s="2"/>
      <c r="N103" s="22">
        <f t="shared" si="12"/>
        <v>0</v>
      </c>
      <c r="O103" s="11"/>
      <c r="P103" s="2">
        <v>1483.64</v>
      </c>
      <c r="Q103" s="2"/>
      <c r="R103" s="22">
        <f t="shared" si="13"/>
        <v>3.4795559063744791E-4</v>
      </c>
      <c r="S103" s="2"/>
      <c r="T103" s="2"/>
      <c r="U103" s="2"/>
      <c r="V103" s="22">
        <f t="shared" si="14"/>
        <v>0</v>
      </c>
      <c r="W103" s="2"/>
      <c r="X103" s="2">
        <f t="shared" si="15"/>
        <v>1483.64</v>
      </c>
      <c r="Y103" s="2"/>
      <c r="Z103" s="22">
        <f t="shared" si="16"/>
        <v>0</v>
      </c>
    </row>
    <row r="104" spans="1:26" s="24" customFormat="1" hidden="1" outlineLevel="1" x14ac:dyDescent="0.25">
      <c r="A104" s="51"/>
      <c r="B104" s="11" t="str">
        <f>CONCATENATE("          ", "5014", " - ", "PURCHASES @ COST-REMAINDERS")</f>
        <v xml:space="preserve">          5014 - PURCHASES @ COST-REMAINDERS</v>
      </c>
      <c r="C104" s="11"/>
      <c r="D104" s="2">
        <v>102.92</v>
      </c>
      <c r="E104" s="2"/>
      <c r="F104" s="22">
        <f t="shared" si="9"/>
        <v>1.5131276541206589E-4</v>
      </c>
      <c r="G104" s="2"/>
      <c r="H104" s="2"/>
      <c r="I104" s="2"/>
      <c r="J104" s="22">
        <f t="shared" si="10"/>
        <v>0</v>
      </c>
      <c r="K104" s="2"/>
      <c r="L104" s="2">
        <f t="shared" si="11"/>
        <v>102.92</v>
      </c>
      <c r="M104" s="2"/>
      <c r="N104" s="22">
        <f t="shared" si="12"/>
        <v>0</v>
      </c>
      <c r="O104" s="11"/>
      <c r="P104" s="2">
        <v>90.41</v>
      </c>
      <c r="Q104" s="2"/>
      <c r="R104" s="22">
        <f t="shared" si="13"/>
        <v>2.1203705042686675E-5</v>
      </c>
      <c r="S104" s="2"/>
      <c r="T104" s="2"/>
      <c r="U104" s="2"/>
      <c r="V104" s="22">
        <f t="shared" si="14"/>
        <v>0</v>
      </c>
      <c r="W104" s="2"/>
      <c r="X104" s="2">
        <f t="shared" si="15"/>
        <v>90.41</v>
      </c>
      <c r="Y104" s="2"/>
      <c r="Z104" s="22">
        <f t="shared" si="16"/>
        <v>0</v>
      </c>
    </row>
    <row r="105" spans="1:26" s="24" customFormat="1" hidden="1" outlineLevel="1" x14ac:dyDescent="0.25">
      <c r="A105" s="51"/>
      <c r="B105" s="11" t="str">
        <f>CONCATENATE("          ", "5025", " - ", "PURCHASES @ COST-TEST FORMS")</f>
        <v xml:space="preserve">          5025 - PURCHASES @ COST-TEST FORMS</v>
      </c>
      <c r="C105" s="11"/>
      <c r="D105" s="2">
        <v>599.29</v>
      </c>
      <c r="E105" s="2"/>
      <c r="F105" s="22">
        <f t="shared" si="9"/>
        <v>8.8107488519040972E-4</v>
      </c>
      <c r="G105" s="2"/>
      <c r="H105" s="2"/>
      <c r="I105" s="2"/>
      <c r="J105" s="22">
        <f t="shared" si="10"/>
        <v>0</v>
      </c>
      <c r="K105" s="2"/>
      <c r="L105" s="2">
        <f t="shared" si="11"/>
        <v>599.29</v>
      </c>
      <c r="M105" s="2"/>
      <c r="N105" s="22">
        <f t="shared" si="12"/>
        <v>0</v>
      </c>
      <c r="O105" s="11"/>
      <c r="P105" s="2">
        <v>599.29</v>
      </c>
      <c r="Q105" s="2"/>
      <c r="R105" s="22">
        <f t="shared" si="13"/>
        <v>1.4055047445007962E-4</v>
      </c>
      <c r="S105" s="2"/>
      <c r="T105" s="2"/>
      <c r="U105" s="2"/>
      <c r="V105" s="22">
        <f t="shared" si="14"/>
        <v>0</v>
      </c>
      <c r="W105" s="2"/>
      <c r="X105" s="2">
        <f t="shared" si="15"/>
        <v>599.29</v>
      </c>
      <c r="Y105" s="2"/>
      <c r="Z105" s="22">
        <f t="shared" si="16"/>
        <v>0</v>
      </c>
    </row>
    <row r="106" spans="1:26" s="24" customFormat="1" hidden="1" outlineLevel="1" x14ac:dyDescent="0.25">
      <c r="A106" s="51"/>
      <c r="B106" s="11" t="str">
        <f>CONCATENATE("          ", "5026", " - ", "PURCHASES @ COST-WRITING INSTR")</f>
        <v xml:space="preserve">          5026 - PURCHASES @ COST-WRITING INSTR</v>
      </c>
      <c r="C106" s="11"/>
      <c r="D106" s="2">
        <v>380.02</v>
      </c>
      <c r="E106" s="2"/>
      <c r="F106" s="22">
        <f t="shared" si="9"/>
        <v>5.5870459688975207E-4</v>
      </c>
      <c r="G106" s="2"/>
      <c r="H106" s="2"/>
      <c r="I106" s="2"/>
      <c r="J106" s="22">
        <f t="shared" si="10"/>
        <v>0</v>
      </c>
      <c r="K106" s="2"/>
      <c r="L106" s="2">
        <f t="shared" si="11"/>
        <v>380.02</v>
      </c>
      <c r="M106" s="2"/>
      <c r="N106" s="22">
        <f t="shared" si="12"/>
        <v>0</v>
      </c>
      <c r="O106" s="11"/>
      <c r="P106" s="2">
        <v>380.02</v>
      </c>
      <c r="Q106" s="2"/>
      <c r="R106" s="22">
        <f t="shared" si="13"/>
        <v>8.9125450617429382E-5</v>
      </c>
      <c r="S106" s="2"/>
      <c r="T106" s="2"/>
      <c r="U106" s="2"/>
      <c r="V106" s="22">
        <f t="shared" si="14"/>
        <v>0</v>
      </c>
      <c r="W106" s="2"/>
      <c r="X106" s="2">
        <f t="shared" si="15"/>
        <v>380.02</v>
      </c>
      <c r="Y106" s="2"/>
      <c r="Z106" s="22">
        <f t="shared" si="16"/>
        <v>0</v>
      </c>
    </row>
    <row r="107" spans="1:26" s="24" customFormat="1" hidden="1" outlineLevel="1" x14ac:dyDescent="0.25">
      <c r="A107" s="51"/>
      <c r="B107" s="11" t="str">
        <f>CONCATENATE("          ", "5027", " - ", "PURCHASES @ COST-SCHOOL SUPPLI")</f>
        <v xml:space="preserve">          5027 - PURCHASES @ COST-SCHOOL SUPPLI</v>
      </c>
      <c r="C107" s="11"/>
      <c r="D107" s="2">
        <v>10567.95</v>
      </c>
      <c r="E107" s="2"/>
      <c r="F107" s="22">
        <f t="shared" si="9"/>
        <v>1.5536977645126718E-2</v>
      </c>
      <c r="G107" s="2"/>
      <c r="H107" s="2"/>
      <c r="I107" s="2"/>
      <c r="J107" s="22">
        <f t="shared" si="10"/>
        <v>0</v>
      </c>
      <c r="K107" s="2"/>
      <c r="L107" s="2">
        <f t="shared" si="11"/>
        <v>10567.95</v>
      </c>
      <c r="M107" s="2"/>
      <c r="N107" s="22">
        <f t="shared" si="12"/>
        <v>0</v>
      </c>
      <c r="O107" s="11"/>
      <c r="P107" s="2">
        <v>19071.350000000002</v>
      </c>
      <c r="Q107" s="2"/>
      <c r="R107" s="22">
        <f t="shared" si="13"/>
        <v>4.4727715978967212E-3</v>
      </c>
      <c r="S107" s="2"/>
      <c r="T107" s="2"/>
      <c r="U107" s="2"/>
      <c r="V107" s="22">
        <f t="shared" si="14"/>
        <v>0</v>
      </c>
      <c r="W107" s="2"/>
      <c r="X107" s="2">
        <f t="shared" si="15"/>
        <v>19071.350000000002</v>
      </c>
      <c r="Y107" s="2"/>
      <c r="Z107" s="22">
        <f t="shared" si="16"/>
        <v>0</v>
      </c>
    </row>
    <row r="108" spans="1:26" s="24" customFormat="1" hidden="1" outlineLevel="1" x14ac:dyDescent="0.25">
      <c r="A108" s="51"/>
      <c r="B108" s="11" t="str">
        <f>CONCATENATE("          ", "5028", " - ", "PURCHASES @ COST-ART/TECH")</f>
        <v xml:space="preserve">          5028 - PURCHASES @ COST-ART/TECH</v>
      </c>
      <c r="C108" s="11"/>
      <c r="D108" s="2">
        <v>41425.96</v>
      </c>
      <c r="E108" s="2"/>
      <c r="F108" s="22">
        <f t="shared" si="9"/>
        <v>6.0904358408954772E-2</v>
      </c>
      <c r="G108" s="2"/>
      <c r="H108" s="2"/>
      <c r="I108" s="2"/>
      <c r="J108" s="22">
        <f t="shared" si="10"/>
        <v>0</v>
      </c>
      <c r="K108" s="2"/>
      <c r="L108" s="2">
        <f t="shared" si="11"/>
        <v>41425.96</v>
      </c>
      <c r="M108" s="2"/>
      <c r="N108" s="22">
        <f t="shared" si="12"/>
        <v>0</v>
      </c>
      <c r="O108" s="11"/>
      <c r="P108" s="2">
        <v>41342.559999999998</v>
      </c>
      <c r="Q108" s="2"/>
      <c r="R108" s="22">
        <f t="shared" si="13"/>
        <v>9.6960009727859366E-3</v>
      </c>
      <c r="S108" s="2"/>
      <c r="T108" s="2"/>
      <c r="U108" s="2"/>
      <c r="V108" s="22">
        <f t="shared" si="14"/>
        <v>0</v>
      </c>
      <c r="W108" s="2"/>
      <c r="X108" s="2">
        <f t="shared" si="15"/>
        <v>41342.559999999998</v>
      </c>
      <c r="Y108" s="2"/>
      <c r="Z108" s="22">
        <f t="shared" si="16"/>
        <v>0</v>
      </c>
    </row>
    <row r="109" spans="1:26" s="24" customFormat="1" hidden="1" outlineLevel="1" x14ac:dyDescent="0.25">
      <c r="A109" s="51"/>
      <c r="B109" s="11" t="str">
        <f>CONCATENATE("          ", "5031", " - ", "PURCHASES @ COST-FOOD")</f>
        <v xml:space="preserve">          5031 - PURCHASES @ COST-FOOD</v>
      </c>
      <c r="C109" s="11"/>
      <c r="D109" s="2">
        <v>4469.18</v>
      </c>
      <c r="E109" s="2"/>
      <c r="F109" s="22">
        <f t="shared" si="9"/>
        <v>6.570578944075949E-3</v>
      </c>
      <c r="G109" s="2"/>
      <c r="H109" s="2"/>
      <c r="I109" s="2"/>
      <c r="J109" s="22">
        <f t="shared" si="10"/>
        <v>0</v>
      </c>
      <c r="K109" s="2"/>
      <c r="L109" s="2">
        <f t="shared" si="11"/>
        <v>4469.18</v>
      </c>
      <c r="M109" s="2"/>
      <c r="N109" s="22">
        <f t="shared" si="12"/>
        <v>0</v>
      </c>
      <c r="O109" s="11"/>
      <c r="P109" s="2">
        <v>8535.1</v>
      </c>
      <c r="Q109" s="2"/>
      <c r="R109" s="22">
        <f t="shared" si="13"/>
        <v>2.0017226292427283E-3</v>
      </c>
      <c r="S109" s="2"/>
      <c r="T109" s="2"/>
      <c r="U109" s="2"/>
      <c r="V109" s="22">
        <f t="shared" si="14"/>
        <v>0</v>
      </c>
      <c r="W109" s="2"/>
      <c r="X109" s="2">
        <f t="shared" si="15"/>
        <v>8535.1</v>
      </c>
      <c r="Y109" s="2"/>
      <c r="Z109" s="22">
        <f t="shared" si="16"/>
        <v>0</v>
      </c>
    </row>
    <row r="110" spans="1:26" s="24" customFormat="1" hidden="1" outlineLevel="1" x14ac:dyDescent="0.25">
      <c r="A110" s="51"/>
      <c r="B110" s="11" t="str">
        <f>CONCATENATE("          ", "5040", " - ", "PURCHASES @ COST-LOGO CLOTHING")</f>
        <v xml:space="preserve">          5040 - PURCHASES @ COST-LOGO CLOTHING</v>
      </c>
      <c r="C110" s="11"/>
      <c r="D110" s="2">
        <v>25420.9</v>
      </c>
      <c r="E110" s="2"/>
      <c r="F110" s="22">
        <f t="shared" si="9"/>
        <v>3.7373753189502389E-2</v>
      </c>
      <c r="G110" s="2"/>
      <c r="H110" s="2"/>
      <c r="I110" s="2"/>
      <c r="J110" s="22">
        <f t="shared" si="10"/>
        <v>0</v>
      </c>
      <c r="K110" s="2"/>
      <c r="L110" s="2">
        <f t="shared" si="11"/>
        <v>25420.9</v>
      </c>
      <c r="M110" s="2"/>
      <c r="N110" s="22">
        <f t="shared" si="12"/>
        <v>0</v>
      </c>
      <c r="O110" s="11"/>
      <c r="P110" s="2">
        <v>39170.950000000004</v>
      </c>
      <c r="Q110" s="2"/>
      <c r="R110" s="22">
        <f t="shared" si="13"/>
        <v>9.1866969366422718E-3</v>
      </c>
      <c r="S110" s="2"/>
      <c r="T110" s="2"/>
      <c r="U110" s="2"/>
      <c r="V110" s="22">
        <f t="shared" si="14"/>
        <v>0</v>
      </c>
      <c r="W110" s="2"/>
      <c r="X110" s="2">
        <f t="shared" si="15"/>
        <v>39170.950000000004</v>
      </c>
      <c r="Y110" s="2"/>
      <c r="Z110" s="22">
        <f t="shared" si="16"/>
        <v>0</v>
      </c>
    </row>
    <row r="111" spans="1:26" s="24" customFormat="1" hidden="1" outlineLevel="1" x14ac:dyDescent="0.25">
      <c r="A111" s="51"/>
      <c r="B111" s="11" t="str">
        <f>CONCATENATE("          ", "5041", " - ", "PURCHASES @ COST-LOGO GIFTS")</f>
        <v xml:space="preserve">          5041 - PURCHASES @ COST-LOGO GIFTS</v>
      </c>
      <c r="C111" s="11"/>
      <c r="D111" s="2">
        <v>15289.8</v>
      </c>
      <c r="E111" s="2"/>
      <c r="F111" s="22">
        <f t="shared" si="9"/>
        <v>2.2479031486566315E-2</v>
      </c>
      <c r="G111" s="2"/>
      <c r="H111" s="2"/>
      <c r="I111" s="2"/>
      <c r="J111" s="22">
        <f t="shared" si="10"/>
        <v>0</v>
      </c>
      <c r="K111" s="2"/>
      <c r="L111" s="2">
        <f t="shared" si="11"/>
        <v>15289.8</v>
      </c>
      <c r="M111" s="2"/>
      <c r="N111" s="22">
        <f t="shared" si="12"/>
        <v>0</v>
      </c>
      <c r="O111" s="11"/>
      <c r="P111" s="2">
        <v>17287.34</v>
      </c>
      <c r="Q111" s="2"/>
      <c r="R111" s="22">
        <f t="shared" si="13"/>
        <v>4.0543707370051885E-3</v>
      </c>
      <c r="S111" s="2"/>
      <c r="T111" s="2"/>
      <c r="U111" s="2"/>
      <c r="V111" s="22">
        <f t="shared" si="14"/>
        <v>0</v>
      </c>
      <c r="W111" s="2"/>
      <c r="X111" s="2">
        <f t="shared" si="15"/>
        <v>17287.34</v>
      </c>
      <c r="Y111" s="2"/>
      <c r="Z111" s="22">
        <f t="shared" si="16"/>
        <v>0</v>
      </c>
    </row>
    <row r="112" spans="1:26" s="24" customFormat="1" hidden="1" outlineLevel="1" x14ac:dyDescent="0.25">
      <c r="A112" s="51"/>
      <c r="B112" s="11" t="str">
        <f>CONCATENATE("          ", "5042", " - ", "PURCHASES @ COST-EVERYDAY GIFT")</f>
        <v xml:space="preserve">          5042 - PURCHASES @ COST-EVERYDAY GIFT</v>
      </c>
      <c r="C112" s="11"/>
      <c r="D112" s="2">
        <v>9421.5300000000007</v>
      </c>
      <c r="E112" s="2"/>
      <c r="F112" s="22">
        <f t="shared" si="9"/>
        <v>1.3851513395965229E-2</v>
      </c>
      <c r="G112" s="2"/>
      <c r="H112" s="2"/>
      <c r="I112" s="2"/>
      <c r="J112" s="22">
        <f t="shared" si="10"/>
        <v>0</v>
      </c>
      <c r="K112" s="2"/>
      <c r="L112" s="2">
        <f t="shared" si="11"/>
        <v>9421.5300000000007</v>
      </c>
      <c r="M112" s="2"/>
      <c r="N112" s="22">
        <f t="shared" si="12"/>
        <v>0</v>
      </c>
      <c r="O112" s="11"/>
      <c r="P112" s="2">
        <v>10912.68</v>
      </c>
      <c r="Q112" s="2"/>
      <c r="R112" s="22">
        <f t="shared" si="13"/>
        <v>2.5593324626172554E-3</v>
      </c>
      <c r="S112" s="2"/>
      <c r="T112" s="2"/>
      <c r="U112" s="2"/>
      <c r="V112" s="22">
        <f t="shared" si="14"/>
        <v>0</v>
      </c>
      <c r="W112" s="2"/>
      <c r="X112" s="2">
        <f t="shared" si="15"/>
        <v>10912.68</v>
      </c>
      <c r="Y112" s="2"/>
      <c r="Z112" s="22">
        <f t="shared" si="16"/>
        <v>0</v>
      </c>
    </row>
    <row r="113" spans="1:26" s="24" customFormat="1" hidden="1" outlineLevel="1" x14ac:dyDescent="0.25">
      <c r="A113" s="51"/>
      <c r="B113" s="11" t="str">
        <f>CONCATENATE("          ", "5043", " - ", "PURCHASES @ COST-CARDS")</f>
        <v xml:space="preserve">          5043 - PURCHASES @ COST-CARDS</v>
      </c>
      <c r="C113" s="11"/>
      <c r="D113" s="2">
        <v>2526.75</v>
      </c>
      <c r="E113" s="2"/>
      <c r="F113" s="22">
        <f t="shared" si="9"/>
        <v>3.7148224835302905E-3</v>
      </c>
      <c r="G113" s="2"/>
      <c r="H113" s="2"/>
      <c r="I113" s="2"/>
      <c r="J113" s="22">
        <f t="shared" si="10"/>
        <v>0</v>
      </c>
      <c r="K113" s="2"/>
      <c r="L113" s="2">
        <f t="shared" si="11"/>
        <v>2526.75</v>
      </c>
      <c r="M113" s="2"/>
      <c r="N113" s="22">
        <f t="shared" si="12"/>
        <v>0</v>
      </c>
      <c r="O113" s="11"/>
      <c r="P113" s="2">
        <v>5643</v>
      </c>
      <c r="Q113" s="2"/>
      <c r="R113" s="22">
        <f t="shared" si="13"/>
        <v>1.3234432867589971E-3</v>
      </c>
      <c r="S113" s="2"/>
      <c r="T113" s="2"/>
      <c r="U113" s="2"/>
      <c r="V113" s="22">
        <f t="shared" si="14"/>
        <v>0</v>
      </c>
      <c r="W113" s="2"/>
      <c r="X113" s="2">
        <f t="shared" si="15"/>
        <v>5643</v>
      </c>
      <c r="Y113" s="2"/>
      <c r="Z113" s="22">
        <f t="shared" si="16"/>
        <v>0</v>
      </c>
    </row>
    <row r="114" spans="1:26" s="24" customFormat="1" hidden="1" outlineLevel="1" x14ac:dyDescent="0.25">
      <c r="A114" s="51"/>
      <c r="B114" s="11" t="str">
        <f>CONCATENATE("          ", "5045", " - ", "PURCHASES @ COST-SPECIAL ORDER")</f>
        <v xml:space="preserve">          5045 - PURCHASES @ COST-SPECIAL ORDER</v>
      </c>
      <c r="C114" s="11"/>
      <c r="D114" s="2">
        <v>10080.23</v>
      </c>
      <c r="E114" s="2"/>
      <c r="F114" s="22">
        <f t="shared" si="9"/>
        <v>1.4819932736976961E-2</v>
      </c>
      <c r="G114" s="2"/>
      <c r="H114" s="2"/>
      <c r="I114" s="2"/>
      <c r="J114" s="22">
        <f t="shared" si="10"/>
        <v>0</v>
      </c>
      <c r="K114" s="2"/>
      <c r="L114" s="2">
        <f t="shared" si="11"/>
        <v>10080.23</v>
      </c>
      <c r="M114" s="2"/>
      <c r="N114" s="22">
        <f t="shared" si="12"/>
        <v>0</v>
      </c>
      <c r="O114" s="11"/>
      <c r="P114" s="2">
        <v>71254.52</v>
      </c>
      <c r="Q114" s="2"/>
      <c r="R114" s="22">
        <f t="shared" si="13"/>
        <v>1.6711202577571273E-2</v>
      </c>
      <c r="S114" s="2"/>
      <c r="T114" s="2"/>
      <c r="U114" s="2"/>
      <c r="V114" s="22">
        <f t="shared" si="14"/>
        <v>0</v>
      </c>
      <c r="W114" s="2"/>
      <c r="X114" s="2">
        <f t="shared" si="15"/>
        <v>71254.52</v>
      </c>
      <c r="Y114" s="2"/>
      <c r="Z114" s="22">
        <f t="shared" si="16"/>
        <v>0</v>
      </c>
    </row>
    <row r="115" spans="1:26" s="24" customFormat="1" hidden="1" outlineLevel="1" x14ac:dyDescent="0.25">
      <c r="A115" s="51"/>
      <c r="B115" s="11" t="str">
        <f>CONCATENATE("          ", "5053", " - ", "PURCHASES @ COST-FOOD")</f>
        <v xml:space="preserve">          5053 - PURCHASES @ COST-FOOD</v>
      </c>
      <c r="C115" s="11"/>
      <c r="D115" s="2">
        <v>64600.930000000008</v>
      </c>
      <c r="E115" s="2"/>
      <c r="F115" s="22">
        <f t="shared" si="9"/>
        <v>9.4976150082503805E-2</v>
      </c>
      <c r="G115" s="2"/>
      <c r="H115" s="2"/>
      <c r="I115" s="2"/>
      <c r="J115" s="22">
        <f t="shared" si="10"/>
        <v>0</v>
      </c>
      <c r="K115" s="2"/>
      <c r="L115" s="2">
        <f t="shared" si="11"/>
        <v>64600.930000000008</v>
      </c>
      <c r="M115" s="2"/>
      <c r="N115" s="22">
        <f t="shared" si="12"/>
        <v>0</v>
      </c>
      <c r="O115" s="11"/>
      <c r="P115" s="2">
        <v>192681.29</v>
      </c>
      <c r="Q115" s="2"/>
      <c r="R115" s="22">
        <f t="shared" si="13"/>
        <v>4.5189218453759256E-2</v>
      </c>
      <c r="S115" s="2"/>
      <c r="T115" s="2"/>
      <c r="U115" s="2"/>
      <c r="V115" s="22">
        <f t="shared" si="14"/>
        <v>0</v>
      </c>
      <c r="W115" s="2"/>
      <c r="X115" s="2">
        <f t="shared" si="15"/>
        <v>192681.29</v>
      </c>
      <c r="Y115" s="2"/>
      <c r="Z115" s="22">
        <f t="shared" si="16"/>
        <v>0</v>
      </c>
    </row>
    <row r="116" spans="1:26" s="24" customFormat="1" hidden="1" outlineLevel="1" x14ac:dyDescent="0.25">
      <c r="A116" s="51"/>
      <c r="B116" s="11" t="str">
        <f>CONCATENATE("          ", "5059", " - ", "PURCHASES @ COST-FOOD")</f>
        <v xml:space="preserve">          5059 - PURCHASES @ COST-FOOD</v>
      </c>
      <c r="C116" s="11"/>
      <c r="D116" s="2">
        <v>25839.9</v>
      </c>
      <c r="E116" s="2"/>
      <c r="F116" s="22">
        <f t="shared" si="9"/>
        <v>3.7989766099603979E-2</v>
      </c>
      <c r="G116" s="2"/>
      <c r="H116" s="2"/>
      <c r="I116" s="2"/>
      <c r="J116" s="22">
        <f t="shared" si="10"/>
        <v>0</v>
      </c>
      <c r="K116" s="2"/>
      <c r="L116" s="2">
        <f t="shared" si="11"/>
        <v>25839.9</v>
      </c>
      <c r="M116" s="2"/>
      <c r="N116" s="22">
        <f t="shared" si="12"/>
        <v>0</v>
      </c>
      <c r="O116" s="11"/>
      <c r="P116" s="2">
        <v>2968.29</v>
      </c>
      <c r="Q116" s="2"/>
      <c r="R116" s="22">
        <f t="shared" si="13"/>
        <v>6.961480548739789E-4</v>
      </c>
      <c r="S116" s="2"/>
      <c r="T116" s="2"/>
      <c r="U116" s="2"/>
      <c r="V116" s="22">
        <f t="shared" si="14"/>
        <v>0</v>
      </c>
      <c r="W116" s="2"/>
      <c r="X116" s="2">
        <f t="shared" si="15"/>
        <v>2968.29</v>
      </c>
      <c r="Y116" s="2"/>
      <c r="Z116" s="22">
        <f t="shared" si="16"/>
        <v>0</v>
      </c>
    </row>
    <row r="117" spans="1:26" s="24" customFormat="1" hidden="1" outlineLevel="1" x14ac:dyDescent="0.25">
      <c r="A117" s="51"/>
      <c r="B117" s="11" t="str">
        <f>CONCATENATE("          ", "5081", " - ", "PURCHASES @ COST-ELECTRONICS")</f>
        <v xml:space="preserve">          5081 - PURCHASES @ COST-ELECTRONICS</v>
      </c>
      <c r="C117" s="11"/>
      <c r="D117" s="2">
        <v>6249.76</v>
      </c>
      <c r="E117" s="2"/>
      <c r="F117" s="22">
        <f t="shared" si="9"/>
        <v>9.1883838783687628E-3</v>
      </c>
      <c r="G117" s="2"/>
      <c r="H117" s="2"/>
      <c r="I117" s="2"/>
      <c r="J117" s="22">
        <f t="shared" si="10"/>
        <v>0</v>
      </c>
      <c r="K117" s="2"/>
      <c r="L117" s="2">
        <f t="shared" si="11"/>
        <v>6249.76</v>
      </c>
      <c r="M117" s="2"/>
      <c r="N117" s="22">
        <f t="shared" si="12"/>
        <v>0</v>
      </c>
      <c r="O117" s="11"/>
      <c r="P117" s="2">
        <v>21947.21</v>
      </c>
      <c r="Q117" s="2"/>
      <c r="R117" s="22">
        <f t="shared" si="13"/>
        <v>5.1472422005298469E-3</v>
      </c>
      <c r="S117" s="2"/>
      <c r="T117" s="2"/>
      <c r="U117" s="2"/>
      <c r="V117" s="22">
        <f t="shared" si="14"/>
        <v>0</v>
      </c>
      <c r="W117" s="2"/>
      <c r="X117" s="2">
        <f t="shared" si="15"/>
        <v>21947.21</v>
      </c>
      <c r="Y117" s="2"/>
      <c r="Z117" s="22">
        <f t="shared" si="16"/>
        <v>0</v>
      </c>
    </row>
    <row r="118" spans="1:26" s="24" customFormat="1" hidden="1" outlineLevel="1" x14ac:dyDescent="0.25">
      <c r="A118" s="51"/>
      <c r="B118" s="11" t="str">
        <f>CONCATENATE("          ", "5082", " - ", "PURCHASES @ COST-COMPUTER HARD")</f>
        <v xml:space="preserve">          5082 - PURCHASES @ COST-COMPUTER HARD</v>
      </c>
      <c r="C118" s="11"/>
      <c r="D118" s="2">
        <v>175404.87</v>
      </c>
      <c r="E118" s="2"/>
      <c r="F118" s="22">
        <f t="shared" si="9"/>
        <v>0.25787986733816476</v>
      </c>
      <c r="G118" s="2"/>
      <c r="H118" s="2"/>
      <c r="I118" s="2"/>
      <c r="J118" s="22">
        <f t="shared" si="10"/>
        <v>0</v>
      </c>
      <c r="K118" s="2"/>
      <c r="L118" s="2">
        <f t="shared" si="11"/>
        <v>175404.87</v>
      </c>
      <c r="M118" s="2"/>
      <c r="N118" s="22">
        <f t="shared" si="12"/>
        <v>0</v>
      </c>
      <c r="O118" s="11"/>
      <c r="P118" s="2">
        <v>888778.08000000007</v>
      </c>
      <c r="Q118" s="2"/>
      <c r="R118" s="22">
        <f t="shared" si="13"/>
        <v>0.2084436263325449</v>
      </c>
      <c r="S118" s="2"/>
      <c r="T118" s="2"/>
      <c r="U118" s="2"/>
      <c r="V118" s="22">
        <f t="shared" si="14"/>
        <v>0</v>
      </c>
      <c r="W118" s="2"/>
      <c r="X118" s="2">
        <f t="shared" si="15"/>
        <v>888778.08000000007</v>
      </c>
      <c r="Y118" s="2"/>
      <c r="Z118" s="22">
        <f t="shared" si="16"/>
        <v>0</v>
      </c>
    </row>
    <row r="119" spans="1:26" s="24" customFormat="1" hidden="1" outlineLevel="1" x14ac:dyDescent="0.25">
      <c r="A119" s="51"/>
      <c r="B119" s="11" t="str">
        <f>CONCATENATE("          ", "5083", " - ", "PURCHASES @ COST-COMPUTER EQUI")</f>
        <v xml:space="preserve">          5083 - PURCHASES @ COST-COMPUTER EQUI</v>
      </c>
      <c r="C119" s="11"/>
      <c r="D119" s="2">
        <v>11838.95</v>
      </c>
      <c r="E119" s="2"/>
      <c r="F119" s="22">
        <f t="shared" si="9"/>
        <v>1.7405599145697413E-2</v>
      </c>
      <c r="G119" s="2"/>
      <c r="H119" s="2"/>
      <c r="I119" s="2"/>
      <c r="J119" s="22">
        <f t="shared" si="10"/>
        <v>0</v>
      </c>
      <c r="K119" s="2"/>
      <c r="L119" s="2">
        <f t="shared" si="11"/>
        <v>11838.95</v>
      </c>
      <c r="M119" s="2"/>
      <c r="N119" s="22">
        <f t="shared" si="12"/>
        <v>0</v>
      </c>
      <c r="O119" s="11"/>
      <c r="P119" s="2">
        <v>73272.95</v>
      </c>
      <c r="Q119" s="2"/>
      <c r="R119" s="22">
        <f t="shared" si="13"/>
        <v>1.7184581566281703E-2</v>
      </c>
      <c r="S119" s="2"/>
      <c r="T119" s="2"/>
      <c r="U119" s="2"/>
      <c r="V119" s="22">
        <f t="shared" si="14"/>
        <v>0</v>
      </c>
      <c r="W119" s="2"/>
      <c r="X119" s="2">
        <f t="shared" si="15"/>
        <v>73272.95</v>
      </c>
      <c r="Y119" s="2"/>
      <c r="Z119" s="22">
        <f t="shared" si="16"/>
        <v>0</v>
      </c>
    </row>
    <row r="120" spans="1:26" s="24" customFormat="1" hidden="1" outlineLevel="1" x14ac:dyDescent="0.25">
      <c r="A120" s="51"/>
      <c r="B120" s="11" t="str">
        <f>CONCATENATE("          ", "5085", " - ", "PURCHASES @ COST-SOFTWARE")</f>
        <v xml:space="preserve">          5085 - PURCHASES @ COST-SOFTWARE</v>
      </c>
      <c r="C120" s="11"/>
      <c r="D120" s="2">
        <v>5843.52</v>
      </c>
      <c r="E120" s="2"/>
      <c r="F120" s="22">
        <f t="shared" si="9"/>
        <v>8.5911306931666861E-3</v>
      </c>
      <c r="G120" s="2"/>
      <c r="H120" s="2"/>
      <c r="I120" s="2"/>
      <c r="J120" s="22">
        <f t="shared" si="10"/>
        <v>0</v>
      </c>
      <c r="K120" s="2"/>
      <c r="L120" s="2">
        <f t="shared" si="11"/>
        <v>5843.52</v>
      </c>
      <c r="M120" s="2"/>
      <c r="N120" s="22">
        <f t="shared" si="12"/>
        <v>0</v>
      </c>
      <c r="O120" s="11"/>
      <c r="P120" s="2">
        <v>20681.2</v>
      </c>
      <c r="Q120" s="2"/>
      <c r="R120" s="22">
        <f t="shared" si="13"/>
        <v>4.8503270072869338E-3</v>
      </c>
      <c r="S120" s="2"/>
      <c r="T120" s="2"/>
      <c r="U120" s="2"/>
      <c r="V120" s="22">
        <f t="shared" si="14"/>
        <v>0</v>
      </c>
      <c r="W120" s="2"/>
      <c r="X120" s="2">
        <f t="shared" si="15"/>
        <v>20681.2</v>
      </c>
      <c r="Y120" s="2"/>
      <c r="Z120" s="22">
        <f t="shared" si="16"/>
        <v>0</v>
      </c>
    </row>
    <row r="121" spans="1:26" s="24" customFormat="1" hidden="1" outlineLevel="1" x14ac:dyDescent="0.25">
      <c r="A121" s="51"/>
      <c r="B121" s="11" t="str">
        <f>CONCATENATE("          ", "5086", " - ", "PURCHASES @ COST-COMPUTER SUPP")</f>
        <v xml:space="preserve">          5086 - PURCHASES @ COST-COMPUTER SUPP</v>
      </c>
      <c r="C121" s="11"/>
      <c r="D121" s="2">
        <v>773.47</v>
      </c>
      <c r="E121" s="2"/>
      <c r="F121" s="22">
        <f t="shared" si="9"/>
        <v>1.13715395125603E-3</v>
      </c>
      <c r="G121" s="2"/>
      <c r="H121" s="2"/>
      <c r="I121" s="2"/>
      <c r="J121" s="22">
        <f t="shared" si="10"/>
        <v>0</v>
      </c>
      <c r="K121" s="2"/>
      <c r="L121" s="2">
        <f t="shared" si="11"/>
        <v>773.47</v>
      </c>
      <c r="M121" s="2"/>
      <c r="N121" s="22">
        <f t="shared" si="12"/>
        <v>0</v>
      </c>
      <c r="O121" s="11"/>
      <c r="P121" s="2">
        <v>22529.439999999999</v>
      </c>
      <c r="Q121" s="2"/>
      <c r="R121" s="22">
        <f t="shared" si="13"/>
        <v>5.2837916219102632E-3</v>
      </c>
      <c r="S121" s="2"/>
      <c r="T121" s="2"/>
      <c r="U121" s="2"/>
      <c r="V121" s="22">
        <f t="shared" si="14"/>
        <v>0</v>
      </c>
      <c r="W121" s="2"/>
      <c r="X121" s="2">
        <f t="shared" si="15"/>
        <v>22529.439999999999</v>
      </c>
      <c r="Y121" s="2"/>
      <c r="Z121" s="22">
        <f t="shared" si="16"/>
        <v>0</v>
      </c>
    </row>
    <row r="122" spans="1:26" s="24" customFormat="1" hidden="1" outlineLevel="1" x14ac:dyDescent="0.25">
      <c r="A122" s="51"/>
      <c r="B122" s="11" t="str">
        <f>CONCATENATE("          ", "5200", " - ", "PURCHASES OFFSET")</f>
        <v xml:space="preserve">          5200 - PURCHASES OFFSET</v>
      </c>
      <c r="C122" s="11"/>
      <c r="D122" s="2">
        <v>-434415.86</v>
      </c>
      <c r="E122" s="2"/>
      <c r="F122" s="22">
        <f t="shared" si="9"/>
        <v>-0.63867727473242186</v>
      </c>
      <c r="G122" s="2"/>
      <c r="H122" s="2"/>
      <c r="I122" s="2"/>
      <c r="J122" s="22">
        <f t="shared" si="10"/>
        <v>0</v>
      </c>
      <c r="K122" s="2"/>
      <c r="L122" s="2">
        <f t="shared" si="11"/>
        <v>-434415.86</v>
      </c>
      <c r="M122" s="2"/>
      <c r="N122" s="22">
        <f t="shared" si="12"/>
        <v>0</v>
      </c>
      <c r="O122" s="11"/>
      <c r="P122" s="2">
        <v>-2796709.36</v>
      </c>
      <c r="Q122" s="2"/>
      <c r="R122" s="22">
        <f t="shared" si="13"/>
        <v>-0.65590753632962095</v>
      </c>
      <c r="S122" s="2"/>
      <c r="T122" s="2"/>
      <c r="U122" s="2"/>
      <c r="V122" s="22">
        <f t="shared" si="14"/>
        <v>0</v>
      </c>
      <c r="W122" s="2"/>
      <c r="X122" s="2">
        <f t="shared" si="15"/>
        <v>-2796709.36</v>
      </c>
      <c r="Y122" s="2"/>
      <c r="Z122" s="22">
        <f t="shared" si="16"/>
        <v>0</v>
      </c>
    </row>
    <row r="123" spans="1:26" s="24" customFormat="1" hidden="1" outlineLevel="1" x14ac:dyDescent="0.25">
      <c r="A123" s="51"/>
      <c r="B123" s="11" t="str">
        <f>CONCATENATE("          ", "5300", " - ", "COG$ OFFSET")</f>
        <v xml:space="preserve">          5300 - COG$ OFFSET</v>
      </c>
      <c r="C123" s="11"/>
      <c r="D123" s="2">
        <v>241934</v>
      </c>
      <c r="E123" s="2"/>
      <c r="F123" s="22">
        <f t="shared" si="9"/>
        <v>0.35569085296543673</v>
      </c>
      <c r="G123" s="2"/>
      <c r="H123" s="2"/>
      <c r="I123" s="2"/>
      <c r="J123" s="22">
        <f t="shared" si="10"/>
        <v>0</v>
      </c>
      <c r="K123" s="2"/>
      <c r="L123" s="2">
        <f t="shared" si="11"/>
        <v>241934</v>
      </c>
      <c r="M123" s="2"/>
      <c r="N123" s="22">
        <f t="shared" si="12"/>
        <v>0</v>
      </c>
      <c r="O123" s="11"/>
      <c r="P123" s="2">
        <v>2276964</v>
      </c>
      <c r="Q123" s="2"/>
      <c r="R123" s="22">
        <f t="shared" si="13"/>
        <v>0.53401253233952028</v>
      </c>
      <c r="S123" s="2"/>
      <c r="T123" s="2"/>
      <c r="U123" s="2"/>
      <c r="V123" s="22">
        <f t="shared" si="14"/>
        <v>0</v>
      </c>
      <c r="W123" s="2"/>
      <c r="X123" s="2">
        <f t="shared" si="15"/>
        <v>2276964</v>
      </c>
      <c r="Y123" s="2"/>
      <c r="Z123" s="22">
        <f t="shared" si="16"/>
        <v>0</v>
      </c>
    </row>
    <row r="124" spans="1:26" s="24" customFormat="1" hidden="1" outlineLevel="1" x14ac:dyDescent="0.25">
      <c r="A124" s="51"/>
      <c r="B124" s="11" t="str">
        <f>CONCATENATE("          ", "5501", " - ", "FREIGHT-IN-NEW TEXT")</f>
        <v xml:space="preserve">          5501 - FREIGHT-IN-NEW TEXT</v>
      </c>
      <c r="C124" s="11"/>
      <c r="D124" s="2">
        <v>23295.74</v>
      </c>
      <c r="E124" s="2"/>
      <c r="F124" s="22">
        <f t="shared" si="9"/>
        <v>3.4249347471050136E-2</v>
      </c>
      <c r="G124" s="2"/>
      <c r="H124" s="2"/>
      <c r="I124" s="2"/>
      <c r="J124" s="22">
        <f t="shared" si="10"/>
        <v>0</v>
      </c>
      <c r="K124" s="2"/>
      <c r="L124" s="2">
        <f t="shared" si="11"/>
        <v>23295.74</v>
      </c>
      <c r="M124" s="2"/>
      <c r="N124" s="22">
        <f t="shared" si="12"/>
        <v>0</v>
      </c>
      <c r="O124" s="11"/>
      <c r="P124" s="2">
        <v>34058.620000000003</v>
      </c>
      <c r="Q124" s="2"/>
      <c r="R124" s="22">
        <f t="shared" si="13"/>
        <v>7.9877107912946499E-3</v>
      </c>
      <c r="S124" s="2"/>
      <c r="T124" s="2"/>
      <c r="U124" s="2"/>
      <c r="V124" s="22">
        <f t="shared" si="14"/>
        <v>0</v>
      </c>
      <c r="W124" s="2"/>
      <c r="X124" s="2">
        <f t="shared" si="15"/>
        <v>34058.620000000003</v>
      </c>
      <c r="Y124" s="2"/>
      <c r="Z124" s="22">
        <f t="shared" si="16"/>
        <v>0</v>
      </c>
    </row>
    <row r="125" spans="1:26" s="24" customFormat="1" hidden="1" outlineLevel="1" x14ac:dyDescent="0.25">
      <c r="A125" s="51"/>
      <c r="B125" s="11" t="str">
        <f>CONCATENATE("          ", "5502", " - ", "FREIGHT-IN-USED TEXT")</f>
        <v xml:space="preserve">          5502 - FREIGHT-IN-USED TEXT</v>
      </c>
      <c r="C125" s="11"/>
      <c r="D125" s="2">
        <v>2233.9</v>
      </c>
      <c r="E125" s="2"/>
      <c r="F125" s="22">
        <f t="shared" si="9"/>
        <v>3.2842750355034397E-3</v>
      </c>
      <c r="G125" s="2"/>
      <c r="H125" s="2"/>
      <c r="I125" s="2"/>
      <c r="J125" s="22">
        <f t="shared" si="10"/>
        <v>0</v>
      </c>
      <c r="K125" s="2"/>
      <c r="L125" s="2">
        <f t="shared" si="11"/>
        <v>2233.9</v>
      </c>
      <c r="M125" s="2"/>
      <c r="N125" s="22">
        <f t="shared" si="12"/>
        <v>0</v>
      </c>
      <c r="O125" s="11"/>
      <c r="P125" s="2">
        <v>10744.72</v>
      </c>
      <c r="Q125" s="2"/>
      <c r="R125" s="22">
        <f t="shared" si="13"/>
        <v>2.5199410866746639E-3</v>
      </c>
      <c r="S125" s="2"/>
      <c r="T125" s="2"/>
      <c r="U125" s="2"/>
      <c r="V125" s="22">
        <f t="shared" si="14"/>
        <v>0</v>
      </c>
      <c r="W125" s="2"/>
      <c r="X125" s="2">
        <f t="shared" si="15"/>
        <v>10744.72</v>
      </c>
      <c r="Y125" s="2"/>
      <c r="Z125" s="22">
        <f t="shared" si="16"/>
        <v>0</v>
      </c>
    </row>
    <row r="126" spans="1:26" s="24" customFormat="1" hidden="1" outlineLevel="1" x14ac:dyDescent="0.25">
      <c r="A126" s="51"/>
      <c r="B126" s="11" t="str">
        <f>CONCATENATE("          ", "5504", " - ", "FREIGHT-IN-DIGITAL TEXT")</f>
        <v xml:space="preserve">          5504 - FREIGHT-IN-DIGITAL TEXT</v>
      </c>
      <c r="C126" s="11"/>
      <c r="D126" s="2">
        <v>10.99</v>
      </c>
      <c r="E126" s="2"/>
      <c r="F126" s="22">
        <f t="shared" si="9"/>
        <v>1.6157474658750528E-5</v>
      </c>
      <c r="G126" s="2"/>
      <c r="H126" s="2"/>
      <c r="I126" s="2"/>
      <c r="J126" s="22">
        <f t="shared" si="10"/>
        <v>0</v>
      </c>
      <c r="K126" s="2"/>
      <c r="L126" s="2">
        <f t="shared" si="11"/>
        <v>10.99</v>
      </c>
      <c r="M126" s="2"/>
      <c r="N126" s="22">
        <f t="shared" si="12"/>
        <v>0</v>
      </c>
      <c r="O126" s="11"/>
      <c r="P126" s="2">
        <v>21.98</v>
      </c>
      <c r="Q126" s="2"/>
      <c r="R126" s="22">
        <f t="shared" si="13"/>
        <v>5.1549323840089939E-6</v>
      </c>
      <c r="S126" s="2"/>
      <c r="T126" s="2"/>
      <c r="U126" s="2"/>
      <c r="V126" s="22">
        <f t="shared" si="14"/>
        <v>0</v>
      </c>
      <c r="W126" s="2"/>
      <c r="X126" s="2">
        <f t="shared" si="15"/>
        <v>21.98</v>
      </c>
      <c r="Y126" s="2"/>
      <c r="Z126" s="22">
        <f t="shared" si="16"/>
        <v>0</v>
      </c>
    </row>
    <row r="127" spans="1:26" s="24" customFormat="1" hidden="1" outlineLevel="1" x14ac:dyDescent="0.25">
      <c r="A127" s="51"/>
      <c r="B127" s="11" t="str">
        <f>CONCATENATE("          ", "5525", " - ", "FREIGHT-IN-TEST FORMS")</f>
        <v xml:space="preserve">          5525 - FREIGHT-IN-TEST FORMS</v>
      </c>
      <c r="C127" s="11"/>
      <c r="D127" s="2">
        <v>48.14</v>
      </c>
      <c r="E127" s="2"/>
      <c r="F127" s="22">
        <f t="shared" si="9"/>
        <v>7.0775325757256631E-5</v>
      </c>
      <c r="G127" s="2"/>
      <c r="H127" s="2"/>
      <c r="I127" s="2"/>
      <c r="J127" s="22">
        <f t="shared" si="10"/>
        <v>0</v>
      </c>
      <c r="K127" s="2"/>
      <c r="L127" s="2">
        <f t="shared" si="11"/>
        <v>48.14</v>
      </c>
      <c r="M127" s="2"/>
      <c r="N127" s="22">
        <f t="shared" si="12"/>
        <v>0</v>
      </c>
      <c r="O127" s="11"/>
      <c r="P127" s="2">
        <v>48.14</v>
      </c>
      <c r="Q127" s="2"/>
      <c r="R127" s="22">
        <f t="shared" si="13"/>
        <v>1.1290193128580208E-5</v>
      </c>
      <c r="S127" s="2"/>
      <c r="T127" s="2"/>
      <c r="U127" s="2"/>
      <c r="V127" s="22">
        <f t="shared" si="14"/>
        <v>0</v>
      </c>
      <c r="W127" s="2"/>
      <c r="X127" s="2">
        <f t="shared" si="15"/>
        <v>48.14</v>
      </c>
      <c r="Y127" s="2"/>
      <c r="Z127" s="22">
        <f t="shared" si="16"/>
        <v>0</v>
      </c>
    </row>
    <row r="128" spans="1:26" s="24" customFormat="1" hidden="1" outlineLevel="1" x14ac:dyDescent="0.25">
      <c r="A128" s="51"/>
      <c r="B128" s="11" t="str">
        <f>CONCATENATE("          ", "5527", " - ", "FREIGHT-IN-SCHOOL SUPPLIES")</f>
        <v xml:space="preserve">          5527 - FREIGHT-IN-SCHOOL SUPPLIES</v>
      </c>
      <c r="C128" s="11"/>
      <c r="D128" s="2">
        <v>56</v>
      </c>
      <c r="E128" s="2"/>
      <c r="F128" s="22">
        <f t="shared" si="9"/>
        <v>8.2331081063696955E-5</v>
      </c>
      <c r="G128" s="2"/>
      <c r="H128" s="2"/>
      <c r="I128" s="2"/>
      <c r="J128" s="22">
        <f t="shared" si="10"/>
        <v>0</v>
      </c>
      <c r="K128" s="2"/>
      <c r="L128" s="2">
        <f t="shared" si="11"/>
        <v>56</v>
      </c>
      <c r="M128" s="2"/>
      <c r="N128" s="22">
        <f t="shared" si="12"/>
        <v>0</v>
      </c>
      <c r="O128" s="11"/>
      <c r="P128" s="2">
        <v>56</v>
      </c>
      <c r="Q128" s="2"/>
      <c r="R128" s="22">
        <f t="shared" si="13"/>
        <v>1.313358569174266E-5</v>
      </c>
      <c r="S128" s="2"/>
      <c r="T128" s="2"/>
      <c r="U128" s="2"/>
      <c r="V128" s="22">
        <f t="shared" si="14"/>
        <v>0</v>
      </c>
      <c r="W128" s="2"/>
      <c r="X128" s="2">
        <f t="shared" si="15"/>
        <v>56</v>
      </c>
      <c r="Y128" s="2"/>
      <c r="Z128" s="22">
        <f t="shared" si="16"/>
        <v>0</v>
      </c>
    </row>
    <row r="129" spans="1:26" s="24" customFormat="1" hidden="1" outlineLevel="1" x14ac:dyDescent="0.25">
      <c r="A129" s="51"/>
      <c r="B129" s="11" t="str">
        <f>CONCATENATE("          ", "5528", " - ", "FREIGHT-IN-ART/TECH")</f>
        <v xml:space="preserve">          5528 - FREIGHT-IN-ART/TECH</v>
      </c>
      <c r="C129" s="11"/>
      <c r="D129" s="2">
        <v>239.39</v>
      </c>
      <c r="E129" s="2"/>
      <c r="F129" s="22">
        <f t="shared" si="9"/>
        <v>3.519506695685431E-4</v>
      </c>
      <c r="G129" s="2"/>
      <c r="H129" s="2"/>
      <c r="I129" s="2"/>
      <c r="J129" s="22">
        <f t="shared" si="10"/>
        <v>0</v>
      </c>
      <c r="K129" s="2"/>
      <c r="L129" s="2">
        <f t="shared" si="11"/>
        <v>239.39</v>
      </c>
      <c r="M129" s="2"/>
      <c r="N129" s="22">
        <f t="shared" si="12"/>
        <v>0</v>
      </c>
      <c r="O129" s="11"/>
      <c r="P129" s="2">
        <v>284.2</v>
      </c>
      <c r="Q129" s="2"/>
      <c r="R129" s="22">
        <f t="shared" si="13"/>
        <v>6.6652947385594004E-5</v>
      </c>
      <c r="S129" s="2"/>
      <c r="T129" s="2"/>
      <c r="U129" s="2"/>
      <c r="V129" s="22">
        <f t="shared" si="14"/>
        <v>0</v>
      </c>
      <c r="W129" s="2"/>
      <c r="X129" s="2">
        <f t="shared" si="15"/>
        <v>284.2</v>
      </c>
      <c r="Y129" s="2"/>
      <c r="Z129" s="22">
        <f t="shared" si="16"/>
        <v>0</v>
      </c>
    </row>
    <row r="130" spans="1:26" s="24" customFormat="1" hidden="1" outlineLevel="1" x14ac:dyDescent="0.25">
      <c r="A130" s="51"/>
      <c r="B130" s="11" t="str">
        <f>CONCATENATE("          ", "5540", " - ", "FREIGHT-IN-LOGO CLOTHING")</f>
        <v xml:space="preserve">          5540 - FREIGHT-IN-LOGO CLOTHING</v>
      </c>
      <c r="C130" s="11"/>
      <c r="D130" s="2">
        <v>1036.57</v>
      </c>
      <c r="E130" s="2"/>
      <c r="F130" s="22">
        <f t="shared" si="9"/>
        <v>1.5239630124677919E-3</v>
      </c>
      <c r="G130" s="2"/>
      <c r="H130" s="2"/>
      <c r="I130" s="2"/>
      <c r="J130" s="22">
        <f t="shared" si="10"/>
        <v>0</v>
      </c>
      <c r="K130" s="2"/>
      <c r="L130" s="2">
        <f t="shared" si="11"/>
        <v>1036.57</v>
      </c>
      <c r="M130" s="2"/>
      <c r="N130" s="22">
        <f t="shared" si="12"/>
        <v>0</v>
      </c>
      <c r="O130" s="11"/>
      <c r="P130" s="2">
        <v>3202.33</v>
      </c>
      <c r="Q130" s="2"/>
      <c r="R130" s="22">
        <f t="shared" si="13"/>
        <v>7.5103706193282624E-4</v>
      </c>
      <c r="S130" s="2"/>
      <c r="T130" s="2"/>
      <c r="U130" s="2"/>
      <c r="V130" s="22">
        <f t="shared" si="14"/>
        <v>0</v>
      </c>
      <c r="W130" s="2"/>
      <c r="X130" s="2">
        <f t="shared" si="15"/>
        <v>3202.33</v>
      </c>
      <c r="Y130" s="2"/>
      <c r="Z130" s="22">
        <f t="shared" si="16"/>
        <v>0</v>
      </c>
    </row>
    <row r="131" spans="1:26" s="24" customFormat="1" hidden="1" outlineLevel="1" x14ac:dyDescent="0.25">
      <c r="A131" s="51"/>
      <c r="B131" s="11" t="str">
        <f>CONCATENATE("          ", "5541", " - ", "FREIGHT-IN-LOGO GIFTS")</f>
        <v xml:space="preserve">          5541 - FREIGHT-IN-LOGO GIFTS</v>
      </c>
      <c r="C131" s="11"/>
      <c r="D131" s="2">
        <v>773.7</v>
      </c>
      <c r="E131" s="2"/>
      <c r="F131" s="22">
        <f t="shared" si="9"/>
        <v>1.1374920967675416E-3</v>
      </c>
      <c r="G131" s="2"/>
      <c r="H131" s="2"/>
      <c r="I131" s="2"/>
      <c r="J131" s="22">
        <f t="shared" si="10"/>
        <v>0</v>
      </c>
      <c r="K131" s="2"/>
      <c r="L131" s="2">
        <f t="shared" si="11"/>
        <v>773.7</v>
      </c>
      <c r="M131" s="2"/>
      <c r="N131" s="22">
        <f t="shared" si="12"/>
        <v>0</v>
      </c>
      <c r="O131" s="11"/>
      <c r="P131" s="2">
        <v>1134.81</v>
      </c>
      <c r="Q131" s="2"/>
      <c r="R131" s="22">
        <f t="shared" si="13"/>
        <v>2.6614507819368728E-4</v>
      </c>
      <c r="S131" s="2"/>
      <c r="T131" s="2"/>
      <c r="U131" s="2"/>
      <c r="V131" s="22">
        <f t="shared" si="14"/>
        <v>0</v>
      </c>
      <c r="W131" s="2"/>
      <c r="X131" s="2">
        <f t="shared" si="15"/>
        <v>1134.81</v>
      </c>
      <c r="Y131" s="2"/>
      <c r="Z131" s="22">
        <f t="shared" si="16"/>
        <v>0</v>
      </c>
    </row>
    <row r="132" spans="1:26" s="24" customFormat="1" hidden="1" outlineLevel="1" x14ac:dyDescent="0.25">
      <c r="A132" s="51"/>
      <c r="B132" s="11" t="str">
        <f>CONCATENATE("          ", "5542", " - ", "FREIGHT-IN-EVERYDAY GIFTS")</f>
        <v xml:space="preserve">          5542 - FREIGHT-IN-EVERYDAY GIFTS</v>
      </c>
      <c r="C132" s="11"/>
      <c r="D132" s="2">
        <v>104.17</v>
      </c>
      <c r="E132" s="2"/>
      <c r="F132" s="22">
        <f t="shared" si="9"/>
        <v>1.5315051275723769E-4</v>
      </c>
      <c r="G132" s="2"/>
      <c r="H132" s="2"/>
      <c r="I132" s="2"/>
      <c r="J132" s="22">
        <f t="shared" si="10"/>
        <v>0</v>
      </c>
      <c r="K132" s="2"/>
      <c r="L132" s="2">
        <f t="shared" si="11"/>
        <v>104.17</v>
      </c>
      <c r="M132" s="2"/>
      <c r="N132" s="22">
        <f t="shared" si="12"/>
        <v>0</v>
      </c>
      <c r="O132" s="11"/>
      <c r="P132" s="2">
        <v>175.55</v>
      </c>
      <c r="Q132" s="2"/>
      <c r="R132" s="22">
        <f t="shared" si="13"/>
        <v>4.1171445860454001E-5</v>
      </c>
      <c r="S132" s="2"/>
      <c r="T132" s="2"/>
      <c r="U132" s="2"/>
      <c r="V132" s="22">
        <f t="shared" si="14"/>
        <v>0</v>
      </c>
      <c r="W132" s="2"/>
      <c r="X132" s="2">
        <f t="shared" si="15"/>
        <v>175.55</v>
      </c>
      <c r="Y132" s="2"/>
      <c r="Z132" s="22">
        <f t="shared" si="16"/>
        <v>0</v>
      </c>
    </row>
    <row r="133" spans="1:26" s="24" customFormat="1" hidden="1" outlineLevel="1" x14ac:dyDescent="0.25">
      <c r="A133" s="51"/>
      <c r="B133" s="11" t="str">
        <f>CONCATENATE("          ", "5543", " - ", "FREIGHT-IN-CARDS")</f>
        <v xml:space="preserve">          5543 - FREIGHT-IN-CARDS</v>
      </c>
      <c r="C133" s="11"/>
      <c r="D133" s="2">
        <v>107.42</v>
      </c>
      <c r="E133" s="2"/>
      <c r="F133" s="22">
        <f t="shared" si="9"/>
        <v>1.5792865585468441E-4</v>
      </c>
      <c r="G133" s="2"/>
      <c r="H133" s="2"/>
      <c r="I133" s="2"/>
      <c r="J133" s="22">
        <f t="shared" si="10"/>
        <v>0</v>
      </c>
      <c r="K133" s="2"/>
      <c r="L133" s="2">
        <f t="shared" si="11"/>
        <v>107.42</v>
      </c>
      <c r="M133" s="2"/>
      <c r="N133" s="22">
        <f t="shared" si="12"/>
        <v>0</v>
      </c>
      <c r="O133" s="11"/>
      <c r="P133" s="2">
        <v>189.19</v>
      </c>
      <c r="Q133" s="2"/>
      <c r="R133" s="22">
        <f t="shared" si="13"/>
        <v>4.4370412089657032E-5</v>
      </c>
      <c r="S133" s="2"/>
      <c r="T133" s="2"/>
      <c r="U133" s="2"/>
      <c r="V133" s="22">
        <f t="shared" si="14"/>
        <v>0</v>
      </c>
      <c r="W133" s="2"/>
      <c r="X133" s="2">
        <f t="shared" si="15"/>
        <v>189.19</v>
      </c>
      <c r="Y133" s="2"/>
      <c r="Z133" s="22">
        <f t="shared" si="16"/>
        <v>0</v>
      </c>
    </row>
    <row r="134" spans="1:26" s="24" customFormat="1" hidden="1" outlineLevel="1" x14ac:dyDescent="0.25">
      <c r="A134" s="51"/>
      <c r="B134" s="11" t="str">
        <f>CONCATENATE("          ", "5545", " - ", "FREIGHT-IN-SPECIAL ORDERS")</f>
        <v xml:space="preserve">          5545 - FREIGHT-IN-SPECIAL ORDERS</v>
      </c>
      <c r="C134" s="11"/>
      <c r="D134" s="2">
        <v>189.66</v>
      </c>
      <c r="E134" s="2"/>
      <c r="F134" s="22">
        <f t="shared" si="9"/>
        <v>2.7883772918822791E-4</v>
      </c>
      <c r="G134" s="2"/>
      <c r="H134" s="2"/>
      <c r="I134" s="2"/>
      <c r="J134" s="22">
        <f t="shared" si="10"/>
        <v>0</v>
      </c>
      <c r="K134" s="2"/>
      <c r="L134" s="2">
        <f t="shared" si="11"/>
        <v>189.66</v>
      </c>
      <c r="M134" s="2"/>
      <c r="N134" s="22">
        <f t="shared" si="12"/>
        <v>0</v>
      </c>
      <c r="O134" s="11"/>
      <c r="P134" s="2">
        <v>850.27</v>
      </c>
      <c r="Q134" s="2"/>
      <c r="R134" s="22">
        <f t="shared" si="13"/>
        <v>1.9941239118067912E-4</v>
      </c>
      <c r="S134" s="2"/>
      <c r="T134" s="2"/>
      <c r="U134" s="2"/>
      <c r="V134" s="22">
        <f t="shared" si="14"/>
        <v>0</v>
      </c>
      <c r="W134" s="2"/>
      <c r="X134" s="2">
        <f t="shared" si="15"/>
        <v>850.27</v>
      </c>
      <c r="Y134" s="2"/>
      <c r="Z134" s="22">
        <f t="shared" si="16"/>
        <v>0</v>
      </c>
    </row>
    <row r="135" spans="1:26" s="24" customFormat="1" hidden="1" outlineLevel="1" x14ac:dyDescent="0.25">
      <c r="A135" s="51"/>
      <c r="B135" s="11" t="str">
        <f>CONCATENATE("          ", "5582", " - ", "FREIGHT-IN-COMPUTER HARDWARE")</f>
        <v xml:space="preserve">          5582 - FREIGHT-IN-COMPUTER HARDWARE</v>
      </c>
      <c r="C135" s="11"/>
      <c r="D135" s="2">
        <v>70</v>
      </c>
      <c r="E135" s="2"/>
      <c r="F135" s="22">
        <f t="shared" si="9"/>
        <v>1.0291385132962119E-4</v>
      </c>
      <c r="G135" s="2"/>
      <c r="H135" s="2"/>
      <c r="I135" s="2"/>
      <c r="J135" s="22">
        <f t="shared" si="10"/>
        <v>0</v>
      </c>
      <c r="K135" s="2"/>
      <c r="L135" s="2">
        <f t="shared" si="11"/>
        <v>70</v>
      </c>
      <c r="M135" s="2"/>
      <c r="N135" s="22">
        <f t="shared" si="12"/>
        <v>0</v>
      </c>
      <c r="O135" s="11"/>
      <c r="P135" s="2">
        <v>94</v>
      </c>
      <c r="Q135" s="2"/>
      <c r="R135" s="22">
        <f t="shared" si="13"/>
        <v>2.204566169685375E-5</v>
      </c>
      <c r="S135" s="2"/>
      <c r="T135" s="2"/>
      <c r="U135" s="2"/>
      <c r="V135" s="22">
        <f t="shared" si="14"/>
        <v>0</v>
      </c>
      <c r="W135" s="2"/>
      <c r="X135" s="2">
        <f t="shared" si="15"/>
        <v>94</v>
      </c>
      <c r="Y135" s="2"/>
      <c r="Z135" s="22">
        <f t="shared" si="16"/>
        <v>0</v>
      </c>
    </row>
    <row r="136" spans="1:26" s="24" customFormat="1" hidden="1" outlineLevel="1" x14ac:dyDescent="0.25">
      <c r="A136" s="51"/>
      <c r="B136" s="11" t="str">
        <f>CONCATENATE("          ", "5583", " - ", "FREIGHT-IN-COMPUTER EQUIPMENT")</f>
        <v xml:space="preserve">          5583 - FREIGHT-IN-COMPUTER EQUIPMENT</v>
      </c>
      <c r="C136" s="11"/>
      <c r="D136" s="2">
        <v>51.78</v>
      </c>
      <c r="E136" s="2"/>
      <c r="F136" s="22">
        <f t="shared" si="9"/>
        <v>7.6126846026396938E-5</v>
      </c>
      <c r="G136" s="2"/>
      <c r="H136" s="2"/>
      <c r="I136" s="2"/>
      <c r="J136" s="22">
        <f t="shared" si="10"/>
        <v>0</v>
      </c>
      <c r="K136" s="2"/>
      <c r="L136" s="2">
        <f t="shared" si="11"/>
        <v>51.78</v>
      </c>
      <c r="M136" s="2"/>
      <c r="N136" s="22">
        <f t="shared" si="12"/>
        <v>0</v>
      </c>
      <c r="O136" s="11"/>
      <c r="P136" s="2">
        <v>225.17</v>
      </c>
      <c r="Q136" s="2"/>
      <c r="R136" s="22">
        <f t="shared" si="13"/>
        <v>5.2808740896601692E-5</v>
      </c>
      <c r="S136" s="2"/>
      <c r="T136" s="2"/>
      <c r="U136" s="2"/>
      <c r="V136" s="22">
        <f t="shared" si="14"/>
        <v>0</v>
      </c>
      <c r="W136" s="2"/>
      <c r="X136" s="2">
        <f t="shared" si="15"/>
        <v>225.17</v>
      </c>
      <c r="Y136" s="2"/>
      <c r="Z136" s="22">
        <f t="shared" si="16"/>
        <v>0</v>
      </c>
    </row>
    <row r="137" spans="1:26" s="24" customFormat="1" hidden="1" outlineLevel="1" x14ac:dyDescent="0.25">
      <c r="A137" s="51"/>
      <c r="B137" s="11" t="str">
        <f>CONCATENATE("          ", "5586", " - ", "FREIGHT-IN-COMPUTER SUPPLIES")</f>
        <v xml:space="preserve">          5586 - FREIGHT-IN-COMPUTER SUPPLIES</v>
      </c>
      <c r="C137" s="11"/>
      <c r="D137" s="2"/>
      <c r="E137" s="2"/>
      <c r="F137" s="22">
        <f t="shared" si="9"/>
        <v>0</v>
      </c>
      <c r="G137" s="2"/>
      <c r="H137" s="2"/>
      <c r="I137" s="2"/>
      <c r="J137" s="22">
        <f t="shared" si="10"/>
        <v>0</v>
      </c>
      <c r="K137" s="2"/>
      <c r="L137" s="2">
        <f t="shared" si="11"/>
        <v>0</v>
      </c>
      <c r="M137" s="2"/>
      <c r="N137" s="22">
        <f t="shared" si="12"/>
        <v>0</v>
      </c>
      <c r="O137" s="11"/>
      <c r="P137" s="2">
        <v>24.12</v>
      </c>
      <c r="Q137" s="2"/>
      <c r="R137" s="22">
        <f t="shared" si="13"/>
        <v>5.656822980086303E-6</v>
      </c>
      <c r="S137" s="2"/>
      <c r="T137" s="2"/>
      <c r="U137" s="2"/>
      <c r="V137" s="22">
        <f t="shared" si="14"/>
        <v>0</v>
      </c>
      <c r="W137" s="2"/>
      <c r="X137" s="2">
        <f t="shared" si="15"/>
        <v>24.12</v>
      </c>
      <c r="Y137" s="2"/>
      <c r="Z137" s="22">
        <f t="shared" si="16"/>
        <v>0</v>
      </c>
    </row>
    <row r="138" spans="1:26" x14ac:dyDescent="0.25">
      <c r="A138" s="9"/>
      <c r="B138" s="10"/>
      <c r="C138" s="10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O138" s="10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25">
      <c r="A139" s="10"/>
      <c r="B139" s="26" t="s">
        <v>6</v>
      </c>
      <c r="C139" s="26"/>
      <c r="D139" s="20">
        <f>D12-D96</f>
        <v>346546.22000000026</v>
      </c>
      <c r="E139" s="13"/>
      <c r="F139" s="19">
        <f>IF(D$12=0,0,D139/D$12)</f>
        <v>0.50949151662746039</v>
      </c>
      <c r="G139" s="13"/>
      <c r="H139" s="20">
        <f>H12-H96</f>
        <v>742197</v>
      </c>
      <c r="I139" s="13"/>
      <c r="J139" s="19">
        <f>IF(H$12=0,0,H139/H$12)</f>
        <v>0.6089786561225905</v>
      </c>
      <c r="K139" s="15"/>
      <c r="L139" s="20">
        <f>+D139-H139</f>
        <v>-395650.77999999974</v>
      </c>
      <c r="M139" s="15"/>
      <c r="N139" s="19">
        <f>IF(H139=0,0,L139/H139)</f>
        <v>-0.53308054330588739</v>
      </c>
      <c r="O139" s="25"/>
      <c r="P139" s="20">
        <f>P12-P96</f>
        <v>1446522.949999996</v>
      </c>
      <c r="Q139" s="13"/>
      <c r="R139" s="19">
        <f>IF(P$12=0,0,P139/P$12)</f>
        <v>0.33925059140888092</v>
      </c>
      <c r="S139" s="13"/>
      <c r="T139" s="20">
        <f>T12-T96</f>
        <v>3024100.0000000005</v>
      </c>
      <c r="U139" s="13"/>
      <c r="V139" s="19">
        <f>IF(T$12=0,0,T139/T$12)</f>
        <v>0.44284384208218763</v>
      </c>
      <c r="W139" s="15"/>
      <c r="X139" s="20">
        <f>+P139-T139</f>
        <v>-1577577.0500000045</v>
      </c>
      <c r="Y139" s="15"/>
      <c r="Z139" s="19">
        <f>IF(T139=0,0,X139/T139)</f>
        <v>-0.52166828147217492</v>
      </c>
    </row>
    <row r="140" spans="1:26" x14ac:dyDescent="0.25">
      <c r="A140" s="9"/>
      <c r="B140" s="10"/>
      <c r="C140" s="9"/>
      <c r="D140" s="1"/>
      <c r="E140" s="1"/>
      <c r="F140" s="5"/>
      <c r="G140" s="1"/>
      <c r="H140" s="1"/>
      <c r="I140" s="1"/>
      <c r="J140" s="5"/>
      <c r="K140" s="1"/>
      <c r="L140" s="1"/>
      <c r="M140" s="1"/>
      <c r="N140" s="5"/>
      <c r="O140" s="36"/>
      <c r="P140" s="1"/>
      <c r="Q140" s="1"/>
      <c r="R140" s="5"/>
      <c r="S140" s="1"/>
      <c r="T140" s="1"/>
      <c r="U140" s="1"/>
      <c r="V140" s="5"/>
      <c r="W140" s="1"/>
      <c r="X140" s="1"/>
      <c r="Y140" s="1"/>
      <c r="Z140" s="5"/>
    </row>
    <row r="141" spans="1:26" s="23" customFormat="1" x14ac:dyDescent="0.25">
      <c r="A141" s="10"/>
      <c r="B141" s="25" t="s">
        <v>9</v>
      </c>
      <c r="C141" s="10"/>
      <c r="D141" s="21">
        <f>SUM(OSRRefD22x_0)</f>
        <v>914242.09</v>
      </c>
      <c r="E141" s="21"/>
      <c r="F141" s="31">
        <f t="shared" ref="F141:F152" si="17">IF(D$12=0,0,D141/D$12)</f>
        <v>1.3441167789934594</v>
      </c>
      <c r="G141" s="21"/>
      <c r="H141" s="21">
        <f>SUM(OSRRefH22x_0)</f>
        <v>1019561.9053557699</v>
      </c>
      <c r="I141" s="21"/>
      <c r="J141" s="31">
        <f t="shared" ref="J141:J152" si="18">IF(H$12=0,0,H141/H$12)</f>
        <v>0.83655880980028829</v>
      </c>
      <c r="K141" s="4"/>
      <c r="L141" s="21">
        <f t="shared" ref="L141:L152" si="19">+D141-H141</f>
        <v>-105319.81535576994</v>
      </c>
      <c r="M141" s="4"/>
      <c r="N141" s="31">
        <f t="shared" ref="N141:N152" si="20">IF(H141=0,0,L141/H141)</f>
        <v>-0.10329908836582045</v>
      </c>
      <c r="O141" s="10"/>
      <c r="P141" s="21">
        <f>SUM(OSRRefP22x_0)</f>
        <v>2912884.35</v>
      </c>
      <c r="Q141" s="21"/>
      <c r="R141" s="31">
        <f t="shared" ref="R141:R152" si="21">IF(P$12=0,0,P141/P$12)</f>
        <v>0.68315386108680576</v>
      </c>
      <c r="S141" s="21"/>
      <c r="T141" s="21">
        <f>SUM(OSRRefT22x_0)</f>
        <v>3972174.264724405</v>
      </c>
      <c r="U141" s="21"/>
      <c r="V141" s="31">
        <f t="shared" ref="V141:V152" si="22">IF(T$12=0,0,T141/T$12)</f>
        <v>0.58167815641365828</v>
      </c>
      <c r="W141" s="4"/>
      <c r="X141" s="21">
        <f t="shared" ref="X141:X152" si="23">+P141-T141</f>
        <v>-1059289.9147244049</v>
      </c>
      <c r="Y141" s="4"/>
      <c r="Z141" s="31">
        <f t="shared" ref="Z141:Z152" si="24">IF(T141=0,0,X141/T141)</f>
        <v>-0.26667760378279876</v>
      </c>
    </row>
    <row r="142" spans="1:26" s="27" customFormat="1" outlineLevel="1" collapsed="1" x14ac:dyDescent="0.25">
      <c r="A142" s="29"/>
      <c r="B142" s="14" t="str">
        <f>CONCATENATE("     ","*Benefits                                         ")</f>
        <v xml:space="preserve">     *Benefits                                         </v>
      </c>
      <c r="C142" s="14"/>
      <c r="D142" s="1">
        <f>SUM(OSRRefD22_0x_0)</f>
        <v>172384.21000000002</v>
      </c>
      <c r="E142" s="1"/>
      <c r="F142" s="5">
        <f t="shared" si="17"/>
        <v>0.25343889942163145</v>
      </c>
      <c r="G142" s="1"/>
      <c r="H142" s="1">
        <f>SUM(OSRRefH22_0x_0)</f>
        <v>194797.86961974416</v>
      </c>
      <c r="I142" s="1"/>
      <c r="J142" s="5">
        <f t="shared" si="18"/>
        <v>0.1598332314150763</v>
      </c>
      <c r="K142" s="1"/>
      <c r="L142" s="1">
        <f t="shared" si="19"/>
        <v>-22413.659619744139</v>
      </c>
      <c r="M142" s="1"/>
      <c r="N142" s="5">
        <f t="shared" si="20"/>
        <v>-0.11506111264715985</v>
      </c>
      <c r="O142" s="14"/>
      <c r="P142" s="1">
        <f>SUM(OSRRefP22_0x_0)</f>
        <v>635961.71</v>
      </c>
      <c r="Q142" s="1"/>
      <c r="R142" s="5">
        <f t="shared" si="21"/>
        <v>0.14915102883843204</v>
      </c>
      <c r="S142" s="1"/>
      <c r="T142" s="1">
        <f>SUM(OSRRefT22_0x_0)</f>
        <v>729836.05122637912</v>
      </c>
      <c r="U142" s="1"/>
      <c r="V142" s="5">
        <f t="shared" si="22"/>
        <v>0.10687589729677656</v>
      </c>
      <c r="W142" s="1"/>
      <c r="X142" s="1">
        <f t="shared" si="23"/>
        <v>-93874.341226379154</v>
      </c>
      <c r="Y142" s="1"/>
      <c r="Z142" s="5">
        <f t="shared" si="24"/>
        <v>-0.12862387527806762</v>
      </c>
    </row>
    <row r="143" spans="1:26" s="24" customFormat="1" hidden="1" outlineLevel="2" x14ac:dyDescent="0.25">
      <c r="A143" s="28"/>
      <c r="B143" s="11" t="str">
        <f>CONCATENATE("          ", "6111", " - ", "F.I.C.A.")</f>
        <v xml:space="preserve">          6111 - F.I.C.A.</v>
      </c>
      <c r="C143" s="11"/>
      <c r="D143" s="7">
        <v>33152.579999999994</v>
      </c>
      <c r="E143" s="2"/>
      <c r="F143" s="6">
        <f t="shared" si="17"/>
        <v>4.8740852704476749E-2</v>
      </c>
      <c r="G143" s="2"/>
      <c r="H143" s="7">
        <v>25009.457384474998</v>
      </c>
      <c r="I143" s="2"/>
      <c r="J143" s="6">
        <f t="shared" si="18"/>
        <v>2.0520462556912492E-2</v>
      </c>
      <c r="K143" s="2"/>
      <c r="L143" s="7">
        <f t="shared" si="19"/>
        <v>8143.1226155249969</v>
      </c>
      <c r="M143" s="2"/>
      <c r="N143" s="6">
        <f t="shared" si="20"/>
        <v>0.32560173099077172</v>
      </c>
      <c r="O143" s="11"/>
      <c r="P143" s="7">
        <v>98830.790000000008</v>
      </c>
      <c r="Q143" s="2"/>
      <c r="R143" s="6">
        <f t="shared" si="21"/>
        <v>2.3178618740136138E-2</v>
      </c>
      <c r="S143" s="2"/>
      <c r="T143" s="7">
        <v>102215.37451535999</v>
      </c>
      <c r="U143" s="2"/>
      <c r="V143" s="6">
        <f t="shared" si="22"/>
        <v>1.4968238209798531E-2</v>
      </c>
      <c r="W143" s="2"/>
      <c r="X143" s="7">
        <f t="shared" si="23"/>
        <v>-3384.5845153599803</v>
      </c>
      <c r="Y143" s="2"/>
      <c r="Z143" s="6">
        <f t="shared" si="24"/>
        <v>-3.3112284051274261E-2</v>
      </c>
    </row>
    <row r="144" spans="1:26" s="24" customFormat="1" hidden="1" outlineLevel="2" x14ac:dyDescent="0.25">
      <c r="A144" s="28"/>
      <c r="B144" s="11" t="str">
        <f>CONCATENATE("          ", "6112", " - ", "COMPENSATION INSURANCE")</f>
        <v xml:space="preserve">          6112 - COMPENSATION INSURANCE</v>
      </c>
      <c r="C144" s="11"/>
      <c r="D144" s="7">
        <v>7630.81</v>
      </c>
      <c r="E144" s="2"/>
      <c r="F144" s="6">
        <f t="shared" si="17"/>
        <v>1.1218800655208382E-2</v>
      </c>
      <c r="G144" s="2"/>
      <c r="H144" s="7">
        <v>14328.773792730772</v>
      </c>
      <c r="I144" s="2"/>
      <c r="J144" s="6">
        <f t="shared" si="18"/>
        <v>1.1756875072496627E-2</v>
      </c>
      <c r="K144" s="2"/>
      <c r="L144" s="7">
        <f t="shared" si="19"/>
        <v>-6697.9637927307713</v>
      </c>
      <c r="M144" s="2"/>
      <c r="N144" s="6">
        <f t="shared" si="20"/>
        <v>-0.46744849835850999</v>
      </c>
      <c r="O144" s="11"/>
      <c r="P144" s="7">
        <v>31615.779999999995</v>
      </c>
      <c r="Q144" s="2"/>
      <c r="R144" s="6">
        <f t="shared" si="21"/>
        <v>7.4147956400229236E-3</v>
      </c>
      <c r="S144" s="2"/>
      <c r="T144" s="7">
        <v>49143.680265380761</v>
      </c>
      <c r="U144" s="2"/>
      <c r="V144" s="6">
        <f t="shared" si="22"/>
        <v>7.1965134032537931E-3</v>
      </c>
      <c r="W144" s="2"/>
      <c r="X144" s="7">
        <f t="shared" si="23"/>
        <v>-17527.900265380766</v>
      </c>
      <c r="Y144" s="2"/>
      <c r="Z144" s="6">
        <f t="shared" si="24"/>
        <v>-0.35666641510624275</v>
      </c>
    </row>
    <row r="145" spans="1:26" s="24" customFormat="1" hidden="1" outlineLevel="2" x14ac:dyDescent="0.25">
      <c r="A145" s="28"/>
      <c r="B145" s="11" t="str">
        <f>CONCATENATE("          ", "6113", " - ", "GROUP INSURANCE")</f>
        <v xml:space="preserve">          6113 - GROUP INSURANCE</v>
      </c>
      <c r="C145" s="11"/>
      <c r="D145" s="7">
        <v>74141.570000000007</v>
      </c>
      <c r="E145" s="2"/>
      <c r="F145" s="6">
        <f t="shared" si="17"/>
        <v>0.10900277874749575</v>
      </c>
      <c r="G145" s="2"/>
      <c r="H145" s="7">
        <v>101881.53846153838</v>
      </c>
      <c r="I145" s="2"/>
      <c r="J145" s="6">
        <f t="shared" si="18"/>
        <v>8.3594628348012262E-2</v>
      </c>
      <c r="K145" s="2"/>
      <c r="L145" s="7">
        <f t="shared" si="19"/>
        <v>-27739.968461538374</v>
      </c>
      <c r="M145" s="2"/>
      <c r="N145" s="6">
        <f t="shared" si="20"/>
        <v>-0.27227669389788983</v>
      </c>
      <c r="O145" s="11"/>
      <c r="P145" s="7">
        <v>300191.68</v>
      </c>
      <c r="Q145" s="2"/>
      <c r="R145" s="6">
        <f t="shared" si="21"/>
        <v>7.0403449164789134E-2</v>
      </c>
      <c r="S145" s="2"/>
      <c r="T145" s="7">
        <v>384244.03846153838</v>
      </c>
      <c r="U145" s="2"/>
      <c r="V145" s="6">
        <f t="shared" si="22"/>
        <v>5.6268015703674984E-2</v>
      </c>
      <c r="W145" s="2"/>
      <c r="X145" s="7">
        <f t="shared" si="23"/>
        <v>-84052.358461538388</v>
      </c>
      <c r="Y145" s="2"/>
      <c r="Z145" s="6">
        <f t="shared" si="24"/>
        <v>-0.21874733254957648</v>
      </c>
    </row>
    <row r="146" spans="1:26" s="24" customFormat="1" hidden="1" outlineLevel="2" x14ac:dyDescent="0.25">
      <c r="A146" s="28"/>
      <c r="B146" s="11" t="str">
        <f>CONCATENATE("          ", "6114", " - ", "STATE UNEMPLOYMENT INSURANCE")</f>
        <v xml:space="preserve">          6114 - STATE UNEMPLOYMENT INSURANCE</v>
      </c>
      <c r="C146" s="11"/>
      <c r="D146" s="7">
        <v>756.23</v>
      </c>
      <c r="E146" s="2"/>
      <c r="F146" s="6">
        <f t="shared" si="17"/>
        <v>1.1118077398714205E-3</v>
      </c>
      <c r="G146" s="2"/>
      <c r="H146" s="7">
        <v>1248.016081</v>
      </c>
      <c r="I146" s="2"/>
      <c r="J146" s="6">
        <f t="shared" si="18"/>
        <v>1.0240073131887652E-3</v>
      </c>
      <c r="K146" s="2"/>
      <c r="L146" s="7">
        <f t="shared" si="19"/>
        <v>-491.78608099999997</v>
      </c>
      <c r="M146" s="2"/>
      <c r="N146" s="6">
        <f t="shared" si="20"/>
        <v>-0.39405428222202527</v>
      </c>
      <c r="O146" s="11"/>
      <c r="P146" s="7">
        <v>3240.67</v>
      </c>
      <c r="Q146" s="2"/>
      <c r="R146" s="6">
        <f t="shared" si="21"/>
        <v>7.600288775653516E-4</v>
      </c>
      <c r="S146" s="2"/>
      <c r="T146" s="7">
        <v>4480.5620691000004</v>
      </c>
      <c r="U146" s="2"/>
      <c r="V146" s="6">
        <f t="shared" si="22"/>
        <v>6.5612556508315206E-4</v>
      </c>
      <c r="W146" s="2"/>
      <c r="X146" s="7">
        <f t="shared" si="23"/>
        <v>-1239.8920691000003</v>
      </c>
      <c r="Y146" s="2"/>
      <c r="Z146" s="6">
        <f t="shared" si="24"/>
        <v>-0.2767269038969154</v>
      </c>
    </row>
    <row r="147" spans="1:26" s="24" customFormat="1" hidden="1" outlineLevel="2" x14ac:dyDescent="0.25">
      <c r="A147" s="28"/>
      <c r="B147" s="11" t="str">
        <f>CONCATENATE("          ", "6115", " - ", "P.E.R.S.")</f>
        <v xml:space="preserve">          6115 - P.E.R.S.</v>
      </c>
      <c r="C147" s="11"/>
      <c r="D147" s="7">
        <v>12331.13</v>
      </c>
      <c r="E147" s="2"/>
      <c r="F147" s="6">
        <f t="shared" si="17"/>
        <v>1.8129201136374739E-2</v>
      </c>
      <c r="G147" s="2"/>
      <c r="H147" s="7">
        <v>15343.585725000012</v>
      </c>
      <c r="I147" s="2"/>
      <c r="J147" s="6">
        <f t="shared" si="18"/>
        <v>1.2589536490867343E-2</v>
      </c>
      <c r="K147" s="2"/>
      <c r="L147" s="7">
        <f t="shared" si="19"/>
        <v>-3012.4557250000125</v>
      </c>
      <c r="M147" s="2"/>
      <c r="N147" s="6">
        <f t="shared" si="20"/>
        <v>-0.19633322868537043</v>
      </c>
      <c r="O147" s="11"/>
      <c r="P147" s="7">
        <v>61840.480000000003</v>
      </c>
      <c r="Q147" s="2"/>
      <c r="R147" s="6">
        <f t="shared" si="21"/>
        <v>1.4503343630330325E-2</v>
      </c>
      <c r="S147" s="2"/>
      <c r="T147" s="7">
        <v>55482.255860000034</v>
      </c>
      <c r="U147" s="2"/>
      <c r="V147" s="6">
        <f t="shared" si="22"/>
        <v>8.1247231746401846E-3</v>
      </c>
      <c r="W147" s="2"/>
      <c r="X147" s="7">
        <f t="shared" si="23"/>
        <v>6358.2241399999693</v>
      </c>
      <c r="Y147" s="2"/>
      <c r="Z147" s="6">
        <f t="shared" si="24"/>
        <v>0.11459923612413775</v>
      </c>
    </row>
    <row r="148" spans="1:26" s="24" customFormat="1" hidden="1" outlineLevel="2" x14ac:dyDescent="0.25">
      <c r="A148" s="28"/>
      <c r="B148" s="11" t="str">
        <f>CONCATENATE("          ", "6116", " - ", "EDUCATIONAL BENEFITS")</f>
        <v xml:space="preserve">          6116 - EDUCATIONAL BENEFITS</v>
      </c>
      <c r="C148" s="11"/>
      <c r="D148" s="7"/>
      <c r="E148" s="2"/>
      <c r="F148" s="6">
        <f t="shared" si="17"/>
        <v>0</v>
      </c>
      <c r="G148" s="2"/>
      <c r="H148" s="7">
        <v>0</v>
      </c>
      <c r="I148" s="2"/>
      <c r="J148" s="6">
        <f t="shared" si="18"/>
        <v>0</v>
      </c>
      <c r="K148" s="2"/>
      <c r="L148" s="7">
        <f t="shared" si="19"/>
        <v>0</v>
      </c>
      <c r="M148" s="2"/>
      <c r="N148" s="6">
        <f t="shared" si="20"/>
        <v>0</v>
      </c>
      <c r="O148" s="11"/>
      <c r="P148" s="7">
        <v>0</v>
      </c>
      <c r="Q148" s="2"/>
      <c r="R148" s="6">
        <f t="shared" si="21"/>
        <v>0</v>
      </c>
      <c r="S148" s="2"/>
      <c r="T148" s="7">
        <v>0</v>
      </c>
      <c r="U148" s="2"/>
      <c r="V148" s="6">
        <f t="shared" si="22"/>
        <v>0</v>
      </c>
      <c r="W148" s="2"/>
      <c r="X148" s="7">
        <f t="shared" si="23"/>
        <v>0</v>
      </c>
      <c r="Y148" s="2"/>
      <c r="Z148" s="6">
        <f t="shared" si="24"/>
        <v>0</v>
      </c>
    </row>
    <row r="149" spans="1:26" s="24" customFormat="1" hidden="1" outlineLevel="2" x14ac:dyDescent="0.25">
      <c r="A149" s="28"/>
      <c r="B149" s="11" t="str">
        <f>CONCATENATE("          ", "6117", " - ", "RETIREMENT STAFF HOURLY")</f>
        <v xml:space="preserve">          6117 - RETIREMENT STAFF HOURLY</v>
      </c>
      <c r="C149" s="11"/>
      <c r="D149" s="7">
        <v>1868.21</v>
      </c>
      <c r="E149" s="2"/>
      <c r="F149" s="6">
        <f t="shared" si="17"/>
        <v>2.7466383741787371E-3</v>
      </c>
      <c r="G149" s="2"/>
      <c r="H149" s="7"/>
      <c r="I149" s="2"/>
      <c r="J149" s="6">
        <f t="shared" si="18"/>
        <v>0</v>
      </c>
      <c r="K149" s="2"/>
      <c r="L149" s="7">
        <f t="shared" si="19"/>
        <v>1868.21</v>
      </c>
      <c r="M149" s="2"/>
      <c r="N149" s="6">
        <f t="shared" si="20"/>
        <v>0</v>
      </c>
      <c r="O149" s="11"/>
      <c r="P149" s="7">
        <v>8484.51</v>
      </c>
      <c r="Q149" s="2"/>
      <c r="R149" s="6">
        <f t="shared" si="21"/>
        <v>1.9898578417401344E-3</v>
      </c>
      <c r="S149" s="2"/>
      <c r="T149" s="7"/>
      <c r="U149" s="2"/>
      <c r="V149" s="6">
        <f t="shared" si="22"/>
        <v>0</v>
      </c>
      <c r="W149" s="2"/>
      <c r="X149" s="7">
        <f t="shared" si="23"/>
        <v>8484.51</v>
      </c>
      <c r="Y149" s="2"/>
      <c r="Z149" s="6">
        <f t="shared" si="24"/>
        <v>0</v>
      </c>
    </row>
    <row r="150" spans="1:26" s="24" customFormat="1" hidden="1" outlineLevel="2" x14ac:dyDescent="0.25">
      <c r="A150" s="28"/>
      <c r="B150" s="11" t="str">
        <f>CONCATENATE("          ", "6118", " - ", "VACATION")</f>
        <v xml:space="preserve">          6118 - VACATION</v>
      </c>
      <c r="C150" s="11"/>
      <c r="D150" s="7">
        <v>21889.86</v>
      </c>
      <c r="E150" s="2"/>
      <c r="F150" s="6">
        <f t="shared" si="17"/>
        <v>3.2182425680946022E-2</v>
      </c>
      <c r="G150" s="2"/>
      <c r="H150" s="7">
        <v>16238.880563461531</v>
      </c>
      <c r="I150" s="2"/>
      <c r="J150" s="6">
        <f t="shared" si="18"/>
        <v>1.3324133164742053E-2</v>
      </c>
      <c r="K150" s="2"/>
      <c r="L150" s="7">
        <f t="shared" si="19"/>
        <v>5650.9794365384696</v>
      </c>
      <c r="M150" s="2"/>
      <c r="N150" s="6">
        <f t="shared" si="20"/>
        <v>0.3479907013574271</v>
      </c>
      <c r="O150" s="11"/>
      <c r="P150" s="7">
        <v>66166.710000000006</v>
      </c>
      <c r="Q150" s="2"/>
      <c r="R150" s="6">
        <f t="shared" si="21"/>
        <v>1.5517967066530108E-2</v>
      </c>
      <c r="S150" s="2"/>
      <c r="T150" s="7">
        <v>58545.556278461547</v>
      </c>
      <c r="U150" s="2"/>
      <c r="V150" s="6">
        <f t="shared" si="22"/>
        <v>8.5733074564970906E-3</v>
      </c>
      <c r="W150" s="2"/>
      <c r="X150" s="7">
        <f t="shared" si="23"/>
        <v>7621.1537215384596</v>
      </c>
      <c r="Y150" s="2"/>
      <c r="Z150" s="6">
        <f t="shared" si="24"/>
        <v>0.13017475972539735</v>
      </c>
    </row>
    <row r="151" spans="1:26" s="24" customFormat="1" hidden="1" outlineLevel="2" x14ac:dyDescent="0.25">
      <c r="A151" s="28"/>
      <c r="B151" s="11" t="str">
        <f>CONCATENATE("          ", "6119", " - ", "SICK LEAVE")</f>
        <v xml:space="preserve">          6119 - SICK LEAVE</v>
      </c>
      <c r="C151" s="11"/>
      <c r="D151" s="7">
        <v>14712.85</v>
      </c>
      <c r="E151" s="2"/>
      <c r="F151" s="6">
        <f t="shared" si="17"/>
        <v>2.1630800821928815E-2</v>
      </c>
      <c r="G151" s="2"/>
      <c r="H151" s="7">
        <v>14397.617611538453</v>
      </c>
      <c r="I151" s="2"/>
      <c r="J151" s="6">
        <f t="shared" si="18"/>
        <v>1.1813361984003746E-2</v>
      </c>
      <c r="K151" s="2"/>
      <c r="L151" s="7">
        <f t="shared" si="19"/>
        <v>315.23238846154709</v>
      </c>
      <c r="M151" s="2"/>
      <c r="N151" s="6">
        <f t="shared" si="20"/>
        <v>2.1894760436540237E-2</v>
      </c>
      <c r="O151" s="11"/>
      <c r="P151" s="7">
        <v>45215.590000000004</v>
      </c>
      <c r="Q151" s="2"/>
      <c r="R151" s="6">
        <f t="shared" si="21"/>
        <v>1.0604336176208975E-2</v>
      </c>
      <c r="S151" s="2"/>
      <c r="T151" s="7">
        <v>50324.583776538435</v>
      </c>
      <c r="U151" s="2"/>
      <c r="V151" s="6">
        <f t="shared" si="22"/>
        <v>7.369442819612184E-3</v>
      </c>
      <c r="W151" s="2"/>
      <c r="X151" s="7">
        <f t="shared" si="23"/>
        <v>-5108.9937765384311</v>
      </c>
      <c r="Y151" s="2"/>
      <c r="Z151" s="6">
        <f t="shared" si="24"/>
        <v>-0.1015208352089793</v>
      </c>
    </row>
    <row r="152" spans="1:26" s="24" customFormat="1" hidden="1" outlineLevel="2" x14ac:dyDescent="0.25">
      <c r="A152" s="28"/>
      <c r="B152" s="11" t="str">
        <f>CONCATENATE("          ", "6156", " - ", "EMPLOYEE MEALS")</f>
        <v xml:space="preserve">          6156 - EMPLOYEE MEALS</v>
      </c>
      <c r="C152" s="11"/>
      <c r="D152" s="7">
        <v>5900.97</v>
      </c>
      <c r="E152" s="2"/>
      <c r="F152" s="6">
        <f t="shared" si="17"/>
        <v>8.6755935611507826E-3</v>
      </c>
      <c r="G152" s="2"/>
      <c r="H152" s="7">
        <v>6350</v>
      </c>
      <c r="I152" s="2"/>
      <c r="J152" s="6">
        <f t="shared" si="18"/>
        <v>5.2102264848530103E-3</v>
      </c>
      <c r="K152" s="2"/>
      <c r="L152" s="7">
        <f t="shared" si="19"/>
        <v>-449.02999999999975</v>
      </c>
      <c r="M152" s="2"/>
      <c r="N152" s="6">
        <f t="shared" si="20"/>
        <v>-7.0713385826771613E-2</v>
      </c>
      <c r="O152" s="11"/>
      <c r="P152" s="7">
        <v>20375.5</v>
      </c>
      <c r="Q152" s="2"/>
      <c r="R152" s="6">
        <f t="shared" si="21"/>
        <v>4.7786317011089749E-3</v>
      </c>
      <c r="S152" s="2"/>
      <c r="T152" s="7">
        <v>25400</v>
      </c>
      <c r="U152" s="2"/>
      <c r="V152" s="6">
        <f t="shared" si="22"/>
        <v>3.7195309642166479E-3</v>
      </c>
      <c r="W152" s="2"/>
      <c r="X152" s="7">
        <f t="shared" si="23"/>
        <v>-5024.5</v>
      </c>
      <c r="Y152" s="2"/>
      <c r="Z152" s="6">
        <f t="shared" si="24"/>
        <v>-0.19781496062992127</v>
      </c>
    </row>
    <row r="153" spans="1:26" s="27" customFormat="1" outlineLevel="1" collapsed="1" x14ac:dyDescent="0.25">
      <c r="A153" s="29"/>
      <c r="B153" s="14" t="str">
        <f>CONCATENATE("     ","*Payroll                                          ")</f>
        <v xml:space="preserve">     *Payroll                                          </v>
      </c>
      <c r="C153" s="14"/>
      <c r="D153" s="1">
        <f>SUM(OSRRefD22_1x_0)</f>
        <v>322845.24</v>
      </c>
      <c r="E153" s="1"/>
      <c r="F153" s="5">
        <f t="shared" ref="F153:F163" si="25">IF(D$12=0,0,D153/D$12)</f>
        <v>0.47464638616908389</v>
      </c>
      <c r="G153" s="1"/>
      <c r="H153" s="1">
        <f>SUM(OSRRefH22_1x_0)</f>
        <v>445508.7024026924</v>
      </c>
      <c r="I153" s="1"/>
      <c r="J153" s="5">
        <f t="shared" ref="J153:J163" si="26">IF(H$12=0,0,H153/H$12)</f>
        <v>0.36554350243952849</v>
      </c>
      <c r="K153" s="1"/>
      <c r="L153" s="1">
        <f t="shared" ref="L153:L163" si="27">+D153-H153</f>
        <v>-122663.46240269241</v>
      </c>
      <c r="M153" s="1"/>
      <c r="N153" s="5">
        <f t="shared" ref="N153:N163" si="28">IF(H153=0,0,L153/H153)</f>
        <v>-0.27533348224434395</v>
      </c>
      <c r="O153" s="14"/>
      <c r="P153" s="1">
        <f>SUM(OSRRefP22_1x_0)</f>
        <v>1217153.8600000001</v>
      </c>
      <c r="Q153" s="1"/>
      <c r="R153" s="5">
        <f t="shared" ref="R153:R163" si="29">IF(P$12=0,0,P153/P$12)</f>
        <v>0.28545704500616698</v>
      </c>
      <c r="S153" s="1"/>
      <c r="T153" s="1">
        <f>SUM(OSRRefT22_1x_0)</f>
        <v>1603696.8801646924</v>
      </c>
      <c r="U153" s="1"/>
      <c r="V153" s="5">
        <f t="shared" ref="V153:V163" si="30">IF(T$12=0,0,T153/T$12)</f>
        <v>0.23484252767677985</v>
      </c>
      <c r="W153" s="1"/>
      <c r="X153" s="1">
        <f t="shared" ref="X153:X163" si="31">+P153-T153</f>
        <v>-386543.02016469231</v>
      </c>
      <c r="Y153" s="1"/>
      <c r="Z153" s="5">
        <f t="shared" ref="Z153:Z163" si="32">IF(T153=0,0,X153/T153)</f>
        <v>-0.24103247000455352</v>
      </c>
    </row>
    <row r="154" spans="1:26" s="24" customFormat="1" hidden="1" outlineLevel="2" x14ac:dyDescent="0.25">
      <c r="A154" s="28"/>
      <c r="B154" s="11" t="str">
        <f>CONCATENATE("          ", "6001", " - ", "ADMINISTRATIVE SALARIES")</f>
        <v xml:space="preserve">          6001 - ADMINISTRATIVE SALARIES</v>
      </c>
      <c r="C154" s="11"/>
      <c r="D154" s="7">
        <v>30125.759999999998</v>
      </c>
      <c r="E154" s="2"/>
      <c r="F154" s="6">
        <f t="shared" si="25"/>
        <v>4.4290828369026411E-2</v>
      </c>
      <c r="G154" s="2"/>
      <c r="H154" s="7">
        <v>33786.163461538446</v>
      </c>
      <c r="I154" s="2"/>
      <c r="J154" s="6">
        <f t="shared" si="26"/>
        <v>2.7721821053367034E-2</v>
      </c>
      <c r="K154" s="2"/>
      <c r="L154" s="7">
        <f t="shared" si="27"/>
        <v>-3660.403461538448</v>
      </c>
      <c r="M154" s="2"/>
      <c r="N154" s="6">
        <f t="shared" si="28"/>
        <v>-0.10834031113669905</v>
      </c>
      <c r="O154" s="11"/>
      <c r="P154" s="7">
        <v>115612.94</v>
      </c>
      <c r="Q154" s="2"/>
      <c r="R154" s="6">
        <f t="shared" si="29"/>
        <v>2.7114508117219691E-2</v>
      </c>
      <c r="S154" s="2"/>
      <c r="T154" s="7">
        <v>121630.18846153843</v>
      </c>
      <c r="U154" s="2"/>
      <c r="V154" s="6">
        <f t="shared" si="30"/>
        <v>1.7811309140401521E-2</v>
      </c>
      <c r="W154" s="2"/>
      <c r="X154" s="7">
        <f t="shared" si="31"/>
        <v>-6017.248461538431</v>
      </c>
      <c r="Y154" s="2"/>
      <c r="Z154" s="6">
        <f t="shared" si="32"/>
        <v>-4.9471669308817925E-2</v>
      </c>
    </row>
    <row r="155" spans="1:26" s="24" customFormat="1" hidden="1" outlineLevel="2" x14ac:dyDescent="0.25">
      <c r="A155" s="28"/>
      <c r="B155" s="11" t="str">
        <f>CONCATENATE("          ", "6002", " - ", "STAFF SALARIES")</f>
        <v xml:space="preserve">          6002 - STAFF SALARIES</v>
      </c>
      <c r="C155" s="11"/>
      <c r="D155" s="7">
        <v>113887.76</v>
      </c>
      <c r="E155" s="2"/>
      <c r="F155" s="6">
        <f t="shared" si="25"/>
        <v>0.16743754287005111</v>
      </c>
      <c r="G155" s="2"/>
      <c r="H155" s="7">
        <v>127643.8611661539</v>
      </c>
      <c r="I155" s="2"/>
      <c r="J155" s="6">
        <f t="shared" si="26"/>
        <v>0.10473282300421979</v>
      </c>
      <c r="K155" s="2"/>
      <c r="L155" s="7">
        <f t="shared" si="27"/>
        <v>-13756.101166153909</v>
      </c>
      <c r="M155" s="2"/>
      <c r="N155" s="6">
        <f t="shared" si="28"/>
        <v>-0.10776939086986412</v>
      </c>
      <c r="O155" s="11"/>
      <c r="P155" s="7">
        <v>470899.36</v>
      </c>
      <c r="Q155" s="2"/>
      <c r="R155" s="6">
        <f t="shared" si="29"/>
        <v>0.11043923387047815</v>
      </c>
      <c r="S155" s="2"/>
      <c r="T155" s="7">
        <v>462228.13144815399</v>
      </c>
      <c r="U155" s="2"/>
      <c r="V155" s="6">
        <f t="shared" si="30"/>
        <v>6.7687868009976837E-2</v>
      </c>
      <c r="W155" s="2"/>
      <c r="X155" s="7">
        <f t="shared" si="31"/>
        <v>8671.2285518459976</v>
      </c>
      <c r="Y155" s="2"/>
      <c r="Z155" s="6">
        <f t="shared" si="32"/>
        <v>1.875962963283772E-2</v>
      </c>
    </row>
    <row r="156" spans="1:26" s="24" customFormat="1" hidden="1" outlineLevel="2" x14ac:dyDescent="0.25">
      <c r="A156" s="28"/>
      <c r="B156" s="11" t="str">
        <f>CONCATENATE("          ", "6003", " - ", "STAFF HOURLY-9 MONTH")</f>
        <v xml:space="preserve">          6003 - STAFF HOURLY-9 MONTH</v>
      </c>
      <c r="C156" s="11"/>
      <c r="D156" s="7"/>
      <c r="E156" s="2"/>
      <c r="F156" s="6">
        <f t="shared" si="25"/>
        <v>0</v>
      </c>
      <c r="G156" s="2"/>
      <c r="H156" s="7">
        <v>0</v>
      </c>
      <c r="I156" s="2"/>
      <c r="J156" s="6">
        <f t="shared" si="26"/>
        <v>0</v>
      </c>
      <c r="K156" s="2"/>
      <c r="L156" s="7">
        <f t="shared" si="27"/>
        <v>0</v>
      </c>
      <c r="M156" s="2"/>
      <c r="N156" s="6">
        <f t="shared" si="28"/>
        <v>0</v>
      </c>
      <c r="O156" s="11"/>
      <c r="P156" s="7"/>
      <c r="Q156" s="2"/>
      <c r="R156" s="6">
        <f t="shared" si="29"/>
        <v>0</v>
      </c>
      <c r="S156" s="2"/>
      <c r="T156" s="7">
        <v>0</v>
      </c>
      <c r="U156" s="2"/>
      <c r="V156" s="6">
        <f t="shared" si="30"/>
        <v>0</v>
      </c>
      <c r="W156" s="2"/>
      <c r="X156" s="7">
        <f t="shared" si="31"/>
        <v>0</v>
      </c>
      <c r="Y156" s="2"/>
      <c r="Z156" s="6">
        <f t="shared" si="32"/>
        <v>0</v>
      </c>
    </row>
    <row r="157" spans="1:26" s="24" customFormat="1" hidden="1" outlineLevel="2" x14ac:dyDescent="0.25">
      <c r="A157" s="28"/>
      <c r="B157" s="11" t="str">
        <f>CONCATENATE("          ", "6004", " - ", "STAFF HOURLY")</f>
        <v xml:space="preserve">          6004 - STAFF HOURLY</v>
      </c>
      <c r="C157" s="11"/>
      <c r="D157" s="7">
        <v>94314.06</v>
      </c>
      <c r="E157" s="2"/>
      <c r="F157" s="6">
        <f t="shared" si="25"/>
        <v>0.13866033070189959</v>
      </c>
      <c r="G157" s="2"/>
      <c r="H157" s="7">
        <v>136430</v>
      </c>
      <c r="I157" s="2"/>
      <c r="J157" s="6">
        <f t="shared" si="26"/>
        <v>0.11194192115409389</v>
      </c>
      <c r="K157" s="2"/>
      <c r="L157" s="7">
        <f t="shared" si="27"/>
        <v>-42115.94</v>
      </c>
      <c r="M157" s="2"/>
      <c r="N157" s="6">
        <f t="shared" si="28"/>
        <v>-0.30869999267023385</v>
      </c>
      <c r="O157" s="11"/>
      <c r="P157" s="7">
        <v>284692.43</v>
      </c>
      <c r="Q157" s="2"/>
      <c r="R157" s="6">
        <f t="shared" si="29"/>
        <v>6.6768436164204442E-2</v>
      </c>
      <c r="S157" s="2"/>
      <c r="T157" s="7">
        <v>464978.35</v>
      </c>
      <c r="U157" s="2"/>
      <c r="V157" s="6">
        <f t="shared" si="30"/>
        <v>6.8090605138400234E-2</v>
      </c>
      <c r="W157" s="2"/>
      <c r="X157" s="7">
        <f t="shared" si="31"/>
        <v>-180285.91999999998</v>
      </c>
      <c r="Y157" s="2"/>
      <c r="Z157" s="6">
        <f t="shared" si="32"/>
        <v>-0.38772970827566489</v>
      </c>
    </row>
    <row r="158" spans="1:26" s="24" customFormat="1" hidden="1" outlineLevel="2" x14ac:dyDescent="0.25">
      <c r="A158" s="28"/>
      <c r="B158" s="11" t="str">
        <f>CONCATENATE("          ", "6005", " - ", "TEMPORARY WAGES-HOURLY")</f>
        <v xml:space="preserve">          6005 - TEMPORARY WAGES-HOURLY</v>
      </c>
      <c r="C158" s="11"/>
      <c r="D158" s="7">
        <v>52240.990000000005</v>
      </c>
      <c r="E158" s="2"/>
      <c r="F158" s="6">
        <f t="shared" si="25"/>
        <v>7.6804592545317546E-2</v>
      </c>
      <c r="G158" s="2"/>
      <c r="H158" s="7">
        <v>20010.027774999999</v>
      </c>
      <c r="I158" s="2"/>
      <c r="J158" s="6">
        <f t="shared" si="26"/>
        <v>1.6418390027708559E-2</v>
      </c>
      <c r="K158" s="2"/>
      <c r="L158" s="7">
        <f t="shared" si="27"/>
        <v>32230.962225000007</v>
      </c>
      <c r="M158" s="2"/>
      <c r="N158" s="6">
        <f t="shared" si="28"/>
        <v>1.6107405040820844</v>
      </c>
      <c r="O158" s="11"/>
      <c r="P158" s="7">
        <v>151704.62</v>
      </c>
      <c r="Q158" s="2"/>
      <c r="R158" s="6">
        <f t="shared" si="29"/>
        <v>3.5579029046486736E-2</v>
      </c>
      <c r="S158" s="2"/>
      <c r="T158" s="7">
        <v>59460.110254999992</v>
      </c>
      <c r="U158" s="2"/>
      <c r="V158" s="6">
        <f t="shared" si="30"/>
        <v>8.7072331192601694E-3</v>
      </c>
      <c r="W158" s="2"/>
      <c r="X158" s="7">
        <f t="shared" si="31"/>
        <v>92244.509745000003</v>
      </c>
      <c r="Y158" s="2"/>
      <c r="Z158" s="6">
        <f t="shared" si="32"/>
        <v>1.5513679565914222</v>
      </c>
    </row>
    <row r="159" spans="1:26" s="24" customFormat="1" hidden="1" outlineLevel="2" x14ac:dyDescent="0.25">
      <c r="A159" s="28"/>
      <c r="B159" s="11" t="str">
        <f>CONCATENATE("          ", "6006", " - ", "TEMPORARY PART TIME")</f>
        <v xml:space="preserve">          6006 - TEMPORARY PART TIME</v>
      </c>
      <c r="C159" s="11"/>
      <c r="D159" s="7">
        <v>1802.76</v>
      </c>
      <c r="E159" s="2"/>
      <c r="F159" s="6">
        <f t="shared" si="25"/>
        <v>2.6504139231855414E-3</v>
      </c>
      <c r="G159" s="2"/>
      <c r="H159" s="7">
        <v>0</v>
      </c>
      <c r="I159" s="2"/>
      <c r="J159" s="6">
        <f t="shared" si="26"/>
        <v>0</v>
      </c>
      <c r="K159" s="2"/>
      <c r="L159" s="7">
        <f t="shared" si="27"/>
        <v>1802.76</v>
      </c>
      <c r="M159" s="2"/>
      <c r="N159" s="6">
        <f t="shared" si="28"/>
        <v>0</v>
      </c>
      <c r="O159" s="11"/>
      <c r="P159" s="7">
        <v>7507.17</v>
      </c>
      <c r="Q159" s="2"/>
      <c r="R159" s="6">
        <f t="shared" si="29"/>
        <v>1.7606439374549955E-3</v>
      </c>
      <c r="S159" s="2"/>
      <c r="T159" s="7">
        <v>0</v>
      </c>
      <c r="U159" s="2"/>
      <c r="V159" s="6">
        <f t="shared" si="30"/>
        <v>0</v>
      </c>
      <c r="W159" s="2"/>
      <c r="X159" s="7">
        <f t="shared" si="31"/>
        <v>7507.17</v>
      </c>
      <c r="Y159" s="2"/>
      <c r="Z159" s="6">
        <f t="shared" si="32"/>
        <v>0</v>
      </c>
    </row>
    <row r="160" spans="1:26" s="24" customFormat="1" hidden="1" outlineLevel="2" x14ac:dyDescent="0.25">
      <c r="A160" s="28"/>
      <c r="B160" s="11" t="str">
        <f>CONCATENATE("          ", "6007", " - ", "STUDENT HOURLY")</f>
        <v xml:space="preserve">          6007 - STUDENT HOURLY</v>
      </c>
      <c r="C160" s="11"/>
      <c r="D160" s="7">
        <v>23964.41</v>
      </c>
      <c r="E160" s="2"/>
      <c r="F160" s="6">
        <f t="shared" si="25"/>
        <v>3.5232424684886958E-2</v>
      </c>
      <c r="G160" s="2"/>
      <c r="H160" s="7">
        <v>0</v>
      </c>
      <c r="I160" s="2"/>
      <c r="J160" s="6">
        <f t="shared" si="26"/>
        <v>0</v>
      </c>
      <c r="K160" s="2"/>
      <c r="L160" s="7">
        <f t="shared" si="27"/>
        <v>23964.41</v>
      </c>
      <c r="M160" s="2"/>
      <c r="N160" s="6">
        <f t="shared" si="28"/>
        <v>0</v>
      </c>
      <c r="O160" s="11"/>
      <c r="P160" s="7">
        <v>174193.12</v>
      </c>
      <c r="Q160" s="2"/>
      <c r="R160" s="6">
        <f t="shared" si="29"/>
        <v>4.0853219079143077E-2</v>
      </c>
      <c r="S160" s="2"/>
      <c r="T160" s="7">
        <v>180176.75</v>
      </c>
      <c r="U160" s="2"/>
      <c r="V160" s="6">
        <f t="shared" si="30"/>
        <v>2.6384763805390624E-2</v>
      </c>
      <c r="W160" s="2"/>
      <c r="X160" s="7">
        <f t="shared" si="31"/>
        <v>-5983.6300000000047</v>
      </c>
      <c r="Y160" s="2"/>
      <c r="Z160" s="6">
        <f t="shared" si="32"/>
        <v>-3.3209778731162619E-2</v>
      </c>
    </row>
    <row r="161" spans="1:26" s="24" customFormat="1" hidden="1" outlineLevel="2" x14ac:dyDescent="0.25">
      <c r="A161" s="28"/>
      <c r="B161" s="11" t="str">
        <f>CONCATENATE("          ", "6008", " - ", "STUDENT HOURLY-FICA EXEMPT")</f>
        <v xml:space="preserve">          6008 - STUDENT HOURLY-FICA EXEMPT</v>
      </c>
      <c r="C161" s="11"/>
      <c r="D161" s="7">
        <v>6509.5</v>
      </c>
      <c r="E161" s="2"/>
      <c r="F161" s="6">
        <f t="shared" si="25"/>
        <v>9.5702530747167024E-3</v>
      </c>
      <c r="G161" s="2"/>
      <c r="H161" s="7">
        <v>127638.65</v>
      </c>
      <c r="I161" s="2"/>
      <c r="J161" s="6">
        <f t="shared" si="26"/>
        <v>0.10472854720013915</v>
      </c>
      <c r="K161" s="2"/>
      <c r="L161" s="7">
        <f t="shared" si="27"/>
        <v>-121129.15</v>
      </c>
      <c r="M161" s="2"/>
      <c r="N161" s="6">
        <f t="shared" si="28"/>
        <v>-0.94900055743303458</v>
      </c>
      <c r="O161" s="11"/>
      <c r="P161" s="7">
        <v>12544.22</v>
      </c>
      <c r="Q161" s="2"/>
      <c r="R161" s="6">
        <f t="shared" si="29"/>
        <v>2.941974791179859E-3</v>
      </c>
      <c r="S161" s="2"/>
      <c r="T161" s="7">
        <v>315223.35000000003</v>
      </c>
      <c r="U161" s="2"/>
      <c r="V161" s="6">
        <f t="shared" si="30"/>
        <v>4.6160748463350471E-2</v>
      </c>
      <c r="W161" s="2"/>
      <c r="X161" s="7">
        <f t="shared" si="31"/>
        <v>-302679.13000000006</v>
      </c>
      <c r="Y161" s="2"/>
      <c r="Z161" s="6">
        <f t="shared" si="32"/>
        <v>-0.96020529570541024</v>
      </c>
    </row>
    <row r="162" spans="1:26" s="24" customFormat="1" hidden="1" outlineLevel="2" x14ac:dyDescent="0.25">
      <c r="A162" s="28"/>
      <c r="B162" s="11" t="str">
        <f>CONCATENATE("          ", "6009", " - ", "TEMPORARY-SEASONAL")</f>
        <v xml:space="preserve">          6009 - TEMPORARY-SEASONAL</v>
      </c>
      <c r="C162" s="11"/>
      <c r="D162" s="7"/>
      <c r="E162" s="2"/>
      <c r="F162" s="6">
        <f t="shared" si="25"/>
        <v>0</v>
      </c>
      <c r="G162" s="2"/>
      <c r="H162" s="7">
        <v>0</v>
      </c>
      <c r="I162" s="2"/>
      <c r="J162" s="6">
        <f t="shared" si="26"/>
        <v>0</v>
      </c>
      <c r="K162" s="2"/>
      <c r="L162" s="7">
        <f t="shared" si="27"/>
        <v>0</v>
      </c>
      <c r="M162" s="2"/>
      <c r="N162" s="6">
        <f t="shared" si="28"/>
        <v>0</v>
      </c>
      <c r="O162" s="11"/>
      <c r="P162" s="7"/>
      <c r="Q162" s="2"/>
      <c r="R162" s="6">
        <f t="shared" si="29"/>
        <v>0</v>
      </c>
      <c r="S162" s="2"/>
      <c r="T162" s="7">
        <v>0</v>
      </c>
      <c r="U162" s="2"/>
      <c r="V162" s="6">
        <f t="shared" si="30"/>
        <v>0</v>
      </c>
      <c r="W162" s="2"/>
      <c r="X162" s="7">
        <f t="shared" si="31"/>
        <v>0</v>
      </c>
      <c r="Y162" s="2"/>
      <c r="Z162" s="6">
        <f t="shared" si="32"/>
        <v>0</v>
      </c>
    </row>
    <row r="163" spans="1:26" s="24" customFormat="1" hidden="1" outlineLevel="2" x14ac:dyDescent="0.25">
      <c r="A163" s="28"/>
      <c r="B163" s="11" t="str">
        <f>CONCATENATE("          ", "6010", " - ", "GRATUITY")</f>
        <v xml:space="preserve">          6010 - GRATUITY</v>
      </c>
      <c r="C163" s="11"/>
      <c r="D163" s="7"/>
      <c r="E163" s="2"/>
      <c r="F163" s="6">
        <f t="shared" si="25"/>
        <v>0</v>
      </c>
      <c r="G163" s="2"/>
      <c r="H163" s="7">
        <v>0</v>
      </c>
      <c r="I163" s="2"/>
      <c r="J163" s="6">
        <f t="shared" si="26"/>
        <v>0</v>
      </c>
      <c r="K163" s="2"/>
      <c r="L163" s="7">
        <f t="shared" si="27"/>
        <v>0</v>
      </c>
      <c r="M163" s="2"/>
      <c r="N163" s="6">
        <f t="shared" si="28"/>
        <v>0</v>
      </c>
      <c r="O163" s="11"/>
      <c r="P163" s="7"/>
      <c r="Q163" s="2"/>
      <c r="R163" s="6">
        <f t="shared" si="29"/>
        <v>0</v>
      </c>
      <c r="S163" s="2"/>
      <c r="T163" s="7">
        <v>0</v>
      </c>
      <c r="U163" s="2"/>
      <c r="V163" s="6">
        <f t="shared" si="30"/>
        <v>0</v>
      </c>
      <c r="W163" s="2"/>
      <c r="X163" s="7">
        <f t="shared" si="31"/>
        <v>0</v>
      </c>
      <c r="Y163" s="2"/>
      <c r="Z163" s="6">
        <f t="shared" si="32"/>
        <v>0</v>
      </c>
    </row>
    <row r="164" spans="1:26" s="27" customFormat="1" outlineLevel="1" collapsed="1" x14ac:dyDescent="0.25">
      <c r="A164" s="29"/>
      <c r="B164" s="14" t="str">
        <f>CONCATENATE("     ","Advertising/Promo                                 ")</f>
        <v xml:space="preserve">     Advertising/Promo                                 </v>
      </c>
      <c r="C164" s="14"/>
      <c r="D164" s="1">
        <f>SUM(OSRRefD22_2x_0)</f>
        <v>1331.21</v>
      </c>
      <c r="E164" s="1"/>
      <c r="F164" s="5">
        <f t="shared" ref="F164:F168" si="33">IF(D$12=0,0,D164/D$12)</f>
        <v>1.957142114692929E-3</v>
      </c>
      <c r="G164" s="1"/>
      <c r="H164" s="1">
        <f>SUM(OSRRefH22_2x_0)</f>
        <v>3846</v>
      </c>
      <c r="I164" s="1"/>
      <c r="J164" s="5">
        <f t="shared" ref="J164:J168" si="34">IF(H$12=0,0,H164/H$12)</f>
        <v>3.1556741827944374E-3</v>
      </c>
      <c r="K164" s="1"/>
      <c r="L164" s="1">
        <f t="shared" ref="L164:L168" si="35">+D164-H164</f>
        <v>-2514.79</v>
      </c>
      <c r="M164" s="1"/>
      <c r="N164" s="5">
        <f t="shared" ref="N164:N168" si="36">IF(H164=0,0,L164/H164)</f>
        <v>-0.6538715548621945</v>
      </c>
      <c r="O164" s="14"/>
      <c r="P164" s="1">
        <f>SUM(OSRRefP22_2x_0)</f>
        <v>15498.26</v>
      </c>
      <c r="Q164" s="1"/>
      <c r="R164" s="5">
        <f t="shared" ref="R164:R168" si="37">IF(P$12=0,0,P164/P$12)</f>
        <v>3.6347808175519213E-3</v>
      </c>
      <c r="S164" s="1"/>
      <c r="T164" s="1">
        <f>SUM(OSRRefT22_2x_0)</f>
        <v>14236</v>
      </c>
      <c r="U164" s="1"/>
      <c r="V164" s="5">
        <f t="shared" ref="V164:V168" si="38">IF(T$12=0,0,T164/T$12)</f>
        <v>2.0846945986845748E-3</v>
      </c>
      <c r="W164" s="1"/>
      <c r="X164" s="1">
        <f t="shared" ref="X164:X168" si="39">+P164-T164</f>
        <v>1262.2600000000002</v>
      </c>
      <c r="Y164" s="1"/>
      <c r="Z164" s="5">
        <f t="shared" ref="Z164:Z168" si="40">IF(T164=0,0,X164/T164)</f>
        <v>8.8666760325934263E-2</v>
      </c>
    </row>
    <row r="165" spans="1:26" s="24" customFormat="1" hidden="1" outlineLevel="2" x14ac:dyDescent="0.25">
      <c r="A165" s="28"/>
      <c r="B165" s="11" t="str">
        <f>CONCATENATE("          ", "6362", " - ", "ADVERTISING EXPENSE")</f>
        <v xml:space="preserve">          6362 - ADVERTISING EXPENSE</v>
      </c>
      <c r="C165" s="11"/>
      <c r="D165" s="7">
        <v>1331.21</v>
      </c>
      <c r="E165" s="2"/>
      <c r="F165" s="6">
        <f t="shared" si="33"/>
        <v>1.957142114692929E-3</v>
      </c>
      <c r="G165" s="2"/>
      <c r="H165" s="7">
        <v>3846</v>
      </c>
      <c r="I165" s="2"/>
      <c r="J165" s="6">
        <f t="shared" si="34"/>
        <v>3.1556741827944374E-3</v>
      </c>
      <c r="K165" s="2"/>
      <c r="L165" s="7">
        <f t="shared" si="35"/>
        <v>-2514.79</v>
      </c>
      <c r="M165" s="2"/>
      <c r="N165" s="6">
        <f t="shared" si="36"/>
        <v>-0.6538715548621945</v>
      </c>
      <c r="O165" s="11"/>
      <c r="P165" s="7">
        <v>15498.26</v>
      </c>
      <c r="Q165" s="2"/>
      <c r="R165" s="6">
        <f t="shared" si="37"/>
        <v>3.6347808175519213E-3</v>
      </c>
      <c r="S165" s="2"/>
      <c r="T165" s="7">
        <v>14236</v>
      </c>
      <c r="U165" s="2"/>
      <c r="V165" s="6">
        <f t="shared" si="38"/>
        <v>2.0846945986845748E-3</v>
      </c>
      <c r="W165" s="2"/>
      <c r="X165" s="7">
        <f t="shared" si="39"/>
        <v>1262.2600000000002</v>
      </c>
      <c r="Y165" s="2"/>
      <c r="Z165" s="6">
        <f t="shared" si="40"/>
        <v>8.8666760325934263E-2</v>
      </c>
    </row>
    <row r="166" spans="1:26" s="27" customFormat="1" outlineLevel="1" collapsed="1" x14ac:dyDescent="0.25">
      <c r="A166" s="29"/>
      <c r="B166" s="14" t="str">
        <f>CONCATENATE("     ","Bad Debts/Over/Short                              ")</f>
        <v xml:space="preserve">     Bad Debts/Over/Short                              </v>
      </c>
      <c r="C166" s="14"/>
      <c r="D166" s="1">
        <f>SUM(OSRRefD22_3x_0)</f>
        <v>1510.35</v>
      </c>
      <c r="E166" s="1"/>
      <c r="F166" s="5">
        <f t="shared" si="33"/>
        <v>2.2205133622241907E-3</v>
      </c>
      <c r="G166" s="1"/>
      <c r="H166" s="1">
        <f>SUM(OSRRefH22_3x_0)</f>
        <v>176</v>
      </c>
      <c r="I166" s="1"/>
      <c r="J166" s="5">
        <f t="shared" si="34"/>
        <v>1.4440942698175271E-4</v>
      </c>
      <c r="K166" s="1"/>
      <c r="L166" s="1">
        <f t="shared" si="35"/>
        <v>1334.35</v>
      </c>
      <c r="M166" s="1"/>
      <c r="N166" s="5">
        <f t="shared" si="36"/>
        <v>7.5815340909090905</v>
      </c>
      <c r="O166" s="14"/>
      <c r="P166" s="1">
        <f>SUM(OSRRefP22_3x_0)</f>
        <v>1461.89</v>
      </c>
      <c r="Q166" s="1"/>
      <c r="R166" s="5">
        <f t="shared" si="37"/>
        <v>3.4285459976610139E-4</v>
      </c>
      <c r="S166" s="1"/>
      <c r="T166" s="1">
        <f>SUM(OSRRefT22_3x_0)</f>
        <v>631</v>
      </c>
      <c r="U166" s="1"/>
      <c r="V166" s="5">
        <f t="shared" si="38"/>
        <v>9.2402521197665539E-5</v>
      </c>
      <c r="W166" s="1"/>
      <c r="X166" s="1">
        <f t="shared" si="39"/>
        <v>830.8900000000001</v>
      </c>
      <c r="Y166" s="1"/>
      <c r="Z166" s="5">
        <f t="shared" si="40"/>
        <v>1.3167828843106182</v>
      </c>
    </row>
    <row r="167" spans="1:26" s="24" customFormat="1" hidden="1" outlineLevel="2" x14ac:dyDescent="0.25">
      <c r="A167" s="28"/>
      <c r="B167" s="11" t="str">
        <f>CONCATENATE("          ", "6272", " - ", "CASH (OVER/SHORT)")</f>
        <v xml:space="preserve">          6272 - CASH (OVER/SHORT)</v>
      </c>
      <c r="C167" s="11"/>
      <c r="D167" s="7">
        <v>1510.35</v>
      </c>
      <c r="E167" s="2"/>
      <c r="F167" s="6">
        <f t="shared" si="33"/>
        <v>2.2205133622241907E-3</v>
      </c>
      <c r="G167" s="2"/>
      <c r="H167" s="7">
        <v>126</v>
      </c>
      <c r="I167" s="2"/>
      <c r="J167" s="6">
        <f t="shared" si="34"/>
        <v>1.0338402158920933E-4</v>
      </c>
      <c r="K167" s="2"/>
      <c r="L167" s="7">
        <f t="shared" si="35"/>
        <v>1384.35</v>
      </c>
      <c r="M167" s="2"/>
      <c r="N167" s="6">
        <f t="shared" si="36"/>
        <v>10.986904761904761</v>
      </c>
      <c r="O167" s="11"/>
      <c r="P167" s="7">
        <v>1461.89</v>
      </c>
      <c r="Q167" s="2"/>
      <c r="R167" s="6">
        <f t="shared" si="37"/>
        <v>3.4285459976610139E-4</v>
      </c>
      <c r="S167" s="2"/>
      <c r="T167" s="7">
        <v>431</v>
      </c>
      <c r="U167" s="2"/>
      <c r="V167" s="6">
        <f t="shared" si="38"/>
        <v>6.3114875810132878E-5</v>
      </c>
      <c r="W167" s="2"/>
      <c r="X167" s="7">
        <f t="shared" si="39"/>
        <v>1030.8900000000001</v>
      </c>
      <c r="Y167" s="2"/>
      <c r="Z167" s="6">
        <f t="shared" si="40"/>
        <v>2.3918561484918794</v>
      </c>
    </row>
    <row r="168" spans="1:26" s="24" customFormat="1" hidden="1" outlineLevel="2" x14ac:dyDescent="0.25">
      <c r="A168" s="28"/>
      <c r="B168" s="11" t="str">
        <f>CONCATENATE("          ", "6342", " - ", "BAD DEBT")</f>
        <v xml:space="preserve">          6342 - BAD DEBT</v>
      </c>
      <c r="C168" s="11"/>
      <c r="D168" s="7"/>
      <c r="E168" s="2"/>
      <c r="F168" s="6">
        <f t="shared" si="33"/>
        <v>0</v>
      </c>
      <c r="G168" s="2"/>
      <c r="H168" s="7">
        <v>50</v>
      </c>
      <c r="I168" s="2"/>
      <c r="J168" s="6">
        <f t="shared" si="34"/>
        <v>4.1025405392543388E-5</v>
      </c>
      <c r="K168" s="2"/>
      <c r="L168" s="7">
        <f t="shared" si="35"/>
        <v>-50</v>
      </c>
      <c r="M168" s="2"/>
      <c r="N168" s="6">
        <f t="shared" si="36"/>
        <v>-1</v>
      </c>
      <c r="O168" s="11"/>
      <c r="P168" s="7"/>
      <c r="Q168" s="2"/>
      <c r="R168" s="6">
        <f t="shared" si="37"/>
        <v>0</v>
      </c>
      <c r="S168" s="2"/>
      <c r="T168" s="7">
        <v>200</v>
      </c>
      <c r="U168" s="2"/>
      <c r="V168" s="6">
        <f t="shared" si="38"/>
        <v>2.9287645387532658E-5</v>
      </c>
      <c r="W168" s="2"/>
      <c r="X168" s="7">
        <f t="shared" si="39"/>
        <v>-200</v>
      </c>
      <c r="Y168" s="2"/>
      <c r="Z168" s="6">
        <f t="shared" si="40"/>
        <v>-1</v>
      </c>
    </row>
    <row r="169" spans="1:26" s="27" customFormat="1" outlineLevel="1" collapsed="1" x14ac:dyDescent="0.25">
      <c r="A169" s="29"/>
      <c r="B169" s="14" t="str">
        <f>CONCATENATE("     ","Bank/card Fees                                    ")</f>
        <v xml:space="preserve">     Bank/card Fees                                    </v>
      </c>
      <c r="C169" s="14"/>
      <c r="D169" s="1">
        <f>SUM(OSRRefD22_4x_0)</f>
        <v>5909.57</v>
      </c>
      <c r="E169" s="1"/>
      <c r="F169" s="5">
        <f t="shared" ref="F169:F174" si="41">IF(D$12=0,0,D169/D$12)</f>
        <v>8.6882372628855637E-3</v>
      </c>
      <c r="G169" s="1"/>
      <c r="H169" s="1">
        <f>SUM(OSRRefH22_4x_0)</f>
        <v>23982</v>
      </c>
      <c r="I169" s="1"/>
      <c r="J169" s="5">
        <f t="shared" ref="J169:J174" si="42">IF(H$12=0,0,H169/H$12)</f>
        <v>1.967742544247951E-2</v>
      </c>
      <c r="K169" s="1"/>
      <c r="L169" s="1">
        <f t="shared" ref="L169:L174" si="43">+D169-H169</f>
        <v>-18072.43</v>
      </c>
      <c r="M169" s="1"/>
      <c r="N169" s="5">
        <f t="shared" ref="N169:N174" si="44">IF(H169=0,0,L169/H169)</f>
        <v>-0.75358310399466266</v>
      </c>
      <c r="O169" s="14"/>
      <c r="P169" s="1">
        <f>SUM(OSRRefP22_4x_0)</f>
        <v>41961.270000000004</v>
      </c>
      <c r="Q169" s="1"/>
      <c r="R169" s="5">
        <f t="shared" ref="R169:R174" si="45">IF(P$12=0,0,P169/P$12)</f>
        <v>9.8411059871312597E-3</v>
      </c>
      <c r="S169" s="1"/>
      <c r="T169" s="1">
        <f>SUM(OSRRefT22_4x_0)</f>
        <v>113770</v>
      </c>
      <c r="U169" s="1"/>
      <c r="V169" s="5">
        <f t="shared" ref="V169:V174" si="46">IF(T$12=0,0,T169/T$12)</f>
        <v>1.6660277078697952E-2</v>
      </c>
      <c r="W169" s="1"/>
      <c r="X169" s="1">
        <f t="shared" ref="X169:X174" si="47">+P169-T169</f>
        <v>-71808.73</v>
      </c>
      <c r="Y169" s="1"/>
      <c r="Z169" s="5">
        <f t="shared" ref="Z169:Z174" si="48">IF(T169=0,0,X169/T169)</f>
        <v>-0.63117456271424799</v>
      </c>
    </row>
    <row r="170" spans="1:26" s="24" customFormat="1" hidden="1" outlineLevel="2" x14ac:dyDescent="0.25">
      <c r="A170" s="28"/>
      <c r="B170" s="11" t="str">
        <f>CONCATENATE("          ", "6381", " - ", "BANK/CREDIT CARD FEES")</f>
        <v xml:space="preserve">          6381 - BANK/CREDIT CARD FEES</v>
      </c>
      <c r="C170" s="11"/>
      <c r="D170" s="7">
        <v>5909.57</v>
      </c>
      <c r="E170" s="2"/>
      <c r="F170" s="6">
        <f t="shared" si="41"/>
        <v>8.6882372628855637E-3</v>
      </c>
      <c r="G170" s="2"/>
      <c r="H170" s="7">
        <v>23982</v>
      </c>
      <c r="I170" s="2"/>
      <c r="J170" s="6">
        <f t="shared" si="42"/>
        <v>1.967742544247951E-2</v>
      </c>
      <c r="K170" s="2"/>
      <c r="L170" s="7">
        <f t="shared" si="43"/>
        <v>-18072.43</v>
      </c>
      <c r="M170" s="2"/>
      <c r="N170" s="6">
        <f t="shared" si="44"/>
        <v>-0.75358310399466266</v>
      </c>
      <c r="O170" s="11"/>
      <c r="P170" s="7">
        <v>41961.270000000004</v>
      </c>
      <c r="Q170" s="2"/>
      <c r="R170" s="6">
        <f t="shared" si="45"/>
        <v>9.8411059871312597E-3</v>
      </c>
      <c r="S170" s="2"/>
      <c r="T170" s="7">
        <v>113770</v>
      </c>
      <c r="U170" s="2"/>
      <c r="V170" s="6">
        <f t="shared" si="46"/>
        <v>1.6660277078697952E-2</v>
      </c>
      <c r="W170" s="2"/>
      <c r="X170" s="7">
        <f t="shared" si="47"/>
        <v>-71808.73</v>
      </c>
      <c r="Y170" s="2"/>
      <c r="Z170" s="6">
        <f t="shared" si="48"/>
        <v>-0.63117456271424799</v>
      </c>
    </row>
    <row r="171" spans="1:26" s="27" customFormat="1" outlineLevel="1" collapsed="1" x14ac:dyDescent="0.25">
      <c r="A171" s="29"/>
      <c r="B171" s="14" t="str">
        <f>CONCATENATE("     ","Depreciation                                      ")</f>
        <v xml:space="preserve">     Depreciation                                      </v>
      </c>
      <c r="C171" s="14"/>
      <c r="D171" s="1">
        <f>SUM(OSRRefD22_5x_0)</f>
        <v>77816.37999999999</v>
      </c>
      <c r="E171" s="1"/>
      <c r="F171" s="5">
        <f t="shared" si="41"/>
        <v>0.11440547660470438</v>
      </c>
      <c r="G171" s="1"/>
      <c r="H171" s="1">
        <f>SUM(OSRRefH22_5x_0)</f>
        <v>77256</v>
      </c>
      <c r="I171" s="1"/>
      <c r="J171" s="5">
        <f t="shared" si="42"/>
        <v>6.3389174380126631E-2</v>
      </c>
      <c r="K171" s="1"/>
      <c r="L171" s="1">
        <f t="shared" si="43"/>
        <v>560.3799999999901</v>
      </c>
      <c r="M171" s="1"/>
      <c r="N171" s="5">
        <f t="shared" si="44"/>
        <v>7.2535466500982465E-3</v>
      </c>
      <c r="O171" s="14"/>
      <c r="P171" s="1">
        <f>SUM(OSRRefP22_5x_0)</f>
        <v>313362.41000000003</v>
      </c>
      <c r="Q171" s="1"/>
      <c r="R171" s="5">
        <f t="shared" si="45"/>
        <v>7.3492358291178533E-2</v>
      </c>
      <c r="S171" s="1"/>
      <c r="T171" s="1">
        <f>SUM(OSRRefT22_5x_0)</f>
        <v>312408</v>
      </c>
      <c r="U171" s="1"/>
      <c r="V171" s="5">
        <f t="shared" si="46"/>
        <v>4.5748473601141516E-2</v>
      </c>
      <c r="W171" s="1"/>
      <c r="X171" s="1">
        <f t="shared" si="47"/>
        <v>954.4100000000326</v>
      </c>
      <c r="Y171" s="1"/>
      <c r="Z171" s="5">
        <f t="shared" si="48"/>
        <v>3.0550113953548967E-3</v>
      </c>
    </row>
    <row r="172" spans="1:26" s="24" customFormat="1" hidden="1" outlineLevel="2" x14ac:dyDescent="0.25">
      <c r="A172" s="28"/>
      <c r="B172" s="11" t="str">
        <f>CONCATENATE("          ", "6321", " - ", "BUILDING DEPRECIATION")</f>
        <v xml:space="preserve">          6321 - BUILDING DEPRECIATION</v>
      </c>
      <c r="C172" s="11"/>
      <c r="D172" s="7">
        <v>45060.52</v>
      </c>
      <c r="E172" s="2"/>
      <c r="F172" s="6">
        <f t="shared" si="41"/>
        <v>6.6247880801648881E-2</v>
      </c>
      <c r="G172" s="2"/>
      <c r="H172" s="7"/>
      <c r="I172" s="2"/>
      <c r="J172" s="6">
        <f t="shared" si="42"/>
        <v>0</v>
      </c>
      <c r="K172" s="2"/>
      <c r="L172" s="7">
        <f t="shared" si="43"/>
        <v>45060.52</v>
      </c>
      <c r="M172" s="2"/>
      <c r="N172" s="6">
        <f t="shared" si="44"/>
        <v>0</v>
      </c>
      <c r="O172" s="11"/>
      <c r="P172" s="7">
        <v>181026.27000000002</v>
      </c>
      <c r="Q172" s="2"/>
      <c r="R172" s="6">
        <f t="shared" si="45"/>
        <v>4.2455786241098997E-2</v>
      </c>
      <c r="S172" s="2"/>
      <c r="T172" s="7"/>
      <c r="U172" s="2"/>
      <c r="V172" s="6">
        <f t="shared" si="46"/>
        <v>0</v>
      </c>
      <c r="W172" s="2"/>
      <c r="X172" s="7">
        <f t="shared" si="47"/>
        <v>181026.27000000002</v>
      </c>
      <c r="Y172" s="2"/>
      <c r="Z172" s="6">
        <f t="shared" si="48"/>
        <v>0</v>
      </c>
    </row>
    <row r="173" spans="1:26" s="24" customFormat="1" hidden="1" outlineLevel="2" x14ac:dyDescent="0.25">
      <c r="A173" s="28"/>
      <c r="B173" s="11" t="str">
        <f>CONCATENATE("          ", "6322", " - ", "EQUIPMENT DEPRECIATION EXPENSE")</f>
        <v xml:space="preserve">          6322 - EQUIPMENT DEPRECIATION EXPENSE</v>
      </c>
      <c r="C173" s="11"/>
      <c r="D173" s="7">
        <v>32755.859999999997</v>
      </c>
      <c r="E173" s="2"/>
      <c r="F173" s="6">
        <f t="shared" si="41"/>
        <v>4.8157595803055502E-2</v>
      </c>
      <c r="G173" s="2"/>
      <c r="H173" s="7">
        <v>76706</v>
      </c>
      <c r="I173" s="2"/>
      <c r="J173" s="6">
        <f t="shared" si="42"/>
        <v>6.293789492080866E-2</v>
      </c>
      <c r="K173" s="2"/>
      <c r="L173" s="7">
        <f t="shared" si="43"/>
        <v>-43950.14</v>
      </c>
      <c r="M173" s="2"/>
      <c r="N173" s="6">
        <f t="shared" si="44"/>
        <v>-0.5729687377780095</v>
      </c>
      <c r="O173" s="11"/>
      <c r="P173" s="7">
        <v>132336.14000000001</v>
      </c>
      <c r="Q173" s="2"/>
      <c r="R173" s="6">
        <f t="shared" si="45"/>
        <v>3.1036572050079529E-2</v>
      </c>
      <c r="S173" s="2"/>
      <c r="T173" s="7">
        <v>310208</v>
      </c>
      <c r="U173" s="2"/>
      <c r="V173" s="6">
        <f t="shared" si="46"/>
        <v>4.5426309501878655E-2</v>
      </c>
      <c r="W173" s="2"/>
      <c r="X173" s="7">
        <f t="shared" si="47"/>
        <v>-177871.86</v>
      </c>
      <c r="Y173" s="2"/>
      <c r="Z173" s="6">
        <f t="shared" si="48"/>
        <v>-0.57339546368887973</v>
      </c>
    </row>
    <row r="174" spans="1:26" s="24" customFormat="1" hidden="1" outlineLevel="2" x14ac:dyDescent="0.25">
      <c r="A174" s="28"/>
      <c r="B174" s="11" t="str">
        <f>CONCATENATE("          ", "6326", " - ", "VEHICLES DEPRECIATION EXPENSE")</f>
        <v xml:space="preserve">          6326 - VEHICLES DEPRECIATION EXPENSE</v>
      </c>
      <c r="C174" s="11"/>
      <c r="D174" s="7"/>
      <c r="E174" s="2"/>
      <c r="F174" s="6">
        <f t="shared" si="41"/>
        <v>0</v>
      </c>
      <c r="G174" s="2"/>
      <c r="H174" s="7">
        <v>550</v>
      </c>
      <c r="I174" s="2"/>
      <c r="J174" s="6">
        <f t="shared" si="42"/>
        <v>4.5127945931797728E-4</v>
      </c>
      <c r="K174" s="2"/>
      <c r="L174" s="7">
        <f t="shared" si="43"/>
        <v>-550</v>
      </c>
      <c r="M174" s="2"/>
      <c r="N174" s="6">
        <f t="shared" si="44"/>
        <v>-1</v>
      </c>
      <c r="O174" s="11"/>
      <c r="P174" s="7"/>
      <c r="Q174" s="2"/>
      <c r="R174" s="6">
        <f t="shared" si="45"/>
        <v>0</v>
      </c>
      <c r="S174" s="2"/>
      <c r="T174" s="7">
        <v>2200</v>
      </c>
      <c r="U174" s="2"/>
      <c r="V174" s="6">
        <f t="shared" si="46"/>
        <v>3.2216409926285927E-4</v>
      </c>
      <c r="W174" s="2"/>
      <c r="X174" s="7">
        <f t="shared" si="47"/>
        <v>-2200</v>
      </c>
      <c r="Y174" s="2"/>
      <c r="Z174" s="6">
        <f t="shared" si="48"/>
        <v>-1</v>
      </c>
    </row>
    <row r="175" spans="1:26" s="27" customFormat="1" outlineLevel="1" collapsed="1" x14ac:dyDescent="0.25">
      <c r="A175" s="29"/>
      <c r="B175" s="14" t="str">
        <f>CONCATENATE("     ","Discounts and Markdowns                           ")</f>
        <v xml:space="preserve">     Discounts and Markdowns                           </v>
      </c>
      <c r="C175" s="14"/>
      <c r="D175" s="1">
        <f>SUM(OSRRefD22_6x_0)</f>
        <v>-1249.8000000000002</v>
      </c>
      <c r="E175" s="1"/>
      <c r="F175" s="5">
        <f t="shared" ref="F175:F177" si="49">IF(D$12=0,0,D175/D$12)</f>
        <v>-1.8374533055965797E-3</v>
      </c>
      <c r="G175" s="1"/>
      <c r="H175" s="1">
        <f>SUM(OSRRefH22_6x_0)</f>
        <v>29013</v>
      </c>
      <c r="I175" s="1"/>
      <c r="J175" s="5">
        <f t="shared" ref="J175:J177" si="50">IF(H$12=0,0,H175/H$12)</f>
        <v>2.3805401733077224E-2</v>
      </c>
      <c r="K175" s="1"/>
      <c r="L175" s="1">
        <f t="shared" ref="L175:L177" si="51">+D175-H175</f>
        <v>-30262.799999999999</v>
      </c>
      <c r="M175" s="1"/>
      <c r="N175" s="5">
        <f t="shared" ref="N175:N177" si="52">IF(H175=0,0,L175/H175)</f>
        <v>-1.0430772412366869</v>
      </c>
      <c r="O175" s="14"/>
      <c r="P175" s="1">
        <f>SUM(OSRRefP22_6x_0)</f>
        <v>-418.85</v>
      </c>
      <c r="Q175" s="1"/>
      <c r="R175" s="5">
        <f t="shared" ref="R175:R177" si="53">IF(P$12=0,0,P175/P$12)</f>
        <v>-9.8232185124757379E-5</v>
      </c>
      <c r="S175" s="1"/>
      <c r="T175" s="1">
        <f>SUM(OSRRefT22_6x_0)</f>
        <v>127737</v>
      </c>
      <c r="U175" s="1"/>
      <c r="V175" s="5">
        <f t="shared" ref="V175:V177" si="54">IF(T$12=0,0,T175/T$12)</f>
        <v>1.8705579794336298E-2</v>
      </c>
      <c r="W175" s="1"/>
      <c r="X175" s="1">
        <f t="shared" ref="X175:X177" si="55">+P175-T175</f>
        <v>-128155.85</v>
      </c>
      <c r="Y175" s="1"/>
      <c r="Z175" s="5">
        <f t="shared" ref="Z175:Z177" si="56">IF(T175=0,0,X175/T175)</f>
        <v>-1.0032790029513767</v>
      </c>
    </row>
    <row r="176" spans="1:26" s="24" customFormat="1" hidden="1" outlineLevel="2" x14ac:dyDescent="0.25">
      <c r="A176" s="28"/>
      <c r="B176" s="11" t="str">
        <f>CONCATENATE("          ", "6382", " - ", "DISCOUNTS/MARK DOWNS")</f>
        <v xml:space="preserve">          6382 - DISCOUNTS/MARK DOWNS</v>
      </c>
      <c r="C176" s="11"/>
      <c r="D176" s="7">
        <v>-830.95</v>
      </c>
      <c r="E176" s="2"/>
      <c r="F176" s="6">
        <f t="shared" si="49"/>
        <v>-1.2216609251764104E-3</v>
      </c>
      <c r="G176" s="2"/>
      <c r="H176" s="7">
        <v>29013</v>
      </c>
      <c r="I176" s="2"/>
      <c r="J176" s="6">
        <f t="shared" si="50"/>
        <v>2.3805401733077224E-2</v>
      </c>
      <c r="K176" s="2"/>
      <c r="L176" s="7">
        <f t="shared" si="51"/>
        <v>-29843.95</v>
      </c>
      <c r="M176" s="2"/>
      <c r="N176" s="6">
        <f t="shared" si="52"/>
        <v>-1.0286406093820013</v>
      </c>
      <c r="O176" s="11"/>
      <c r="P176" s="7">
        <v>0</v>
      </c>
      <c r="Q176" s="2"/>
      <c r="R176" s="6">
        <f t="shared" si="53"/>
        <v>0</v>
      </c>
      <c r="S176" s="2"/>
      <c r="T176" s="7">
        <v>127737</v>
      </c>
      <c r="U176" s="2"/>
      <c r="V176" s="6">
        <f t="shared" si="54"/>
        <v>1.8705579794336298E-2</v>
      </c>
      <c r="W176" s="2"/>
      <c r="X176" s="7">
        <f t="shared" si="55"/>
        <v>-127737</v>
      </c>
      <c r="Y176" s="2"/>
      <c r="Z176" s="6">
        <f t="shared" si="56"/>
        <v>-1</v>
      </c>
    </row>
    <row r="177" spans="1:26" s="24" customFormat="1" hidden="1" outlineLevel="2" x14ac:dyDescent="0.25">
      <c r="A177" s="28"/>
      <c r="B177" s="11" t="str">
        <f>CONCATENATE("          ", "9175", " - ", "EARNED DISCOUNTS")</f>
        <v xml:space="preserve">          9175 - EARNED DISCOUNTS</v>
      </c>
      <c r="C177" s="11"/>
      <c r="D177" s="7">
        <v>-418.85</v>
      </c>
      <c r="E177" s="2"/>
      <c r="F177" s="6">
        <f t="shared" si="49"/>
        <v>-6.157923804201691E-4</v>
      </c>
      <c r="G177" s="2"/>
      <c r="H177" s="7"/>
      <c r="I177" s="2"/>
      <c r="J177" s="6">
        <f t="shared" si="50"/>
        <v>0</v>
      </c>
      <c r="K177" s="2"/>
      <c r="L177" s="7">
        <f t="shared" si="51"/>
        <v>-418.85</v>
      </c>
      <c r="M177" s="2"/>
      <c r="N177" s="6">
        <f t="shared" si="52"/>
        <v>0</v>
      </c>
      <c r="O177" s="11"/>
      <c r="P177" s="7">
        <v>-418.85</v>
      </c>
      <c r="Q177" s="2"/>
      <c r="R177" s="6">
        <f t="shared" si="53"/>
        <v>-9.8232185124757379E-5</v>
      </c>
      <c r="S177" s="2"/>
      <c r="T177" s="7"/>
      <c r="U177" s="2"/>
      <c r="V177" s="6">
        <f t="shared" si="54"/>
        <v>0</v>
      </c>
      <c r="W177" s="2"/>
      <c r="X177" s="7">
        <f t="shared" si="55"/>
        <v>-418.85</v>
      </c>
      <c r="Y177" s="2"/>
      <c r="Z177" s="6">
        <f t="shared" si="56"/>
        <v>0</v>
      </c>
    </row>
    <row r="178" spans="1:26" s="27" customFormat="1" outlineLevel="1" collapsed="1" x14ac:dyDescent="0.25">
      <c r="A178" s="29"/>
      <c r="B178" s="14" t="str">
        <f>CONCATENATE("     ","Donations                                         ")</f>
        <v xml:space="preserve">     Donations                                         </v>
      </c>
      <c r="C178" s="14"/>
      <c r="D178" s="1">
        <f>SUM(OSRRefD22_7x_0)</f>
        <v>11110.09</v>
      </c>
      <c r="E178" s="1"/>
      <c r="F178" s="5">
        <f t="shared" ref="F178:F180" si="57">IF(D$12=0,0,D178/D$12)</f>
        <v>1.6334030721695873E-2</v>
      </c>
      <c r="G178" s="1"/>
      <c r="H178" s="1">
        <f>SUM(OSRRefH22_7x_0)</f>
        <v>15773</v>
      </c>
      <c r="I178" s="1"/>
      <c r="J178" s="5">
        <f t="shared" ref="J178:J180" si="58">IF(H$12=0,0,H178/H$12)</f>
        <v>1.2941874385131736E-2</v>
      </c>
      <c r="K178" s="1"/>
      <c r="L178" s="1">
        <f t="shared" ref="L178:L180" si="59">+D178-H178</f>
        <v>-4662.91</v>
      </c>
      <c r="M178" s="1"/>
      <c r="N178" s="5">
        <f t="shared" ref="N178:N180" si="60">IF(H178=0,0,L178/H178)</f>
        <v>-0.29562606986622708</v>
      </c>
      <c r="O178" s="14"/>
      <c r="P178" s="1">
        <f>SUM(OSRRefP22_7x_0)</f>
        <v>22220.18</v>
      </c>
      <c r="Q178" s="1"/>
      <c r="R178" s="5">
        <f t="shared" ref="R178:R180" si="61">IF(P$12=0,0,P178/P$12)</f>
        <v>5.2112613949276149E-3</v>
      </c>
      <c r="S178" s="1"/>
      <c r="T178" s="1">
        <f>SUM(OSRRefT22_7x_0)</f>
        <v>43319</v>
      </c>
      <c r="U178" s="1"/>
      <c r="V178" s="5">
        <f t="shared" ref="V178:V180" si="62">IF(T$12=0,0,T178/T$12)</f>
        <v>6.3435575527126366E-3</v>
      </c>
      <c r="W178" s="1"/>
      <c r="X178" s="1">
        <f t="shared" ref="X178:X180" si="63">+P178-T178</f>
        <v>-21098.82</v>
      </c>
      <c r="Y178" s="1"/>
      <c r="Z178" s="5">
        <f t="shared" ref="Z178:Z180" si="64">IF(T178=0,0,X178/T178)</f>
        <v>-0.48705694960640827</v>
      </c>
    </row>
    <row r="179" spans="1:26" s="24" customFormat="1" hidden="1" outlineLevel="2" x14ac:dyDescent="0.25">
      <c r="A179" s="28"/>
      <c r="B179" s="11" t="str">
        <f>CONCATENATE("          ", "6395", " - ", "DONATION-OFF CAMPUS")</f>
        <v xml:space="preserve">          6395 - DONATION-OFF CAMPUS</v>
      </c>
      <c r="C179" s="11"/>
      <c r="D179" s="7"/>
      <c r="E179" s="2"/>
      <c r="F179" s="6">
        <f t="shared" si="57"/>
        <v>0</v>
      </c>
      <c r="G179" s="2"/>
      <c r="H179" s="7"/>
      <c r="I179" s="2"/>
      <c r="J179" s="6">
        <f t="shared" si="58"/>
        <v>0</v>
      </c>
      <c r="K179" s="2"/>
      <c r="L179" s="7">
        <f t="shared" si="59"/>
        <v>0</v>
      </c>
      <c r="M179" s="2"/>
      <c r="N179" s="6">
        <f t="shared" si="60"/>
        <v>0</v>
      </c>
      <c r="O179" s="11"/>
      <c r="P179" s="7"/>
      <c r="Q179" s="2"/>
      <c r="R179" s="6">
        <f t="shared" si="61"/>
        <v>0</v>
      </c>
      <c r="S179" s="2"/>
      <c r="T179" s="7">
        <v>0</v>
      </c>
      <c r="U179" s="2"/>
      <c r="V179" s="6">
        <f t="shared" si="62"/>
        <v>0</v>
      </c>
      <c r="W179" s="2"/>
      <c r="X179" s="7">
        <f t="shared" si="63"/>
        <v>0</v>
      </c>
      <c r="Y179" s="2"/>
      <c r="Z179" s="6">
        <f t="shared" si="64"/>
        <v>0</v>
      </c>
    </row>
    <row r="180" spans="1:26" s="24" customFormat="1" hidden="1" outlineLevel="2" x14ac:dyDescent="0.25">
      <c r="A180" s="28"/>
      <c r="B180" s="11" t="str">
        <f>CONCATENATE("          ", "6399", " - ", "DONATION-ON CAMPUS")</f>
        <v xml:space="preserve">          6399 - DONATION-ON CAMPUS</v>
      </c>
      <c r="C180" s="11"/>
      <c r="D180" s="7">
        <v>11110.09</v>
      </c>
      <c r="E180" s="2"/>
      <c r="F180" s="6">
        <f t="shared" si="57"/>
        <v>1.6334030721695873E-2</v>
      </c>
      <c r="G180" s="2"/>
      <c r="H180" s="7">
        <v>15773</v>
      </c>
      <c r="I180" s="2"/>
      <c r="J180" s="6">
        <f t="shared" si="58"/>
        <v>1.2941874385131736E-2</v>
      </c>
      <c r="K180" s="2"/>
      <c r="L180" s="7">
        <f t="shared" si="59"/>
        <v>-4662.91</v>
      </c>
      <c r="M180" s="2"/>
      <c r="N180" s="6">
        <f t="shared" si="60"/>
        <v>-0.29562606986622708</v>
      </c>
      <c r="O180" s="11"/>
      <c r="P180" s="7">
        <v>22220.18</v>
      </c>
      <c r="Q180" s="2"/>
      <c r="R180" s="6">
        <f t="shared" si="61"/>
        <v>5.2112613949276149E-3</v>
      </c>
      <c r="S180" s="2"/>
      <c r="T180" s="7">
        <v>43319</v>
      </c>
      <c r="U180" s="2"/>
      <c r="V180" s="6">
        <f t="shared" si="62"/>
        <v>6.3435575527126366E-3</v>
      </c>
      <c r="W180" s="2"/>
      <c r="X180" s="7">
        <f t="shared" si="63"/>
        <v>-21098.82</v>
      </c>
      <c r="Y180" s="2"/>
      <c r="Z180" s="6">
        <f t="shared" si="64"/>
        <v>-0.48705694960640827</v>
      </c>
    </row>
    <row r="181" spans="1:26" s="27" customFormat="1" outlineLevel="1" collapsed="1" x14ac:dyDescent="0.25">
      <c r="A181" s="29"/>
      <c r="B181" s="14" t="str">
        <f>CONCATENATE("     ","Employees' Appreciation                           ")</f>
        <v xml:space="preserve">     Employees' Appreciation                           </v>
      </c>
      <c r="C181" s="14"/>
      <c r="D181" s="1">
        <f>SUM(OSRRefD22_8x_0)</f>
        <v>0</v>
      </c>
      <c r="E181" s="1"/>
      <c r="F181" s="5">
        <f t="shared" ref="F181:F187" si="65">IF(D$12=0,0,D181/D$12)</f>
        <v>0</v>
      </c>
      <c r="G181" s="1"/>
      <c r="H181" s="1">
        <f>SUM(OSRRefH22_8x_0)</f>
        <v>740</v>
      </c>
      <c r="I181" s="1"/>
      <c r="J181" s="5">
        <f t="shared" ref="J181:J187" si="66">IF(H$12=0,0,H181/H$12)</f>
        <v>6.0717599980964214E-4</v>
      </c>
      <c r="K181" s="1"/>
      <c r="L181" s="1">
        <f t="shared" ref="L181:L187" si="67">+D181-H181</f>
        <v>-740</v>
      </c>
      <c r="M181" s="1"/>
      <c r="N181" s="5">
        <f t="shared" ref="N181:N187" si="68">IF(H181=0,0,L181/H181)</f>
        <v>-1</v>
      </c>
      <c r="O181" s="14"/>
      <c r="P181" s="1">
        <f>SUM(OSRRefP22_8x_0)</f>
        <v>107.7</v>
      </c>
      <c r="Q181" s="1"/>
      <c r="R181" s="5">
        <f t="shared" ref="R181:R187" si="69">IF(P$12=0,0,P181/P$12)</f>
        <v>2.5258699625012225E-5</v>
      </c>
      <c r="S181" s="1"/>
      <c r="T181" s="1">
        <f>SUM(OSRRefT22_8x_0)</f>
        <v>2810</v>
      </c>
      <c r="U181" s="1"/>
      <c r="V181" s="5">
        <f t="shared" ref="V181:V187" si="70">IF(T$12=0,0,T181/T$12)</f>
        <v>4.1149141769483385E-4</v>
      </c>
      <c r="W181" s="1"/>
      <c r="X181" s="1">
        <f t="shared" ref="X181:X187" si="71">+P181-T181</f>
        <v>-2702.3</v>
      </c>
      <c r="Y181" s="1"/>
      <c r="Z181" s="5">
        <f t="shared" ref="Z181:Z187" si="72">IF(T181=0,0,X181/T181)</f>
        <v>-0.96167259786476877</v>
      </c>
    </row>
    <row r="182" spans="1:26" s="24" customFormat="1" hidden="1" outlineLevel="2" x14ac:dyDescent="0.25">
      <c r="A182" s="28"/>
      <c r="B182" s="11" t="str">
        <f>CONCATENATE("          ", "6277", " - ", "EMPLOYEE APPRECIATION")</f>
        <v xml:space="preserve">          6277 - EMPLOYEE APPRECIATION</v>
      </c>
      <c r="C182" s="11"/>
      <c r="D182" s="7"/>
      <c r="E182" s="2"/>
      <c r="F182" s="6">
        <f t="shared" si="65"/>
        <v>0</v>
      </c>
      <c r="G182" s="2"/>
      <c r="H182" s="7">
        <v>740</v>
      </c>
      <c r="I182" s="2"/>
      <c r="J182" s="6">
        <f t="shared" si="66"/>
        <v>6.0717599980964214E-4</v>
      </c>
      <c r="K182" s="2"/>
      <c r="L182" s="7">
        <f t="shared" si="67"/>
        <v>-740</v>
      </c>
      <c r="M182" s="2"/>
      <c r="N182" s="6">
        <f t="shared" si="68"/>
        <v>-1</v>
      </c>
      <c r="O182" s="11"/>
      <c r="P182" s="7">
        <v>107.7</v>
      </c>
      <c r="Q182" s="2"/>
      <c r="R182" s="6">
        <f t="shared" si="69"/>
        <v>2.5258699625012225E-5</v>
      </c>
      <c r="S182" s="2"/>
      <c r="T182" s="7">
        <v>2810</v>
      </c>
      <c r="U182" s="2"/>
      <c r="V182" s="6">
        <f t="shared" si="70"/>
        <v>4.1149141769483385E-4</v>
      </c>
      <c r="W182" s="2"/>
      <c r="X182" s="7">
        <f t="shared" si="71"/>
        <v>-2702.3</v>
      </c>
      <c r="Y182" s="2"/>
      <c r="Z182" s="6">
        <f t="shared" si="72"/>
        <v>-0.96167259786476877</v>
      </c>
    </row>
    <row r="183" spans="1:26" s="27" customFormat="1" outlineLevel="1" collapsed="1" x14ac:dyDescent="0.25">
      <c r="A183" s="29"/>
      <c r="B183" s="14" t="str">
        <f>CONCATENATE("     ","Equipment Rental                                  ")</f>
        <v xml:space="preserve">     Equipment Rental                                  </v>
      </c>
      <c r="C183" s="14"/>
      <c r="D183" s="1">
        <f>SUM(OSRRefD22_9x_0)</f>
        <v>4077.27</v>
      </c>
      <c r="E183" s="1"/>
      <c r="F183" s="5">
        <f t="shared" si="65"/>
        <v>5.9943936944389228E-3</v>
      </c>
      <c r="G183" s="1"/>
      <c r="H183" s="1">
        <f>SUM(OSRRefH22_9x_0)</f>
        <v>4174.333333333333</v>
      </c>
      <c r="I183" s="1"/>
      <c r="J183" s="5">
        <f t="shared" si="66"/>
        <v>3.4250743448721384E-3</v>
      </c>
      <c r="K183" s="1"/>
      <c r="L183" s="1">
        <f t="shared" si="67"/>
        <v>-97.063333333333048</v>
      </c>
      <c r="M183" s="1"/>
      <c r="N183" s="5">
        <f t="shared" si="68"/>
        <v>-2.3252415555378037E-2</v>
      </c>
      <c r="O183" s="14"/>
      <c r="P183" s="1">
        <f>SUM(OSRRefP22_9x_0)</f>
        <v>11540.93</v>
      </c>
      <c r="Q183" s="1"/>
      <c r="R183" s="5">
        <f t="shared" si="69"/>
        <v>2.7066748770964932E-3</v>
      </c>
      <c r="S183" s="1"/>
      <c r="T183" s="1">
        <f>SUM(OSRRefT22_9x_0)</f>
        <v>16236.33333333333</v>
      </c>
      <c r="U183" s="1"/>
      <c r="V183" s="5">
        <f t="shared" si="70"/>
        <v>2.3776198653022132E-3</v>
      </c>
      <c r="W183" s="1"/>
      <c r="X183" s="1">
        <f t="shared" si="71"/>
        <v>-4695.40333333333</v>
      </c>
      <c r="Y183" s="1"/>
      <c r="Z183" s="5">
        <f t="shared" si="72"/>
        <v>-0.28919111457841451</v>
      </c>
    </row>
    <row r="184" spans="1:26" s="24" customFormat="1" hidden="1" outlineLevel="2" x14ac:dyDescent="0.25">
      <c r="A184" s="28"/>
      <c r="B184" s="11" t="str">
        <f>CONCATENATE("          ", "6351", " - ", "EQUIPMENT RENTAL")</f>
        <v xml:space="preserve">          6351 - EQUIPMENT RENTAL</v>
      </c>
      <c r="C184" s="11"/>
      <c r="D184" s="7">
        <v>4077.27</v>
      </c>
      <c r="E184" s="2"/>
      <c r="F184" s="6">
        <f t="shared" si="65"/>
        <v>5.9943936944389228E-3</v>
      </c>
      <c r="G184" s="2"/>
      <c r="H184" s="7">
        <v>4174.333333333333</v>
      </c>
      <c r="I184" s="2"/>
      <c r="J184" s="6">
        <f t="shared" si="66"/>
        <v>3.4250743448721384E-3</v>
      </c>
      <c r="K184" s="2"/>
      <c r="L184" s="7">
        <f t="shared" si="67"/>
        <v>-97.063333333333048</v>
      </c>
      <c r="M184" s="2"/>
      <c r="N184" s="6">
        <f t="shared" si="68"/>
        <v>-2.3252415555378037E-2</v>
      </c>
      <c r="O184" s="11"/>
      <c r="P184" s="7">
        <v>11540.93</v>
      </c>
      <c r="Q184" s="2"/>
      <c r="R184" s="6">
        <f t="shared" si="69"/>
        <v>2.7066748770964932E-3</v>
      </c>
      <c r="S184" s="2"/>
      <c r="T184" s="7">
        <v>16236.33333333333</v>
      </c>
      <c r="U184" s="2"/>
      <c r="V184" s="6">
        <f t="shared" si="70"/>
        <v>2.3776198653022132E-3</v>
      </c>
      <c r="W184" s="2"/>
      <c r="X184" s="7">
        <f t="shared" si="71"/>
        <v>-4695.40333333333</v>
      </c>
      <c r="Y184" s="2"/>
      <c r="Z184" s="6">
        <f t="shared" si="72"/>
        <v>-0.28919111457841451</v>
      </c>
    </row>
    <row r="185" spans="1:26" s="27" customFormat="1" outlineLevel="1" collapsed="1" x14ac:dyDescent="0.25">
      <c r="A185" s="29"/>
      <c r="B185" s="14" t="str">
        <f>CONCATENATE("     ","Freight out/Postage                               ")</f>
        <v xml:space="preserve">     Freight out/Postage                               </v>
      </c>
      <c r="C185" s="14"/>
      <c r="D185" s="1">
        <f>SUM(OSRRefD22_10x_0)</f>
        <v>49268.130000000005</v>
      </c>
      <c r="E185" s="1"/>
      <c r="F185" s="5">
        <f t="shared" si="65"/>
        <v>7.2433900087263567E-2</v>
      </c>
      <c r="G185" s="1"/>
      <c r="H185" s="1">
        <f>SUM(OSRRefH22_10x_0)</f>
        <v>7943</v>
      </c>
      <c r="I185" s="1"/>
      <c r="J185" s="5">
        <f t="shared" si="66"/>
        <v>6.5172959006594422E-3</v>
      </c>
      <c r="K185" s="1"/>
      <c r="L185" s="1">
        <f t="shared" si="67"/>
        <v>41325.130000000005</v>
      </c>
      <c r="M185" s="1"/>
      <c r="N185" s="5">
        <f t="shared" si="68"/>
        <v>5.2027105627596635</v>
      </c>
      <c r="O185" s="14"/>
      <c r="P185" s="1">
        <f>SUM(OSRRefP22_10x_0)</f>
        <v>-31200.739999999976</v>
      </c>
      <c r="Q185" s="1"/>
      <c r="R185" s="5">
        <f t="shared" si="69"/>
        <v>-7.3174570077818319E-3</v>
      </c>
      <c r="S185" s="1"/>
      <c r="T185" s="1">
        <f>SUM(OSRRefT22_10x_0)</f>
        <v>34976</v>
      </c>
      <c r="U185" s="1"/>
      <c r="V185" s="5">
        <f t="shared" si="70"/>
        <v>5.1218234253717111E-3</v>
      </c>
      <c r="W185" s="1"/>
      <c r="X185" s="1">
        <f t="shared" si="71"/>
        <v>-66176.739999999976</v>
      </c>
      <c r="Y185" s="1"/>
      <c r="Z185" s="5">
        <f t="shared" si="72"/>
        <v>-1.892061413540713</v>
      </c>
    </row>
    <row r="186" spans="1:26" s="24" customFormat="1" hidden="1" outlineLevel="2" x14ac:dyDescent="0.25">
      <c r="A186" s="28"/>
      <c r="B186" s="11" t="str">
        <f>CONCATENATE("          ", "6305", " - ", "FREIGHT OUT")</f>
        <v xml:space="preserve">          6305 - FREIGHT OUT</v>
      </c>
      <c r="C186" s="11"/>
      <c r="D186" s="7">
        <v>60954.65</v>
      </c>
      <c r="E186" s="2"/>
      <c r="F186" s="6">
        <f t="shared" si="65"/>
        <v>8.9615396970701353E-2</v>
      </c>
      <c r="G186" s="2"/>
      <c r="H186" s="7">
        <v>5413</v>
      </c>
      <c r="I186" s="2"/>
      <c r="J186" s="6">
        <f t="shared" si="66"/>
        <v>4.4414103877967468E-3</v>
      </c>
      <c r="K186" s="2"/>
      <c r="L186" s="7">
        <f t="shared" si="67"/>
        <v>55541.65</v>
      </c>
      <c r="M186" s="2"/>
      <c r="N186" s="6">
        <f t="shared" si="68"/>
        <v>10.260788841677444</v>
      </c>
      <c r="O186" s="11"/>
      <c r="P186" s="7">
        <v>86887.66</v>
      </c>
      <c r="Q186" s="2"/>
      <c r="R186" s="6">
        <f t="shared" si="69"/>
        <v>2.0377616574375021E-2</v>
      </c>
      <c r="S186" s="2"/>
      <c r="T186" s="7">
        <v>20106</v>
      </c>
      <c r="U186" s="2"/>
      <c r="V186" s="6">
        <f t="shared" si="70"/>
        <v>2.9442869908086582E-3</v>
      </c>
      <c r="W186" s="2"/>
      <c r="X186" s="7">
        <f t="shared" si="71"/>
        <v>66781.66</v>
      </c>
      <c r="Y186" s="2"/>
      <c r="Z186" s="6">
        <f t="shared" si="72"/>
        <v>3.3214791604496172</v>
      </c>
    </row>
    <row r="187" spans="1:26" s="24" customFormat="1" hidden="1" outlineLevel="2" x14ac:dyDescent="0.25">
      <c r="A187" s="28"/>
      <c r="B187" s="11" t="str">
        <f>CONCATENATE("          ", "6307", " - ", "POSTAGE")</f>
        <v xml:space="preserve">          6307 - POSTAGE</v>
      </c>
      <c r="C187" s="11"/>
      <c r="D187" s="7">
        <v>-11686.52</v>
      </c>
      <c r="E187" s="2"/>
      <c r="F187" s="6">
        <f t="shared" si="65"/>
        <v>-1.7181496883437782E-2</v>
      </c>
      <c r="G187" s="2"/>
      <c r="H187" s="7">
        <v>2530</v>
      </c>
      <c r="I187" s="2"/>
      <c r="J187" s="6">
        <f t="shared" si="66"/>
        <v>2.0758855128626954E-3</v>
      </c>
      <c r="K187" s="2"/>
      <c r="L187" s="7">
        <f t="shared" si="67"/>
        <v>-14216.52</v>
      </c>
      <c r="M187" s="2"/>
      <c r="N187" s="6">
        <f t="shared" si="68"/>
        <v>-5.6191778656126488</v>
      </c>
      <c r="O187" s="11"/>
      <c r="P187" s="7">
        <v>-118088.39999999998</v>
      </c>
      <c r="Q187" s="2"/>
      <c r="R187" s="6">
        <f t="shared" si="69"/>
        <v>-2.7695073582156851E-2</v>
      </c>
      <c r="S187" s="2"/>
      <c r="T187" s="7">
        <v>14870</v>
      </c>
      <c r="U187" s="2"/>
      <c r="V187" s="6">
        <f t="shared" si="70"/>
        <v>2.1775364345630534E-3</v>
      </c>
      <c r="W187" s="2"/>
      <c r="X187" s="7">
        <f t="shared" si="71"/>
        <v>-132958.39999999997</v>
      </c>
      <c r="Y187" s="2"/>
      <c r="Z187" s="6">
        <f t="shared" si="72"/>
        <v>-8.9413853396099512</v>
      </c>
    </row>
    <row r="188" spans="1:26" s="27" customFormat="1" outlineLevel="1" collapsed="1" x14ac:dyDescent="0.25">
      <c r="A188" s="29"/>
      <c r="B188" s="14" t="str">
        <f>CONCATENATE("     ","General                                           ")</f>
        <v xml:space="preserve">     General                                           </v>
      </c>
      <c r="C188" s="14"/>
      <c r="D188" s="1">
        <f>SUM(OSRRefD22_11x_0)</f>
        <v>-40</v>
      </c>
      <c r="E188" s="1"/>
      <c r="F188" s="5">
        <f t="shared" ref="F188:F191" si="73">IF(D$12=0,0,D188/D$12)</f>
        <v>-5.8807915045497823E-5</v>
      </c>
      <c r="G188" s="1"/>
      <c r="H188" s="1">
        <f>SUM(OSRRefH22_11x_0)</f>
        <v>1060</v>
      </c>
      <c r="I188" s="1"/>
      <c r="J188" s="5">
        <f t="shared" ref="J188:J191" si="74">IF(H$12=0,0,H188/H$12)</f>
        <v>8.697385943219198E-4</v>
      </c>
      <c r="K188" s="1"/>
      <c r="L188" s="1">
        <f t="shared" ref="L188:L191" si="75">+D188-H188</f>
        <v>-1100</v>
      </c>
      <c r="M188" s="1"/>
      <c r="N188" s="5">
        <f t="shared" ref="N188:N191" si="76">IF(H188=0,0,L188/H188)</f>
        <v>-1.0377358490566038</v>
      </c>
      <c r="O188" s="14"/>
      <c r="P188" s="1">
        <f>SUM(OSRRefP22_11x_0)</f>
        <v>8379.52</v>
      </c>
      <c r="Q188" s="1"/>
      <c r="R188" s="5">
        <f t="shared" ref="R188:R191" si="77">IF(P$12=0,0,P188/P$12)</f>
        <v>1.965234713851276E-3</v>
      </c>
      <c r="S188" s="1"/>
      <c r="T188" s="1">
        <f>SUM(OSRRefT22_11x_0)</f>
        <v>17290</v>
      </c>
      <c r="U188" s="1"/>
      <c r="V188" s="5">
        <f t="shared" ref="V188:V191" si="78">IF(T$12=0,0,T188/T$12)</f>
        <v>2.5319169437521983E-3</v>
      </c>
      <c r="W188" s="1"/>
      <c r="X188" s="1">
        <f t="shared" ref="X188:X191" si="79">+P188-T188</f>
        <v>-8910.48</v>
      </c>
      <c r="Y188" s="1"/>
      <c r="Z188" s="5">
        <f t="shared" ref="Z188:Z191" si="80">IF(T188=0,0,X188/T188)</f>
        <v>-0.51535454019664539</v>
      </c>
    </row>
    <row r="189" spans="1:26" s="24" customFormat="1" hidden="1" outlineLevel="2" x14ac:dyDescent="0.25">
      <c r="A189" s="28"/>
      <c r="B189" s="11" t="str">
        <f>CONCATENATE("          ", "6269", " - ", "ENTERTAINMENT")</f>
        <v xml:space="preserve">          6269 - ENTERTAINMENT</v>
      </c>
      <c r="C189" s="11"/>
      <c r="D189" s="7"/>
      <c r="E189" s="2"/>
      <c r="F189" s="6">
        <f t="shared" si="73"/>
        <v>0</v>
      </c>
      <c r="G189" s="2"/>
      <c r="H189" s="7"/>
      <c r="I189" s="2"/>
      <c r="J189" s="6">
        <f t="shared" si="74"/>
        <v>0</v>
      </c>
      <c r="K189" s="2"/>
      <c r="L189" s="7">
        <f t="shared" si="75"/>
        <v>0</v>
      </c>
      <c r="M189" s="2"/>
      <c r="N189" s="6">
        <f t="shared" si="76"/>
        <v>0</v>
      </c>
      <c r="O189" s="11"/>
      <c r="P189" s="7"/>
      <c r="Q189" s="2"/>
      <c r="R189" s="6">
        <f t="shared" si="77"/>
        <v>0</v>
      </c>
      <c r="S189" s="2"/>
      <c r="T189" s="7">
        <v>125</v>
      </c>
      <c r="U189" s="2"/>
      <c r="V189" s="6">
        <f t="shared" si="78"/>
        <v>1.8304778367207913E-5</v>
      </c>
      <c r="W189" s="2"/>
      <c r="X189" s="7">
        <f t="shared" si="79"/>
        <v>-125</v>
      </c>
      <c r="Y189" s="2"/>
      <c r="Z189" s="6">
        <f t="shared" si="80"/>
        <v>-1</v>
      </c>
    </row>
    <row r="190" spans="1:26" s="24" customFormat="1" hidden="1" outlineLevel="2" x14ac:dyDescent="0.25">
      <c r="A190" s="28"/>
      <c r="B190" s="11" t="str">
        <f>CONCATENATE("          ", "6276", " - ", "PROPERTY TAX")</f>
        <v xml:space="preserve">          6276 - PROPERTY TAX</v>
      </c>
      <c r="C190" s="11"/>
      <c r="D190" s="7"/>
      <c r="E190" s="2"/>
      <c r="F190" s="6">
        <f t="shared" si="73"/>
        <v>0</v>
      </c>
      <c r="G190" s="2"/>
      <c r="H190" s="7"/>
      <c r="I190" s="2"/>
      <c r="J190" s="6">
        <f t="shared" si="74"/>
        <v>0</v>
      </c>
      <c r="K190" s="2"/>
      <c r="L190" s="7">
        <f t="shared" si="75"/>
        <v>0</v>
      </c>
      <c r="M190" s="2"/>
      <c r="N190" s="6">
        <f t="shared" si="76"/>
        <v>0</v>
      </c>
      <c r="O190" s="11"/>
      <c r="P190" s="7"/>
      <c r="Q190" s="2"/>
      <c r="R190" s="6">
        <f t="shared" si="77"/>
        <v>0</v>
      </c>
      <c r="S190" s="2"/>
      <c r="T190" s="7">
        <v>150</v>
      </c>
      <c r="U190" s="2"/>
      <c r="V190" s="6">
        <f t="shared" si="78"/>
        <v>2.1965734040649496E-5</v>
      </c>
      <c r="W190" s="2"/>
      <c r="X190" s="7">
        <f t="shared" si="79"/>
        <v>-150</v>
      </c>
      <c r="Y190" s="2"/>
      <c r="Z190" s="6">
        <f t="shared" si="80"/>
        <v>-1</v>
      </c>
    </row>
    <row r="191" spans="1:26" s="24" customFormat="1" hidden="1" outlineLevel="2" x14ac:dyDescent="0.25">
      <c r="A191" s="28"/>
      <c r="B191" s="11" t="str">
        <f>CONCATENATE("          ", "6279", " - ", "GENERAL EXPENSE")</f>
        <v xml:space="preserve">          6279 - GENERAL EXPENSE</v>
      </c>
      <c r="C191" s="11"/>
      <c r="D191" s="7">
        <v>-40</v>
      </c>
      <c r="E191" s="2"/>
      <c r="F191" s="6">
        <f t="shared" si="73"/>
        <v>-5.8807915045497823E-5</v>
      </c>
      <c r="G191" s="2"/>
      <c r="H191" s="7">
        <v>1060</v>
      </c>
      <c r="I191" s="2"/>
      <c r="J191" s="6">
        <f t="shared" si="74"/>
        <v>8.697385943219198E-4</v>
      </c>
      <c r="K191" s="2"/>
      <c r="L191" s="7">
        <f t="shared" si="75"/>
        <v>-1100</v>
      </c>
      <c r="M191" s="2"/>
      <c r="N191" s="6">
        <f t="shared" si="76"/>
        <v>-1.0377358490566038</v>
      </c>
      <c r="O191" s="11"/>
      <c r="P191" s="7">
        <v>8379.52</v>
      </c>
      <c r="Q191" s="2"/>
      <c r="R191" s="6">
        <f t="shared" si="77"/>
        <v>1.965234713851276E-3</v>
      </c>
      <c r="S191" s="2"/>
      <c r="T191" s="7">
        <v>17015</v>
      </c>
      <c r="U191" s="2"/>
      <c r="V191" s="6">
        <f t="shared" si="78"/>
        <v>2.491646431344341E-3</v>
      </c>
      <c r="W191" s="2"/>
      <c r="X191" s="7">
        <f t="shared" si="79"/>
        <v>-8635.48</v>
      </c>
      <c r="Y191" s="2"/>
      <c r="Z191" s="6">
        <f t="shared" si="80"/>
        <v>-0.50752159858947987</v>
      </c>
    </row>
    <row r="192" spans="1:26" s="27" customFormat="1" outlineLevel="1" collapsed="1" x14ac:dyDescent="0.25">
      <c r="A192" s="29"/>
      <c r="B192" s="14" t="str">
        <f>CONCATENATE("     ","Insurance                                         ")</f>
        <v xml:space="preserve">     Insurance                                         </v>
      </c>
      <c r="C192" s="14"/>
      <c r="D192" s="1">
        <f>SUM(OSRRefD22_12x_0)</f>
        <v>14675.32</v>
      </c>
      <c r="E192" s="1"/>
      <c r="F192" s="5">
        <f t="shared" ref="F192:F208" si="81">IF(D$12=0,0,D192/D$12)</f>
        <v>2.1575624295637377E-2</v>
      </c>
      <c r="G192" s="1"/>
      <c r="H192" s="1">
        <f>SUM(OSRRefH22_12x_0)</f>
        <v>9321</v>
      </c>
      <c r="I192" s="1"/>
      <c r="J192" s="5">
        <f t="shared" ref="J192:J208" si="82">IF(H$12=0,0,H192/H$12)</f>
        <v>7.6479560732779384E-3</v>
      </c>
      <c r="K192" s="1"/>
      <c r="L192" s="1">
        <f t="shared" ref="L192:L208" si="83">+D192-H192</f>
        <v>5354.32</v>
      </c>
      <c r="M192" s="1"/>
      <c r="N192" s="5">
        <f t="shared" ref="N192:N208" si="84">IF(H192=0,0,L192/H192)</f>
        <v>0.57443621928977573</v>
      </c>
      <c r="O192" s="14"/>
      <c r="P192" s="1">
        <f>SUM(OSRRefP22_12x_0)</f>
        <v>40365.279999999999</v>
      </c>
      <c r="Q192" s="1"/>
      <c r="R192" s="5">
        <f t="shared" ref="R192:R208" si="85">IF(P$12=0,0,P192/P$12)</f>
        <v>9.4668011401997532E-3</v>
      </c>
      <c r="S192" s="1"/>
      <c r="T192" s="1">
        <f>SUM(OSRRefT22_12x_0)</f>
        <v>37284</v>
      </c>
      <c r="U192" s="1"/>
      <c r="V192" s="5">
        <f t="shared" ref="V192:V208" si="86">IF(T$12=0,0,T192/T$12)</f>
        <v>5.4598028531438383E-3</v>
      </c>
      <c r="W192" s="1"/>
      <c r="X192" s="1">
        <f t="shared" ref="X192:X208" si="87">+P192-T192</f>
        <v>3081.2799999999988</v>
      </c>
      <c r="Y192" s="1"/>
      <c r="Z192" s="5">
        <f t="shared" ref="Z192:Z208" si="88">IF(T192=0,0,X192/T192)</f>
        <v>8.2643493187426212E-2</v>
      </c>
    </row>
    <row r="193" spans="1:26" s="24" customFormat="1" hidden="1" outlineLevel="2" x14ac:dyDescent="0.25">
      <c r="A193" s="28"/>
      <c r="B193" s="11" t="str">
        <f>CONCATENATE("          ", "6314", " - ", "LIABILITY INSURANCE")</f>
        <v xml:space="preserve">          6314 - LIABILITY INSURANCE</v>
      </c>
      <c r="C193" s="11"/>
      <c r="D193" s="7">
        <v>14675.32</v>
      </c>
      <c r="E193" s="2"/>
      <c r="F193" s="6">
        <f t="shared" si="81"/>
        <v>2.1575624295637377E-2</v>
      </c>
      <c r="G193" s="2"/>
      <c r="H193" s="7">
        <v>9321</v>
      </c>
      <c r="I193" s="2"/>
      <c r="J193" s="6">
        <f t="shared" si="82"/>
        <v>7.6479560732779384E-3</v>
      </c>
      <c r="K193" s="2"/>
      <c r="L193" s="7">
        <f t="shared" si="83"/>
        <v>5354.32</v>
      </c>
      <c r="M193" s="2"/>
      <c r="N193" s="6">
        <f t="shared" si="84"/>
        <v>0.57443621928977573</v>
      </c>
      <c r="O193" s="11"/>
      <c r="P193" s="7">
        <v>40365.279999999999</v>
      </c>
      <c r="Q193" s="2"/>
      <c r="R193" s="6">
        <f t="shared" si="85"/>
        <v>9.4668011401997532E-3</v>
      </c>
      <c r="S193" s="2"/>
      <c r="T193" s="7">
        <v>37284</v>
      </c>
      <c r="U193" s="2"/>
      <c r="V193" s="6">
        <f t="shared" si="86"/>
        <v>5.4598028531438383E-3</v>
      </c>
      <c r="W193" s="2"/>
      <c r="X193" s="7">
        <f t="shared" si="87"/>
        <v>3081.2799999999988</v>
      </c>
      <c r="Y193" s="2"/>
      <c r="Z193" s="6">
        <f t="shared" si="88"/>
        <v>8.2643493187426212E-2</v>
      </c>
    </row>
    <row r="194" spans="1:26" s="27" customFormat="1" outlineLevel="1" collapsed="1" x14ac:dyDescent="0.25">
      <c r="A194" s="29"/>
      <c r="B194" s="14" t="str">
        <f>CONCATENATE("     ","Interest                                          ")</f>
        <v xml:space="preserve">     Interest                                          </v>
      </c>
      <c r="C194" s="14"/>
      <c r="D194" s="1">
        <f>SUM(OSRRefD22_13x_0)</f>
        <v>10805</v>
      </c>
      <c r="E194" s="1"/>
      <c r="F194" s="5">
        <f t="shared" si="81"/>
        <v>1.5885488051665099E-2</v>
      </c>
      <c r="G194" s="1"/>
      <c r="H194" s="1">
        <f>SUM(OSRRefH22_13x_0)</f>
        <v>11554</v>
      </c>
      <c r="I194" s="1"/>
      <c r="J194" s="5">
        <f t="shared" si="82"/>
        <v>9.4801506781089263E-3</v>
      </c>
      <c r="K194" s="1"/>
      <c r="L194" s="1">
        <f t="shared" si="83"/>
        <v>-749</v>
      </c>
      <c r="M194" s="1"/>
      <c r="N194" s="5">
        <f t="shared" si="84"/>
        <v>-6.4826034273844563E-2</v>
      </c>
      <c r="O194" s="14"/>
      <c r="P194" s="1">
        <f>SUM(OSRRefP22_13x_0)</f>
        <v>45467</v>
      </c>
      <c r="Q194" s="1"/>
      <c r="R194" s="5">
        <f t="shared" si="85"/>
        <v>1.0663298940115419E-2</v>
      </c>
      <c r="S194" s="1"/>
      <c r="T194" s="1">
        <f>SUM(OSRRefT22_13x_0)</f>
        <v>46216</v>
      </c>
      <c r="U194" s="1"/>
      <c r="V194" s="5">
        <f t="shared" si="86"/>
        <v>6.7677890961510469E-3</v>
      </c>
      <c r="W194" s="1"/>
      <c r="X194" s="1">
        <f t="shared" si="87"/>
        <v>-749</v>
      </c>
      <c r="Y194" s="1"/>
      <c r="Z194" s="5">
        <f t="shared" si="88"/>
        <v>-1.6206508568461141E-2</v>
      </c>
    </row>
    <row r="195" spans="1:26" s="24" customFormat="1" hidden="1" outlineLevel="2" x14ac:dyDescent="0.25">
      <c r="A195" s="28"/>
      <c r="B195" s="11" t="str">
        <f>CONCATENATE("          ", "6401", " - ", "INTEREST EXPENSE")</f>
        <v xml:space="preserve">          6401 - INTEREST EXPENSE</v>
      </c>
      <c r="C195" s="11"/>
      <c r="D195" s="7">
        <v>10805</v>
      </c>
      <c r="E195" s="2"/>
      <c r="F195" s="6">
        <f t="shared" si="81"/>
        <v>1.5885488051665099E-2</v>
      </c>
      <c r="G195" s="2"/>
      <c r="H195" s="7">
        <v>11554</v>
      </c>
      <c r="I195" s="2"/>
      <c r="J195" s="6">
        <f t="shared" si="82"/>
        <v>9.4801506781089263E-3</v>
      </c>
      <c r="K195" s="2"/>
      <c r="L195" s="7">
        <f t="shared" si="83"/>
        <v>-749</v>
      </c>
      <c r="M195" s="2"/>
      <c r="N195" s="6">
        <f t="shared" si="84"/>
        <v>-6.4826034273844563E-2</v>
      </c>
      <c r="O195" s="11"/>
      <c r="P195" s="7">
        <v>45467</v>
      </c>
      <c r="Q195" s="2"/>
      <c r="R195" s="6">
        <f t="shared" si="85"/>
        <v>1.0663298940115419E-2</v>
      </c>
      <c r="S195" s="2"/>
      <c r="T195" s="7">
        <v>46216</v>
      </c>
      <c r="U195" s="2"/>
      <c r="V195" s="6">
        <f t="shared" si="86"/>
        <v>6.7677890961510469E-3</v>
      </c>
      <c r="W195" s="2"/>
      <c r="X195" s="7">
        <f t="shared" si="87"/>
        <v>-749</v>
      </c>
      <c r="Y195" s="2"/>
      <c r="Z195" s="6">
        <f t="shared" si="88"/>
        <v>-1.6206508568461141E-2</v>
      </c>
    </row>
    <row r="196" spans="1:26" s="27" customFormat="1" outlineLevel="1" collapsed="1" x14ac:dyDescent="0.25">
      <c r="A196" s="29"/>
      <c r="B196" s="14" t="str">
        <f>CONCATENATE("     ","Inventory Adjustment                              ")</f>
        <v xml:space="preserve">     Inventory Adjustment                              </v>
      </c>
      <c r="C196" s="14"/>
      <c r="D196" s="1">
        <f>SUM(OSRRefD22_14x_0)</f>
        <v>3350</v>
      </c>
      <c r="E196" s="1"/>
      <c r="F196" s="5">
        <f t="shared" si="81"/>
        <v>4.9251628850604428E-3</v>
      </c>
      <c r="G196" s="1"/>
      <c r="H196" s="1">
        <f>SUM(OSRRefH22_14x_0)</f>
        <v>4350</v>
      </c>
      <c r="I196" s="1"/>
      <c r="J196" s="5">
        <f t="shared" si="82"/>
        <v>3.5692102691512748E-3</v>
      </c>
      <c r="K196" s="1"/>
      <c r="L196" s="1">
        <f t="shared" si="83"/>
        <v>-1000</v>
      </c>
      <c r="M196" s="1"/>
      <c r="N196" s="5">
        <f t="shared" si="84"/>
        <v>-0.22988505747126436</v>
      </c>
      <c r="O196" s="14"/>
      <c r="P196" s="1">
        <f>SUM(OSRRefP22_14x_0)</f>
        <v>13400</v>
      </c>
      <c r="Q196" s="1"/>
      <c r="R196" s="5">
        <f t="shared" si="85"/>
        <v>3.1426794333812794E-3</v>
      </c>
      <c r="S196" s="1"/>
      <c r="T196" s="1">
        <f>SUM(OSRRefT22_14x_0)</f>
        <v>17400</v>
      </c>
      <c r="U196" s="1"/>
      <c r="V196" s="5">
        <f t="shared" si="86"/>
        <v>2.5480251487153415E-3</v>
      </c>
      <c r="W196" s="1"/>
      <c r="X196" s="1">
        <f t="shared" si="87"/>
        <v>-4000</v>
      </c>
      <c r="Y196" s="1"/>
      <c r="Z196" s="5">
        <f t="shared" si="88"/>
        <v>-0.22988505747126436</v>
      </c>
    </row>
    <row r="197" spans="1:26" s="24" customFormat="1" hidden="1" outlineLevel="2" x14ac:dyDescent="0.25">
      <c r="A197" s="28"/>
      <c r="B197" s="11" t="str">
        <f>CONCATENATE("          ", "6408", " - ", "INVENTORY ADJUSTMENT")</f>
        <v xml:space="preserve">          6408 - INVENTORY ADJUSTMENT</v>
      </c>
      <c r="C197" s="11"/>
      <c r="D197" s="7">
        <v>3350</v>
      </c>
      <c r="E197" s="2"/>
      <c r="F197" s="6">
        <f t="shared" si="81"/>
        <v>4.9251628850604428E-3</v>
      </c>
      <c r="G197" s="2"/>
      <c r="H197" s="7">
        <v>4350</v>
      </c>
      <c r="I197" s="2"/>
      <c r="J197" s="6">
        <f t="shared" si="82"/>
        <v>3.5692102691512748E-3</v>
      </c>
      <c r="K197" s="2"/>
      <c r="L197" s="7">
        <f t="shared" si="83"/>
        <v>-1000</v>
      </c>
      <c r="M197" s="2"/>
      <c r="N197" s="6">
        <f t="shared" si="84"/>
        <v>-0.22988505747126436</v>
      </c>
      <c r="O197" s="11"/>
      <c r="P197" s="7">
        <v>13400</v>
      </c>
      <c r="Q197" s="2"/>
      <c r="R197" s="6">
        <f t="shared" si="85"/>
        <v>3.1426794333812794E-3</v>
      </c>
      <c r="S197" s="2"/>
      <c r="T197" s="7">
        <v>17400</v>
      </c>
      <c r="U197" s="2"/>
      <c r="V197" s="6">
        <f t="shared" si="86"/>
        <v>2.5480251487153415E-3</v>
      </c>
      <c r="W197" s="2"/>
      <c r="X197" s="7">
        <f t="shared" si="87"/>
        <v>-4000</v>
      </c>
      <c r="Y197" s="2"/>
      <c r="Z197" s="6">
        <f t="shared" si="88"/>
        <v>-0.22988505747126436</v>
      </c>
    </row>
    <row r="198" spans="1:26" s="27" customFormat="1" outlineLevel="1" collapsed="1" x14ac:dyDescent="0.25">
      <c r="A198" s="29"/>
      <c r="B198" s="14" t="str">
        <f>CONCATENATE("     ","Professional Services                             ")</f>
        <v xml:space="preserve">     Professional Services                             </v>
      </c>
      <c r="C198" s="14"/>
      <c r="D198" s="1">
        <f>SUM(OSRRefD22_15x_0)</f>
        <v>0</v>
      </c>
      <c r="E198" s="1"/>
      <c r="F198" s="5">
        <f t="shared" si="81"/>
        <v>0</v>
      </c>
      <c r="G198" s="1"/>
      <c r="H198" s="1">
        <f>SUM(OSRRefH22_15x_0)</f>
        <v>250</v>
      </c>
      <c r="I198" s="1"/>
      <c r="J198" s="5">
        <f t="shared" si="82"/>
        <v>2.0512702696271693E-4</v>
      </c>
      <c r="K198" s="1"/>
      <c r="L198" s="1">
        <f t="shared" si="83"/>
        <v>-250</v>
      </c>
      <c r="M198" s="1"/>
      <c r="N198" s="5">
        <f t="shared" si="84"/>
        <v>-1</v>
      </c>
      <c r="O198" s="14"/>
      <c r="P198" s="1">
        <f>SUM(OSRRefP22_15x_0)</f>
        <v>0</v>
      </c>
      <c r="Q198" s="1"/>
      <c r="R198" s="5">
        <f t="shared" si="85"/>
        <v>0</v>
      </c>
      <c r="S198" s="1"/>
      <c r="T198" s="1">
        <f>SUM(OSRRefT22_15x_0)</f>
        <v>6800</v>
      </c>
      <c r="U198" s="1"/>
      <c r="V198" s="5">
        <f t="shared" si="86"/>
        <v>9.9577994317611037E-4</v>
      </c>
      <c r="W198" s="1"/>
      <c r="X198" s="1">
        <f t="shared" si="87"/>
        <v>-6800</v>
      </c>
      <c r="Y198" s="1"/>
      <c r="Z198" s="5">
        <f t="shared" si="88"/>
        <v>-1</v>
      </c>
    </row>
    <row r="199" spans="1:26" s="24" customFormat="1" hidden="1" outlineLevel="2" x14ac:dyDescent="0.25">
      <c r="A199" s="28"/>
      <c r="B199" s="11" t="str">
        <f>CONCATENATE("          ", "6336", " - ", "PROFESSIONAL SERVICES")</f>
        <v xml:space="preserve">          6336 - PROFESSIONAL SERVICES</v>
      </c>
      <c r="C199" s="11"/>
      <c r="D199" s="7"/>
      <c r="E199" s="2"/>
      <c r="F199" s="6">
        <f t="shared" si="81"/>
        <v>0</v>
      </c>
      <c r="G199" s="2"/>
      <c r="H199" s="7">
        <v>250</v>
      </c>
      <c r="I199" s="2"/>
      <c r="J199" s="6">
        <f t="shared" si="82"/>
        <v>2.0512702696271693E-4</v>
      </c>
      <c r="K199" s="2"/>
      <c r="L199" s="7">
        <f t="shared" si="83"/>
        <v>-250</v>
      </c>
      <c r="M199" s="2"/>
      <c r="N199" s="6">
        <f t="shared" si="84"/>
        <v>-1</v>
      </c>
      <c r="O199" s="11"/>
      <c r="P199" s="7"/>
      <c r="Q199" s="2"/>
      <c r="R199" s="6">
        <f t="shared" si="85"/>
        <v>0</v>
      </c>
      <c r="S199" s="2"/>
      <c r="T199" s="7">
        <v>6800</v>
      </c>
      <c r="U199" s="2"/>
      <c r="V199" s="6">
        <f t="shared" si="86"/>
        <v>9.9577994317611037E-4</v>
      </c>
      <c r="W199" s="2"/>
      <c r="X199" s="7">
        <f t="shared" si="87"/>
        <v>-6800</v>
      </c>
      <c r="Y199" s="2"/>
      <c r="Z199" s="6">
        <f t="shared" si="88"/>
        <v>-1</v>
      </c>
    </row>
    <row r="200" spans="1:26" s="27" customFormat="1" outlineLevel="1" collapsed="1" x14ac:dyDescent="0.25">
      <c r="A200" s="29"/>
      <c r="B200" s="14" t="str">
        <f>CONCATENATE("     ","R/H Commissions                                   ")</f>
        <v xml:space="preserve">     R/H Commissions                                   </v>
      </c>
      <c r="C200" s="14"/>
      <c r="D200" s="1">
        <f>SUM(OSRRefD22_16x_0)</f>
        <v>12242.68</v>
      </c>
      <c r="E200" s="1"/>
      <c r="F200" s="5">
        <f t="shared" si="81"/>
        <v>1.7999162134230383E-2</v>
      </c>
      <c r="G200" s="1"/>
      <c r="H200" s="1">
        <f>SUM(OSRRefH22_16x_0)</f>
        <v>44159</v>
      </c>
      <c r="I200" s="1"/>
      <c r="J200" s="5">
        <f t="shared" si="82"/>
        <v>3.6232817534586466E-2</v>
      </c>
      <c r="K200" s="1"/>
      <c r="L200" s="1">
        <f t="shared" si="83"/>
        <v>-31916.32</v>
      </c>
      <c r="M200" s="1"/>
      <c r="N200" s="5">
        <f t="shared" si="84"/>
        <v>-0.72275912045109714</v>
      </c>
      <c r="O200" s="14"/>
      <c r="P200" s="1">
        <f>SUM(OSRRefP22_16x_0)</f>
        <v>28720.2</v>
      </c>
      <c r="Q200" s="1"/>
      <c r="R200" s="5">
        <f t="shared" si="85"/>
        <v>6.7357001389997777E-3</v>
      </c>
      <c r="S200" s="1"/>
      <c r="T200" s="1">
        <f>SUM(OSRRefT22_16x_0)</f>
        <v>92038</v>
      </c>
      <c r="U200" s="1"/>
      <c r="V200" s="5">
        <f t="shared" si="86"/>
        <v>1.3477881530888655E-2</v>
      </c>
      <c r="W200" s="1"/>
      <c r="X200" s="1">
        <f t="shared" si="87"/>
        <v>-63317.8</v>
      </c>
      <c r="Y200" s="1"/>
      <c r="Z200" s="5">
        <f t="shared" si="88"/>
        <v>-0.68795280210347898</v>
      </c>
    </row>
    <row r="201" spans="1:26" s="24" customFormat="1" hidden="1" outlineLevel="2" x14ac:dyDescent="0.25">
      <c r="A201" s="28"/>
      <c r="B201" s="11" t="str">
        <f>CONCATENATE("          ", "6387", " - ", "COMMISSION DUE HOUSING")</f>
        <v xml:space="preserve">          6387 - COMMISSION DUE HOUSING</v>
      </c>
      <c r="C201" s="11"/>
      <c r="D201" s="7">
        <v>12242.68</v>
      </c>
      <c r="E201" s="2"/>
      <c r="F201" s="6">
        <f t="shared" si="81"/>
        <v>1.7999162134230383E-2</v>
      </c>
      <c r="G201" s="2"/>
      <c r="H201" s="7">
        <v>44159</v>
      </c>
      <c r="I201" s="2"/>
      <c r="J201" s="6">
        <f t="shared" si="82"/>
        <v>3.6232817534586466E-2</v>
      </c>
      <c r="K201" s="2"/>
      <c r="L201" s="7">
        <f t="shared" si="83"/>
        <v>-31916.32</v>
      </c>
      <c r="M201" s="2"/>
      <c r="N201" s="6">
        <f t="shared" si="84"/>
        <v>-0.72275912045109714</v>
      </c>
      <c r="O201" s="11"/>
      <c r="P201" s="7">
        <v>28720.2</v>
      </c>
      <c r="Q201" s="2"/>
      <c r="R201" s="6">
        <f t="shared" si="85"/>
        <v>6.7357001389997777E-3</v>
      </c>
      <c r="S201" s="2"/>
      <c r="T201" s="7">
        <v>92038</v>
      </c>
      <c r="U201" s="2"/>
      <c r="V201" s="6">
        <f t="shared" si="86"/>
        <v>1.3477881530888655E-2</v>
      </c>
      <c r="W201" s="2"/>
      <c r="X201" s="7">
        <f t="shared" si="87"/>
        <v>-63317.8</v>
      </c>
      <c r="Y201" s="2"/>
      <c r="Z201" s="6">
        <f t="shared" si="88"/>
        <v>-0.68795280210347898</v>
      </c>
    </row>
    <row r="202" spans="1:26" s="27" customFormat="1" outlineLevel="1" collapsed="1" x14ac:dyDescent="0.25">
      <c r="A202" s="29"/>
      <c r="B202" s="14" t="str">
        <f>CONCATENATE("     ","Rent                                              ")</f>
        <v xml:space="preserve">     Rent                                              </v>
      </c>
      <c r="C202" s="14"/>
      <c r="D202" s="1">
        <f>SUM(OSRRefD22_17x_0)</f>
        <v>6900</v>
      </c>
      <c r="E202" s="1"/>
      <c r="F202" s="5">
        <f t="shared" si="81"/>
        <v>1.0144365345348374E-2</v>
      </c>
      <c r="G202" s="1"/>
      <c r="H202" s="1">
        <f>SUM(OSRRefH22_17x_0)</f>
        <v>8843</v>
      </c>
      <c r="I202" s="1"/>
      <c r="J202" s="5">
        <f t="shared" si="82"/>
        <v>7.2557531977252235E-3</v>
      </c>
      <c r="K202" s="1"/>
      <c r="L202" s="1">
        <f t="shared" si="83"/>
        <v>-1943</v>
      </c>
      <c r="M202" s="1"/>
      <c r="N202" s="5">
        <f t="shared" si="84"/>
        <v>-0.21972181386407327</v>
      </c>
      <c r="O202" s="14"/>
      <c r="P202" s="1">
        <f>SUM(OSRRefP22_17x_0)</f>
        <v>33150</v>
      </c>
      <c r="Q202" s="1"/>
      <c r="R202" s="5">
        <f t="shared" si="85"/>
        <v>7.7746136728798071E-3</v>
      </c>
      <c r="S202" s="1"/>
      <c r="T202" s="1">
        <f>SUM(OSRRefT22_17x_0)</f>
        <v>35373</v>
      </c>
      <c r="U202" s="1"/>
      <c r="V202" s="5">
        <f t="shared" si="86"/>
        <v>5.1799594014659634E-3</v>
      </c>
      <c r="W202" s="1"/>
      <c r="X202" s="1">
        <f t="shared" si="87"/>
        <v>-2223</v>
      </c>
      <c r="Y202" s="1"/>
      <c r="Z202" s="5">
        <f t="shared" si="88"/>
        <v>-6.2844542447629548E-2</v>
      </c>
    </row>
    <row r="203" spans="1:26" s="24" customFormat="1" hidden="1" outlineLevel="2" x14ac:dyDescent="0.25">
      <c r="A203" s="28"/>
      <c r="B203" s="11" t="str">
        <f>CONCATENATE("          ", "6273", " - ", "RENT")</f>
        <v xml:space="preserve">          6273 - RENT</v>
      </c>
      <c r="C203" s="11"/>
      <c r="D203" s="7">
        <v>6900</v>
      </c>
      <c r="E203" s="2"/>
      <c r="F203" s="6">
        <f t="shared" si="81"/>
        <v>1.0144365345348374E-2</v>
      </c>
      <c r="G203" s="2"/>
      <c r="H203" s="7">
        <v>8843</v>
      </c>
      <c r="I203" s="2"/>
      <c r="J203" s="6">
        <f t="shared" si="82"/>
        <v>7.2557531977252235E-3</v>
      </c>
      <c r="K203" s="2"/>
      <c r="L203" s="7">
        <f t="shared" si="83"/>
        <v>-1943</v>
      </c>
      <c r="M203" s="2"/>
      <c r="N203" s="6">
        <f t="shared" si="84"/>
        <v>-0.21972181386407327</v>
      </c>
      <c r="O203" s="11"/>
      <c r="P203" s="7">
        <v>33150</v>
      </c>
      <c r="Q203" s="2"/>
      <c r="R203" s="6">
        <f t="shared" si="85"/>
        <v>7.7746136728798071E-3</v>
      </c>
      <c r="S203" s="2"/>
      <c r="T203" s="7">
        <v>35373</v>
      </c>
      <c r="U203" s="2"/>
      <c r="V203" s="6">
        <f t="shared" si="86"/>
        <v>5.1799594014659634E-3</v>
      </c>
      <c r="W203" s="2"/>
      <c r="X203" s="7">
        <f t="shared" si="87"/>
        <v>-2223</v>
      </c>
      <c r="Y203" s="2"/>
      <c r="Z203" s="6">
        <f t="shared" si="88"/>
        <v>-6.2844542447629548E-2</v>
      </c>
    </row>
    <row r="204" spans="1:26" s="27" customFormat="1" outlineLevel="1" collapsed="1" x14ac:dyDescent="0.25">
      <c r="A204" s="29"/>
      <c r="B204" s="14" t="str">
        <f>CONCATENATE("     ","Repair and Maintenance                            ")</f>
        <v xml:space="preserve">     Repair and Maintenance                            </v>
      </c>
      <c r="C204" s="14"/>
      <c r="D204" s="1">
        <f>SUM(OSRRefD22_18x_0)</f>
        <v>133253.84</v>
      </c>
      <c r="E204" s="1"/>
      <c r="F204" s="5">
        <f t="shared" si="81"/>
        <v>0.19590951255515898</v>
      </c>
      <c r="G204" s="1"/>
      <c r="H204" s="1">
        <f>SUM(OSRRefH22_18x_0)</f>
        <v>28388</v>
      </c>
      <c r="I204" s="1"/>
      <c r="J204" s="5">
        <f t="shared" si="82"/>
        <v>2.3292584165670434E-2</v>
      </c>
      <c r="K204" s="1"/>
      <c r="L204" s="1">
        <f t="shared" si="83"/>
        <v>104865.84</v>
      </c>
      <c r="M204" s="1"/>
      <c r="N204" s="5">
        <f t="shared" si="84"/>
        <v>3.6940200084542765</v>
      </c>
      <c r="O204" s="14"/>
      <c r="P204" s="1">
        <f>SUM(OSRRefP22_18x_0)</f>
        <v>241216.05</v>
      </c>
      <c r="Q204" s="1"/>
      <c r="R204" s="5">
        <f t="shared" si="85"/>
        <v>5.6571993980333607E-2</v>
      </c>
      <c r="S204" s="1"/>
      <c r="T204" s="1">
        <f>SUM(OSRRefT22_18x_0)</f>
        <v>252119</v>
      </c>
      <c r="U204" s="1"/>
      <c r="V204" s="5">
        <f t="shared" si="86"/>
        <v>3.6919859337296732E-2</v>
      </c>
      <c r="W204" s="1"/>
      <c r="X204" s="1">
        <f t="shared" si="87"/>
        <v>-10902.950000000012</v>
      </c>
      <c r="Y204" s="1"/>
      <c r="Z204" s="5">
        <f t="shared" si="88"/>
        <v>-4.3245253233592122E-2</v>
      </c>
    </row>
    <row r="205" spans="1:26" s="24" customFormat="1" hidden="1" outlineLevel="2" x14ac:dyDescent="0.25">
      <c r="A205" s="28"/>
      <c r="B205" s="11" t="str">
        <f>CONCATENATE("          ", "6371", " - ", "COMPUTER SOFTWARE MAINTENANCE")</f>
        <v xml:space="preserve">          6371 - COMPUTER SOFTWARE MAINTENANCE</v>
      </c>
      <c r="C205" s="11"/>
      <c r="D205" s="7">
        <v>7.69</v>
      </c>
      <c r="E205" s="2"/>
      <c r="F205" s="6">
        <f t="shared" si="81"/>
        <v>1.1305821667496957E-5</v>
      </c>
      <c r="G205" s="2"/>
      <c r="H205" s="7"/>
      <c r="I205" s="2"/>
      <c r="J205" s="6">
        <f t="shared" si="82"/>
        <v>0</v>
      </c>
      <c r="K205" s="2"/>
      <c r="L205" s="7">
        <f t="shared" si="83"/>
        <v>7.69</v>
      </c>
      <c r="M205" s="2"/>
      <c r="N205" s="6">
        <f t="shared" si="84"/>
        <v>0</v>
      </c>
      <c r="O205" s="11"/>
      <c r="P205" s="7">
        <v>58436.47</v>
      </c>
      <c r="Q205" s="2"/>
      <c r="R205" s="6">
        <f t="shared" si="85"/>
        <v>1.3705006897641951E-2</v>
      </c>
      <c r="S205" s="2"/>
      <c r="T205" s="7">
        <v>170043</v>
      </c>
      <c r="U205" s="2"/>
      <c r="V205" s="6">
        <f t="shared" si="86"/>
        <v>2.4900795423161079E-2</v>
      </c>
      <c r="W205" s="2"/>
      <c r="X205" s="7">
        <f t="shared" si="87"/>
        <v>-111606.53</v>
      </c>
      <c r="Y205" s="2"/>
      <c r="Z205" s="6">
        <f t="shared" si="88"/>
        <v>-0.65634298383350098</v>
      </c>
    </row>
    <row r="206" spans="1:26" s="24" customFormat="1" hidden="1" outlineLevel="2" x14ac:dyDescent="0.25">
      <c r="A206" s="28"/>
      <c r="B206" s="11" t="str">
        <f>CONCATENATE("          ", "6372", " - ", "COMPUTER HARDWARE MAINTENANCE")</f>
        <v xml:space="preserve">          6372 - COMPUTER HARDWARE MAINTENANCE</v>
      </c>
      <c r="C206" s="11"/>
      <c r="D206" s="7">
        <v>8.11</v>
      </c>
      <c r="E206" s="2"/>
      <c r="F206" s="6">
        <f t="shared" si="81"/>
        <v>1.1923304775474683E-5</v>
      </c>
      <c r="G206" s="2"/>
      <c r="H206" s="7">
        <v>1500</v>
      </c>
      <c r="I206" s="2"/>
      <c r="J206" s="6">
        <f t="shared" si="82"/>
        <v>1.2307621617763016E-3</v>
      </c>
      <c r="K206" s="2"/>
      <c r="L206" s="7">
        <f t="shared" si="83"/>
        <v>-1491.89</v>
      </c>
      <c r="M206" s="2"/>
      <c r="N206" s="6">
        <f t="shared" si="84"/>
        <v>-0.99459333333333344</v>
      </c>
      <c r="O206" s="11"/>
      <c r="P206" s="7">
        <v>0</v>
      </c>
      <c r="Q206" s="2"/>
      <c r="R206" s="6">
        <f t="shared" si="85"/>
        <v>0</v>
      </c>
      <c r="S206" s="2"/>
      <c r="T206" s="7">
        <v>9520</v>
      </c>
      <c r="U206" s="2"/>
      <c r="V206" s="6">
        <f t="shared" si="86"/>
        <v>1.3940919204465546E-3</v>
      </c>
      <c r="W206" s="2"/>
      <c r="X206" s="7">
        <f t="shared" si="87"/>
        <v>-9520</v>
      </c>
      <c r="Y206" s="2"/>
      <c r="Z206" s="6">
        <f t="shared" si="88"/>
        <v>-1</v>
      </c>
    </row>
    <row r="207" spans="1:26" s="24" customFormat="1" hidden="1" outlineLevel="2" x14ac:dyDescent="0.25">
      <c r="A207" s="28"/>
      <c r="B207" s="11" t="str">
        <f>CONCATENATE("          ", "6373", " - ", "MAINTENANCE CONTRACTS")</f>
        <v xml:space="preserve">          6373 - MAINTENANCE CONTRACTS</v>
      </c>
      <c r="C207" s="11"/>
      <c r="D207" s="7">
        <v>125859.86</v>
      </c>
      <c r="E207" s="2"/>
      <c r="F207" s="6">
        <f t="shared" si="81"/>
        <v>0.18503889886295624</v>
      </c>
      <c r="G207" s="2"/>
      <c r="H207" s="7">
        <v>10304</v>
      </c>
      <c r="I207" s="2"/>
      <c r="J207" s="6">
        <f t="shared" si="82"/>
        <v>8.4545155432953403E-3</v>
      </c>
      <c r="K207" s="2"/>
      <c r="L207" s="7">
        <f t="shared" si="83"/>
        <v>115555.86</v>
      </c>
      <c r="M207" s="2"/>
      <c r="N207" s="6">
        <f t="shared" si="84"/>
        <v>11.214660326086957</v>
      </c>
      <c r="O207" s="11"/>
      <c r="P207" s="7">
        <v>160110.25</v>
      </c>
      <c r="Q207" s="2"/>
      <c r="R207" s="6">
        <f t="shared" si="85"/>
        <v>3.7550387294666789E-2</v>
      </c>
      <c r="S207" s="2"/>
      <c r="T207" s="7">
        <v>26698</v>
      </c>
      <c r="U207" s="2"/>
      <c r="V207" s="6">
        <f t="shared" si="86"/>
        <v>3.9096077827817351E-3</v>
      </c>
      <c r="W207" s="2"/>
      <c r="X207" s="7">
        <f t="shared" si="87"/>
        <v>133412.25</v>
      </c>
      <c r="Y207" s="2"/>
      <c r="Z207" s="6">
        <f t="shared" si="88"/>
        <v>4.9970877968387146</v>
      </c>
    </row>
    <row r="208" spans="1:26" s="24" customFormat="1" hidden="1" outlineLevel="2" x14ac:dyDescent="0.25">
      <c r="A208" s="28"/>
      <c r="B208" s="11" t="str">
        <f>CONCATENATE("          ", "6375", " - ", "OUTSIDE REPAIRS &amp; MAINTENANCE")</f>
        <v xml:space="preserve">          6375 - OUTSIDE REPAIRS &amp; MAINTENANCE</v>
      </c>
      <c r="C208" s="11"/>
      <c r="D208" s="7">
        <v>7378.18</v>
      </c>
      <c r="E208" s="2"/>
      <c r="F208" s="6">
        <f t="shared" si="81"/>
        <v>1.0847384565759779E-2</v>
      </c>
      <c r="G208" s="2"/>
      <c r="H208" s="7">
        <v>16584</v>
      </c>
      <c r="I208" s="2"/>
      <c r="J208" s="6">
        <f t="shared" si="82"/>
        <v>1.360730646059879E-2</v>
      </c>
      <c r="K208" s="2"/>
      <c r="L208" s="7">
        <f t="shared" si="83"/>
        <v>-9205.82</v>
      </c>
      <c r="M208" s="2"/>
      <c r="N208" s="6">
        <f t="shared" si="84"/>
        <v>-0.5551025084418717</v>
      </c>
      <c r="O208" s="11"/>
      <c r="P208" s="7">
        <v>22669.329999999998</v>
      </c>
      <c r="Q208" s="2"/>
      <c r="R208" s="6">
        <f t="shared" si="85"/>
        <v>5.3165997880248684E-3</v>
      </c>
      <c r="S208" s="2"/>
      <c r="T208" s="7">
        <v>45858</v>
      </c>
      <c r="U208" s="2"/>
      <c r="V208" s="6">
        <f t="shared" si="86"/>
        <v>6.7153642109073633E-3</v>
      </c>
      <c r="W208" s="2"/>
      <c r="X208" s="7">
        <f t="shared" si="87"/>
        <v>-23188.670000000002</v>
      </c>
      <c r="Y208" s="2"/>
      <c r="Z208" s="6">
        <f t="shared" si="88"/>
        <v>-0.50566247982903756</v>
      </c>
    </row>
    <row r="209" spans="1:26" s="27" customFormat="1" outlineLevel="1" collapsed="1" x14ac:dyDescent="0.25">
      <c r="A209" s="29"/>
      <c r="B209" s="14" t="str">
        <f>CONCATENATE("     ","Royalty &amp; Commissions                             ")</f>
        <v xml:space="preserve">     Royalty &amp; Commissions                             </v>
      </c>
      <c r="C209" s="14"/>
      <c r="D209" s="1">
        <f>SUM(OSRRefD22_19x_0)</f>
        <v>10995.7</v>
      </c>
      <c r="E209" s="1"/>
      <c r="F209" s="5">
        <f t="shared" ref="F209:F213" si="89">IF(D$12=0,0,D209/D$12)</f>
        <v>1.616585478664451E-2</v>
      </c>
      <c r="G209" s="1"/>
      <c r="H209" s="1">
        <f>SUM(OSRRefH22_19x_0)</f>
        <v>8279</v>
      </c>
      <c r="I209" s="1"/>
      <c r="J209" s="5">
        <f t="shared" ref="J209:J213" si="90">IF(H$12=0,0,H209/H$12)</f>
        <v>6.7929866248973335E-3</v>
      </c>
      <c r="K209" s="1"/>
      <c r="L209" s="1">
        <f t="shared" ref="L209:L213" si="91">+D209-H209</f>
        <v>2716.7000000000007</v>
      </c>
      <c r="M209" s="1"/>
      <c r="N209" s="5">
        <f t="shared" ref="N209:N213" si="92">IF(H209=0,0,L209/H209)</f>
        <v>0.32814349559125505</v>
      </c>
      <c r="O209" s="14"/>
      <c r="P209" s="1">
        <f>SUM(OSRRefP22_19x_0)</f>
        <v>24302.7</v>
      </c>
      <c r="Q209" s="1"/>
      <c r="R209" s="5">
        <f t="shared" ref="R209:R213" si="93">IF(P$12=0,0,P209/P$12)</f>
        <v>5.6996713034056139E-3</v>
      </c>
      <c r="S209" s="1"/>
      <c r="T209" s="1">
        <f>SUM(OSRRefT22_19x_0)</f>
        <v>29729</v>
      </c>
      <c r="U209" s="1"/>
      <c r="V209" s="5">
        <f t="shared" ref="V209:V213" si="94">IF(T$12=0,0,T209/T$12)</f>
        <v>4.3534620486297918E-3</v>
      </c>
      <c r="W209" s="1"/>
      <c r="X209" s="1">
        <f t="shared" ref="X209:X213" si="95">+P209-T209</f>
        <v>-5426.2999999999993</v>
      </c>
      <c r="Y209" s="1"/>
      <c r="Z209" s="5">
        <f t="shared" ref="Z209:Z213" si="96">IF(T209=0,0,X209/T209)</f>
        <v>-0.18252548017087689</v>
      </c>
    </row>
    <row r="210" spans="1:26" s="24" customFormat="1" hidden="1" outlineLevel="2" x14ac:dyDescent="0.25">
      <c r="A210" s="28"/>
      <c r="B210" s="11" t="str">
        <f>CONCATENATE("          ", "6252", " - ", "ROYALTY DUE CSTV")</f>
        <v xml:space="preserve">          6252 - ROYALTY DUE CSTV</v>
      </c>
      <c r="C210" s="11"/>
      <c r="D210" s="7"/>
      <c r="E210" s="2"/>
      <c r="F210" s="6">
        <f t="shared" si="89"/>
        <v>0</v>
      </c>
      <c r="G210" s="2"/>
      <c r="H210" s="7">
        <v>1085</v>
      </c>
      <c r="I210" s="2"/>
      <c r="J210" s="6">
        <f t="shared" si="90"/>
        <v>8.9025129701819151E-4</v>
      </c>
      <c r="K210" s="2"/>
      <c r="L210" s="7">
        <f t="shared" si="91"/>
        <v>-1085</v>
      </c>
      <c r="M210" s="2"/>
      <c r="N210" s="6">
        <f t="shared" si="92"/>
        <v>-1</v>
      </c>
      <c r="O210" s="11"/>
      <c r="P210" s="7"/>
      <c r="Q210" s="2"/>
      <c r="R210" s="6">
        <f t="shared" si="93"/>
        <v>0</v>
      </c>
      <c r="S210" s="2"/>
      <c r="T210" s="7">
        <v>4340</v>
      </c>
      <c r="U210" s="2"/>
      <c r="V210" s="6">
        <f t="shared" si="94"/>
        <v>6.3554190490945866E-4</v>
      </c>
      <c r="W210" s="2"/>
      <c r="X210" s="7">
        <f t="shared" si="95"/>
        <v>-4340</v>
      </c>
      <c r="Y210" s="2"/>
      <c r="Z210" s="6">
        <f t="shared" si="96"/>
        <v>-1</v>
      </c>
    </row>
    <row r="211" spans="1:26" s="24" customFormat="1" hidden="1" outlineLevel="2" x14ac:dyDescent="0.25">
      <c r="A211" s="28"/>
      <c r="B211" s="11" t="str">
        <f>CONCATENATE("          ", "6253", " - ", "ROYALTY DUE ATHLETICS-LRG")</f>
        <v xml:space="preserve">          6253 - ROYALTY DUE ATHLETICS-LRG</v>
      </c>
      <c r="C211" s="11"/>
      <c r="D211" s="7">
        <v>10489.6</v>
      </c>
      <c r="E211" s="2"/>
      <c r="F211" s="6">
        <f t="shared" si="89"/>
        <v>1.542178764153135E-2</v>
      </c>
      <c r="G211" s="2"/>
      <c r="H211" s="7">
        <v>4037</v>
      </c>
      <c r="I211" s="2"/>
      <c r="J211" s="6">
        <f t="shared" si="90"/>
        <v>3.3123912313939531E-3</v>
      </c>
      <c r="K211" s="2"/>
      <c r="L211" s="7">
        <f t="shared" si="91"/>
        <v>6452.6</v>
      </c>
      <c r="M211" s="2"/>
      <c r="N211" s="6">
        <f t="shared" si="92"/>
        <v>1.598365122615804</v>
      </c>
      <c r="O211" s="11"/>
      <c r="P211" s="7">
        <v>18411.8</v>
      </c>
      <c r="Q211" s="2"/>
      <c r="R211" s="6">
        <f t="shared" si="93"/>
        <v>4.3180884471290624E-3</v>
      </c>
      <c r="S211" s="2"/>
      <c r="T211" s="7">
        <v>16148</v>
      </c>
      <c r="U211" s="2"/>
      <c r="V211" s="6">
        <f t="shared" si="94"/>
        <v>2.364684488589387E-3</v>
      </c>
      <c r="W211" s="2"/>
      <c r="X211" s="7">
        <f t="shared" si="95"/>
        <v>2263.7999999999993</v>
      </c>
      <c r="Y211" s="2"/>
      <c r="Z211" s="6">
        <f t="shared" si="96"/>
        <v>0.14019073569482285</v>
      </c>
    </row>
    <row r="212" spans="1:26" s="24" customFormat="1" hidden="1" outlineLevel="2" x14ac:dyDescent="0.25">
      <c r="A212" s="28"/>
      <c r="B212" s="11" t="str">
        <f>CONCATENATE("          ", "6254", " - ", "ROYALTY &amp; COMMISSIONS")</f>
        <v xml:space="preserve">          6254 - ROYALTY &amp; COMMISSIONS</v>
      </c>
      <c r="C212" s="11"/>
      <c r="D212" s="7">
        <v>185.7</v>
      </c>
      <c r="E212" s="2"/>
      <c r="F212" s="6">
        <f t="shared" si="89"/>
        <v>2.7301574559872365E-4</v>
      </c>
      <c r="G212" s="2"/>
      <c r="H212" s="7">
        <v>1149</v>
      </c>
      <c r="I212" s="2"/>
      <c r="J212" s="6">
        <f t="shared" si="90"/>
        <v>9.4276381592064702E-4</v>
      </c>
      <c r="K212" s="2"/>
      <c r="L212" s="7">
        <f t="shared" si="91"/>
        <v>-963.3</v>
      </c>
      <c r="M212" s="2"/>
      <c r="N212" s="6">
        <f t="shared" si="92"/>
        <v>-0.8383812010443864</v>
      </c>
      <c r="O212" s="11"/>
      <c r="P212" s="7">
        <v>185.7</v>
      </c>
      <c r="Q212" s="2"/>
      <c r="R212" s="6">
        <f t="shared" si="93"/>
        <v>4.3551908267082357E-5</v>
      </c>
      <c r="S212" s="2"/>
      <c r="T212" s="7">
        <v>4596</v>
      </c>
      <c r="U212" s="2"/>
      <c r="V212" s="6">
        <f t="shared" si="94"/>
        <v>6.7303009100550047E-4</v>
      </c>
      <c r="W212" s="2"/>
      <c r="X212" s="7">
        <f t="shared" si="95"/>
        <v>-4410.3</v>
      </c>
      <c r="Y212" s="2"/>
      <c r="Z212" s="6">
        <f t="shared" si="96"/>
        <v>-0.95959530026109663</v>
      </c>
    </row>
    <row r="213" spans="1:26" s="24" customFormat="1" hidden="1" outlineLevel="2" x14ac:dyDescent="0.25">
      <c r="A213" s="28"/>
      <c r="B213" s="11" t="str">
        <f>CONCATENATE("          ", "6259", " - ", "ROYALTY &amp; COMMISSIONS")</f>
        <v xml:space="preserve">          6259 - ROYALTY &amp; COMMISSIONS</v>
      </c>
      <c r="C213" s="11"/>
      <c r="D213" s="7">
        <v>320.39999999999998</v>
      </c>
      <c r="E213" s="2"/>
      <c r="F213" s="6">
        <f t="shared" si="89"/>
        <v>4.7105139951443754E-4</v>
      </c>
      <c r="G213" s="2"/>
      <c r="H213" s="7">
        <v>2008</v>
      </c>
      <c r="I213" s="2"/>
      <c r="J213" s="6">
        <f t="shared" si="90"/>
        <v>1.6475802805645424E-3</v>
      </c>
      <c r="K213" s="2"/>
      <c r="L213" s="7">
        <f t="shared" si="91"/>
        <v>-1687.6</v>
      </c>
      <c r="M213" s="2"/>
      <c r="N213" s="6">
        <f t="shared" si="92"/>
        <v>-0.84043824701195213</v>
      </c>
      <c r="O213" s="11"/>
      <c r="P213" s="7">
        <v>5705.2</v>
      </c>
      <c r="Q213" s="2"/>
      <c r="R213" s="6">
        <f t="shared" si="93"/>
        <v>1.3380309480094683E-3</v>
      </c>
      <c r="S213" s="2"/>
      <c r="T213" s="7">
        <v>4645</v>
      </c>
      <c r="U213" s="2"/>
      <c r="V213" s="6">
        <f t="shared" si="94"/>
        <v>6.8020556412544603E-4</v>
      </c>
      <c r="W213" s="2"/>
      <c r="X213" s="7">
        <f t="shared" si="95"/>
        <v>1060.1999999999998</v>
      </c>
      <c r="Y213" s="2"/>
      <c r="Z213" s="6">
        <f t="shared" si="96"/>
        <v>0.22824542518837457</v>
      </c>
    </row>
    <row r="214" spans="1:26" s="27" customFormat="1" outlineLevel="1" collapsed="1" x14ac:dyDescent="0.25">
      <c r="A214" s="29"/>
      <c r="B214" s="14" t="str">
        <f>CONCATENATE("     ","Services                                          ")</f>
        <v xml:space="preserve">     Services                                          </v>
      </c>
      <c r="C214" s="14"/>
      <c r="D214" s="1">
        <f>SUM(OSRRefD22_20x_0)</f>
        <v>22877.25</v>
      </c>
      <c r="E214" s="1"/>
      <c r="F214" s="5">
        <f t="shared" ref="F214:F219" si="97">IF(D$12=0,0,D214/D$12)</f>
        <v>3.363408436186538E-2</v>
      </c>
      <c r="G214" s="1"/>
      <c r="H214" s="1">
        <f>SUM(OSRRefH22_20x_0)</f>
        <v>31999</v>
      </c>
      <c r="I214" s="1"/>
      <c r="J214" s="5">
        <f t="shared" ref="J214:J219" si="98">IF(H$12=0,0,H214/H$12)</f>
        <v>2.6255438943119918E-2</v>
      </c>
      <c r="K214" s="1"/>
      <c r="L214" s="1">
        <f t="shared" ref="L214:L219" si="99">+D214-H214</f>
        <v>-9121.75</v>
      </c>
      <c r="M214" s="1"/>
      <c r="N214" s="5">
        <f t="shared" ref="N214:N219" si="100">IF(H214=0,0,L214/H214)</f>
        <v>-0.28506359573736678</v>
      </c>
      <c r="O214" s="14"/>
      <c r="P214" s="1">
        <f>SUM(OSRRefP22_20x_0)</f>
        <v>72461.569999999992</v>
      </c>
      <c r="Q214" s="1"/>
      <c r="R214" s="5">
        <f t="shared" ref="R214:R219" si="101">IF(P$12=0,0,P214/P$12)</f>
        <v>1.6994289981307305E-2</v>
      </c>
      <c r="S214" s="1"/>
      <c r="T214" s="1">
        <f>SUM(OSRRefT22_20x_0)</f>
        <v>124051</v>
      </c>
      <c r="U214" s="1"/>
      <c r="V214" s="5">
        <f t="shared" ref="V214:V219" si="102">IF(T$12=0,0,T214/T$12)</f>
        <v>1.816580848984407E-2</v>
      </c>
      <c r="W214" s="1"/>
      <c r="X214" s="1">
        <f t="shared" ref="X214:X219" si="103">+P214-T214</f>
        <v>-51589.430000000008</v>
      </c>
      <c r="Y214" s="1"/>
      <c r="Z214" s="5">
        <f t="shared" ref="Z214:Z219" si="104">IF(T214=0,0,X214/T214)</f>
        <v>-0.41587274588677242</v>
      </c>
    </row>
    <row r="215" spans="1:26" s="24" customFormat="1" hidden="1" outlineLevel="2" x14ac:dyDescent="0.25">
      <c r="A215" s="28"/>
      <c r="B215" s="11" t="str">
        <f>CONCATENATE("          ", "6282", " - ", "JANITORIAL/EXTERMINATOR EXPENS")</f>
        <v xml:space="preserve">          6282 - JANITORIAL/EXTERMINATOR EXPENS</v>
      </c>
      <c r="C215" s="11"/>
      <c r="D215" s="7">
        <v>7486.36</v>
      </c>
      <c r="E215" s="2"/>
      <c r="F215" s="6">
        <f t="shared" si="97"/>
        <v>1.1006430572000327E-2</v>
      </c>
      <c r="G215" s="2"/>
      <c r="H215" s="7">
        <v>6705</v>
      </c>
      <c r="I215" s="2"/>
      <c r="J215" s="6">
        <f t="shared" si="98"/>
        <v>5.5015068631400679E-3</v>
      </c>
      <c r="K215" s="2"/>
      <c r="L215" s="7">
        <f t="shared" si="99"/>
        <v>781.35999999999967</v>
      </c>
      <c r="M215" s="2"/>
      <c r="N215" s="6">
        <f t="shared" si="100"/>
        <v>0.11653392990305737</v>
      </c>
      <c r="O215" s="11"/>
      <c r="P215" s="7">
        <v>10414.120000000001</v>
      </c>
      <c r="Q215" s="2"/>
      <c r="R215" s="6">
        <f t="shared" si="101"/>
        <v>2.4424060254301977E-3</v>
      </c>
      <c r="S215" s="2"/>
      <c r="T215" s="7">
        <v>27134</v>
      </c>
      <c r="U215" s="2"/>
      <c r="V215" s="6">
        <f t="shared" si="102"/>
        <v>3.973454849726556E-3</v>
      </c>
      <c r="W215" s="2"/>
      <c r="X215" s="7">
        <f t="shared" si="103"/>
        <v>-16719.879999999997</v>
      </c>
      <c r="Y215" s="2"/>
      <c r="Z215" s="6">
        <f t="shared" si="104"/>
        <v>-0.61619665364487353</v>
      </c>
    </row>
    <row r="216" spans="1:26" s="24" customFormat="1" hidden="1" outlineLevel="2" x14ac:dyDescent="0.25">
      <c r="A216" s="28"/>
      <c r="B216" s="11" t="str">
        <f>CONCATENATE("          ", "6283", " - ", "PLANT SERVICE")</f>
        <v xml:space="preserve">          6283 - PLANT SERVICE</v>
      </c>
      <c r="C216" s="11"/>
      <c r="D216" s="7"/>
      <c r="E216" s="2"/>
      <c r="F216" s="6">
        <f t="shared" si="97"/>
        <v>0</v>
      </c>
      <c r="G216" s="2"/>
      <c r="H216" s="7">
        <v>0</v>
      </c>
      <c r="I216" s="2"/>
      <c r="J216" s="6">
        <f t="shared" si="98"/>
        <v>0</v>
      </c>
      <c r="K216" s="2"/>
      <c r="L216" s="7">
        <f t="shared" si="99"/>
        <v>0</v>
      </c>
      <c r="M216" s="2"/>
      <c r="N216" s="6">
        <f t="shared" si="100"/>
        <v>0</v>
      </c>
      <c r="O216" s="11"/>
      <c r="P216" s="7">
        <v>130</v>
      </c>
      <c r="Q216" s="2"/>
      <c r="R216" s="6">
        <f t="shared" si="101"/>
        <v>3.0488681070116889E-5</v>
      </c>
      <c r="S216" s="2"/>
      <c r="T216" s="7">
        <v>186</v>
      </c>
      <c r="U216" s="2"/>
      <c r="V216" s="6">
        <f t="shared" si="102"/>
        <v>2.7237510210405375E-5</v>
      </c>
      <c r="W216" s="2"/>
      <c r="X216" s="7">
        <f t="shared" si="103"/>
        <v>-56</v>
      </c>
      <c r="Y216" s="2"/>
      <c r="Z216" s="6">
        <f t="shared" si="104"/>
        <v>-0.30107526881720431</v>
      </c>
    </row>
    <row r="217" spans="1:26" s="24" customFormat="1" hidden="1" outlineLevel="2" x14ac:dyDescent="0.25">
      <c r="A217" s="28"/>
      <c r="B217" s="11" t="str">
        <f>CONCATENATE("          ", "6284", " - ", "TRASH REMOVAL EXPENSE")</f>
        <v xml:space="preserve">          6284 - TRASH REMOVAL EXPENSE</v>
      </c>
      <c r="C217" s="11"/>
      <c r="D217" s="7">
        <v>5526.59</v>
      </c>
      <c r="E217" s="2"/>
      <c r="F217" s="6">
        <f t="shared" si="97"/>
        <v>8.1251808802824451E-3</v>
      </c>
      <c r="G217" s="2"/>
      <c r="H217" s="7">
        <v>3915</v>
      </c>
      <c r="I217" s="2"/>
      <c r="J217" s="6">
        <f t="shared" si="98"/>
        <v>3.2122892422361471E-3</v>
      </c>
      <c r="K217" s="2"/>
      <c r="L217" s="7">
        <f t="shared" si="99"/>
        <v>1611.5900000000001</v>
      </c>
      <c r="M217" s="2"/>
      <c r="N217" s="6">
        <f t="shared" si="100"/>
        <v>0.41164495530012774</v>
      </c>
      <c r="O217" s="11"/>
      <c r="P217" s="7">
        <v>8715.2999999999993</v>
      </c>
      <c r="Q217" s="2"/>
      <c r="R217" s="6">
        <f t="shared" si="101"/>
        <v>2.0439846317722287E-3</v>
      </c>
      <c r="S217" s="2"/>
      <c r="T217" s="7">
        <v>12655</v>
      </c>
      <c r="U217" s="2"/>
      <c r="V217" s="6">
        <f t="shared" si="102"/>
        <v>1.853175761896129E-3</v>
      </c>
      <c r="W217" s="2"/>
      <c r="X217" s="7">
        <f t="shared" si="103"/>
        <v>-3939.7000000000007</v>
      </c>
      <c r="Y217" s="2"/>
      <c r="Z217" s="6">
        <f t="shared" si="104"/>
        <v>-0.31131568549980249</v>
      </c>
    </row>
    <row r="218" spans="1:26" s="24" customFormat="1" hidden="1" outlineLevel="2" x14ac:dyDescent="0.25">
      <c r="A218" s="28"/>
      <c r="B218" s="11" t="str">
        <f>CONCATENATE("          ", "6285", " - ", "JANITORIAL SERVICES")</f>
        <v xml:space="preserve">          6285 - JANITORIAL SERVICES</v>
      </c>
      <c r="C218" s="11"/>
      <c r="D218" s="7">
        <v>7831.3</v>
      </c>
      <c r="E218" s="2"/>
      <c r="F218" s="6">
        <f t="shared" si="97"/>
        <v>1.1513560627395178E-2</v>
      </c>
      <c r="G218" s="2"/>
      <c r="H218" s="7">
        <v>16790</v>
      </c>
      <c r="I218" s="2"/>
      <c r="J218" s="6">
        <f t="shared" si="98"/>
        <v>1.3776331130816069E-2</v>
      </c>
      <c r="K218" s="2"/>
      <c r="L218" s="7">
        <f t="shared" si="99"/>
        <v>-8958.7000000000007</v>
      </c>
      <c r="M218" s="2"/>
      <c r="N218" s="6">
        <f t="shared" si="100"/>
        <v>-0.53357355568790954</v>
      </c>
      <c r="O218" s="11"/>
      <c r="P218" s="7">
        <v>45209.279999999999</v>
      </c>
      <c r="Q218" s="2"/>
      <c r="R218" s="6">
        <f t="shared" si="101"/>
        <v>1.0602856302535492E-2</v>
      </c>
      <c r="S218" s="2"/>
      <c r="T218" s="7">
        <v>65699</v>
      </c>
      <c r="U218" s="2"/>
      <c r="V218" s="6">
        <f t="shared" si="102"/>
        <v>9.6208450715775402E-3</v>
      </c>
      <c r="W218" s="2"/>
      <c r="X218" s="7">
        <f t="shared" si="103"/>
        <v>-20489.72</v>
      </c>
      <c r="Y218" s="2"/>
      <c r="Z218" s="6">
        <f t="shared" si="104"/>
        <v>-0.31187263124248471</v>
      </c>
    </row>
    <row r="219" spans="1:26" s="24" customFormat="1" hidden="1" outlineLevel="2" x14ac:dyDescent="0.25">
      <c r="A219" s="28"/>
      <c r="B219" s="11" t="str">
        <f>CONCATENATE("          ", "6286", " - ", "LAUNDRY EXPENSE")</f>
        <v xml:space="preserve">          6286 - LAUNDRY EXPENSE</v>
      </c>
      <c r="C219" s="11"/>
      <c r="D219" s="7">
        <v>2033</v>
      </c>
      <c r="E219" s="2"/>
      <c r="F219" s="6">
        <f t="shared" si="97"/>
        <v>2.9889122821874269E-3</v>
      </c>
      <c r="G219" s="2"/>
      <c r="H219" s="7">
        <v>4589</v>
      </c>
      <c r="I219" s="2"/>
      <c r="J219" s="6">
        <f t="shared" si="98"/>
        <v>3.7653117069276318E-3</v>
      </c>
      <c r="K219" s="2"/>
      <c r="L219" s="7">
        <f t="shared" si="99"/>
        <v>-2556</v>
      </c>
      <c r="M219" s="2"/>
      <c r="N219" s="6">
        <f t="shared" si="100"/>
        <v>-0.55698409239485724</v>
      </c>
      <c r="O219" s="11"/>
      <c r="P219" s="7">
        <v>7992.87</v>
      </c>
      <c r="Q219" s="2"/>
      <c r="R219" s="6">
        <f t="shared" si="101"/>
        <v>1.8745543404992706E-3</v>
      </c>
      <c r="S219" s="2"/>
      <c r="T219" s="7">
        <v>18377</v>
      </c>
      <c r="U219" s="2"/>
      <c r="V219" s="6">
        <f t="shared" si="102"/>
        <v>2.6910952964334382E-3</v>
      </c>
      <c r="W219" s="2"/>
      <c r="X219" s="7">
        <f t="shared" si="103"/>
        <v>-10384.130000000001</v>
      </c>
      <c r="Y219" s="2"/>
      <c r="Z219" s="6">
        <f t="shared" si="104"/>
        <v>-0.56506121782663121</v>
      </c>
    </row>
    <row r="220" spans="1:26" s="27" customFormat="1" outlineLevel="1" collapsed="1" x14ac:dyDescent="0.25">
      <c r="A220" s="29"/>
      <c r="B220" s="14" t="str">
        <f>CONCATENATE("     ","Subscriptions &amp; Dues                              ")</f>
        <v xml:space="preserve">     Subscriptions &amp; Dues                              </v>
      </c>
      <c r="C220" s="14"/>
      <c r="D220" s="1">
        <f>SUM(OSRRefD22_21x_0)</f>
        <v>995.99</v>
      </c>
      <c r="E220" s="1"/>
      <c r="F220" s="5">
        <f t="shared" ref="F220:F222" si="105">IF(D$12=0,0,D220/D$12)</f>
        <v>1.4643023826541343E-3</v>
      </c>
      <c r="G220" s="1"/>
      <c r="H220" s="1">
        <f>SUM(OSRRefH22_21x_0)</f>
        <v>1473</v>
      </c>
      <c r="I220" s="1"/>
      <c r="J220" s="5">
        <f t="shared" ref="J220:J222" si="106">IF(H$12=0,0,H220/H$12)</f>
        <v>1.2086084428643282E-3</v>
      </c>
      <c r="K220" s="1"/>
      <c r="L220" s="1">
        <f t="shared" ref="L220:L222" si="107">+D220-H220</f>
        <v>-477.01</v>
      </c>
      <c r="M220" s="1"/>
      <c r="N220" s="5">
        <f t="shared" ref="N220:N222" si="108">IF(H220=0,0,L220/H220)</f>
        <v>-0.32383570943652412</v>
      </c>
      <c r="O220" s="14"/>
      <c r="P220" s="1">
        <f>SUM(OSRRefP22_21x_0)</f>
        <v>1920.4199999999998</v>
      </c>
      <c r="Q220" s="1"/>
      <c r="R220" s="5">
        <f t="shared" ref="R220:R222" si="109">IF(P$12=0,0,P220/P$12)</f>
        <v>4.5039286846672207E-4</v>
      </c>
      <c r="S220" s="1"/>
      <c r="T220" s="1">
        <f>SUM(OSRRefT22_21x_0)</f>
        <v>7287</v>
      </c>
      <c r="U220" s="1"/>
      <c r="V220" s="5">
        <f t="shared" ref="V220:V222" si="110">IF(T$12=0,0,T220/T$12)</f>
        <v>1.0670953596947524E-3</v>
      </c>
      <c r="W220" s="1"/>
      <c r="X220" s="1">
        <f t="shared" ref="X220:X222" si="111">+P220-T220</f>
        <v>-5366.58</v>
      </c>
      <c r="Y220" s="1"/>
      <c r="Z220" s="5">
        <f t="shared" ref="Z220:Z222" si="112">IF(T220=0,0,X220/T220)</f>
        <v>-0.7364594483326472</v>
      </c>
    </row>
    <row r="221" spans="1:26" s="24" customFormat="1" hidden="1" outlineLevel="2" x14ac:dyDescent="0.25">
      <c r="A221" s="28"/>
      <c r="B221" s="11" t="str">
        <f>CONCATENATE("          ", "6258", " - ", "MEMBERSHIP DUES")</f>
        <v xml:space="preserve">          6258 - MEMBERSHIP DUES</v>
      </c>
      <c r="C221" s="11"/>
      <c r="D221" s="7">
        <v>790.32</v>
      </c>
      <c r="E221" s="2"/>
      <c r="F221" s="6">
        <f t="shared" si="105"/>
        <v>1.1619267854689459E-3</v>
      </c>
      <c r="G221" s="2"/>
      <c r="H221" s="7">
        <v>1100</v>
      </c>
      <c r="I221" s="2"/>
      <c r="J221" s="6">
        <f t="shared" si="106"/>
        <v>9.0255891863595455E-4</v>
      </c>
      <c r="K221" s="2"/>
      <c r="L221" s="7">
        <f t="shared" si="107"/>
        <v>-309.67999999999995</v>
      </c>
      <c r="M221" s="2"/>
      <c r="N221" s="6">
        <f t="shared" si="108"/>
        <v>-0.28152727272727268</v>
      </c>
      <c r="O221" s="11"/>
      <c r="P221" s="7">
        <v>1423.36</v>
      </c>
      <c r="Q221" s="2"/>
      <c r="R221" s="6">
        <f t="shared" si="109"/>
        <v>3.3381822375355057E-4</v>
      </c>
      <c r="S221" s="2"/>
      <c r="T221" s="7">
        <v>5795</v>
      </c>
      <c r="U221" s="2"/>
      <c r="V221" s="6">
        <f t="shared" si="110"/>
        <v>8.4860952510375882E-4</v>
      </c>
      <c r="W221" s="2"/>
      <c r="X221" s="7">
        <f t="shared" si="111"/>
        <v>-4371.6400000000003</v>
      </c>
      <c r="Y221" s="2"/>
      <c r="Z221" s="6">
        <f t="shared" si="112"/>
        <v>-0.75438136324417604</v>
      </c>
    </row>
    <row r="222" spans="1:26" s="24" customFormat="1" hidden="1" outlineLevel="2" x14ac:dyDescent="0.25">
      <c r="A222" s="28"/>
      <c r="B222" s="11" t="str">
        <f>CONCATENATE("          ", "6275", " - ", "SUBSCRIPTIONS")</f>
        <v xml:space="preserve">          6275 - SUBSCRIPTIONS</v>
      </c>
      <c r="C222" s="11"/>
      <c r="D222" s="7">
        <v>205.67</v>
      </c>
      <c r="E222" s="2"/>
      <c r="F222" s="6">
        <f t="shared" si="105"/>
        <v>3.0237559718518842E-4</v>
      </c>
      <c r="G222" s="2"/>
      <c r="H222" s="7">
        <v>373</v>
      </c>
      <c r="I222" s="2"/>
      <c r="J222" s="6">
        <f t="shared" si="106"/>
        <v>3.0604952422837368E-4</v>
      </c>
      <c r="K222" s="2"/>
      <c r="L222" s="7">
        <f t="shared" si="107"/>
        <v>-167.33</v>
      </c>
      <c r="M222" s="2"/>
      <c r="N222" s="6">
        <f t="shared" si="108"/>
        <v>-0.44860589812332441</v>
      </c>
      <c r="O222" s="11"/>
      <c r="P222" s="7">
        <v>497.06</v>
      </c>
      <c r="Q222" s="2"/>
      <c r="R222" s="6">
        <f t="shared" si="109"/>
        <v>1.1657464471317155E-4</v>
      </c>
      <c r="S222" s="2"/>
      <c r="T222" s="7">
        <v>1492</v>
      </c>
      <c r="U222" s="2"/>
      <c r="V222" s="6">
        <f t="shared" si="110"/>
        <v>2.1848583459099365E-4</v>
      </c>
      <c r="W222" s="2"/>
      <c r="X222" s="7">
        <f t="shared" si="111"/>
        <v>-994.94</v>
      </c>
      <c r="Y222" s="2"/>
      <c r="Z222" s="6">
        <f t="shared" si="112"/>
        <v>-0.66684986595174267</v>
      </c>
    </row>
    <row r="223" spans="1:26" s="27" customFormat="1" outlineLevel="1" collapsed="1" x14ac:dyDescent="0.25">
      <c r="A223" s="29"/>
      <c r="B223" s="14" t="str">
        <f>CONCATENATE("     ","Supplies                                          ")</f>
        <v xml:space="preserve">     Supplies                                          </v>
      </c>
      <c r="C223" s="14"/>
      <c r="D223" s="1">
        <f>SUM(OSRRefD22_22x_0)</f>
        <v>55339.390000000007</v>
      </c>
      <c r="E223" s="1"/>
      <c r="F223" s="5">
        <f t="shared" ref="F223:F234" si="113">IF(D$12=0,0,D223/D$12)</f>
        <v>8.1359853644741797E-2</v>
      </c>
      <c r="G223" s="1"/>
      <c r="H223" s="1">
        <f>SUM(OSRRefH22_22x_0)</f>
        <v>46609</v>
      </c>
      <c r="I223" s="1"/>
      <c r="J223" s="5">
        <f t="shared" ref="J223:J234" si="114">IF(H$12=0,0,H223/H$12)</f>
        <v>3.8243062398821095E-2</v>
      </c>
      <c r="K223" s="1"/>
      <c r="L223" s="1">
        <f t="shared" ref="L223:L234" si="115">+D223-H223</f>
        <v>8730.3900000000067</v>
      </c>
      <c r="M223" s="1"/>
      <c r="N223" s="5">
        <f t="shared" ref="N223:N234" si="116">IF(H223=0,0,L223/H223)</f>
        <v>0.18731124890042711</v>
      </c>
      <c r="O223" s="14"/>
      <c r="P223" s="1">
        <f>SUM(OSRRefP22_22x_0)</f>
        <v>133459.46</v>
      </c>
      <c r="Q223" s="1"/>
      <c r="R223" s="5">
        <f t="shared" ref="R223:R234" si="117">IF(P$12=0,0,P223/P$12)</f>
        <v>3.1300022397923247E-2</v>
      </c>
      <c r="S223" s="1"/>
      <c r="T223" s="1">
        <f>SUM(OSRRefT22_22x_0)</f>
        <v>238513</v>
      </c>
      <c r="U223" s="1"/>
      <c r="V223" s="5">
        <f t="shared" ref="V223:V234" si="118">IF(T$12=0,0,T223/T$12)</f>
        <v>3.4927420821582886E-2</v>
      </c>
      <c r="W223" s="1"/>
      <c r="X223" s="1">
        <f t="shared" ref="X223:X234" si="119">+P223-T223</f>
        <v>-105053.54000000001</v>
      </c>
      <c r="Y223" s="1"/>
      <c r="Z223" s="5">
        <f t="shared" ref="Z223:Z234" si="120">IF(T223=0,0,X223/T223)</f>
        <v>-0.44045205083161088</v>
      </c>
    </row>
    <row r="224" spans="1:26" s="24" customFormat="1" hidden="1" outlineLevel="2" x14ac:dyDescent="0.25">
      <c r="A224" s="28"/>
      <c r="B224" s="11" t="str">
        <f>CONCATENATE("          ", "6234", " - ", "EXPENDABLE SUPPLIES &amp; EQUIPMEN")</f>
        <v xml:space="preserve">          6234 - EXPENDABLE SUPPLIES &amp; EQUIPMEN</v>
      </c>
      <c r="C224" s="11"/>
      <c r="D224" s="7">
        <v>156.47</v>
      </c>
      <c r="E224" s="2"/>
      <c r="F224" s="6">
        <f t="shared" si="113"/>
        <v>2.300418616792261E-4</v>
      </c>
      <c r="G224" s="2"/>
      <c r="H224" s="7">
        <v>7250</v>
      </c>
      <c r="I224" s="2"/>
      <c r="J224" s="6">
        <f t="shared" si="114"/>
        <v>5.9486837819187907E-3</v>
      </c>
      <c r="K224" s="2"/>
      <c r="L224" s="7">
        <f t="shared" si="115"/>
        <v>-7093.53</v>
      </c>
      <c r="M224" s="2"/>
      <c r="N224" s="6">
        <f t="shared" si="116"/>
        <v>-0.97841793103448271</v>
      </c>
      <c r="O224" s="11"/>
      <c r="P224" s="7">
        <v>728.92</v>
      </c>
      <c r="Q224" s="2"/>
      <c r="R224" s="6">
        <f t="shared" si="117"/>
        <v>1.7095238004330462E-4</v>
      </c>
      <c r="S224" s="2"/>
      <c r="T224" s="7">
        <v>29000</v>
      </c>
      <c r="U224" s="2"/>
      <c r="V224" s="6">
        <f t="shared" si="118"/>
        <v>4.2467085811922359E-3</v>
      </c>
      <c r="W224" s="2"/>
      <c r="X224" s="7">
        <f t="shared" si="119"/>
        <v>-28271.08</v>
      </c>
      <c r="Y224" s="2"/>
      <c r="Z224" s="6">
        <f t="shared" si="120"/>
        <v>-0.97486482758620696</v>
      </c>
    </row>
    <row r="225" spans="1:26" s="24" customFormat="1" hidden="1" outlineLevel="2" x14ac:dyDescent="0.25">
      <c r="A225" s="28"/>
      <c r="B225" s="11" t="str">
        <f>CONCATENATE("          ", "6235", " - ", "COVID-19 EXPENSES")</f>
        <v xml:space="preserve">          6235 - COVID-19 EXPENSES</v>
      </c>
      <c r="C225" s="11"/>
      <c r="D225" s="7">
        <v>36232.67</v>
      </c>
      <c r="E225" s="2"/>
      <c r="F225" s="6">
        <f t="shared" si="113"/>
        <v>5.3269194480788935E-2</v>
      </c>
      <c r="G225" s="2"/>
      <c r="H225" s="7">
        <v>13100</v>
      </c>
      <c r="I225" s="2"/>
      <c r="J225" s="6">
        <f t="shared" si="114"/>
        <v>1.0748656212846368E-2</v>
      </c>
      <c r="K225" s="2"/>
      <c r="L225" s="7">
        <f t="shared" si="115"/>
        <v>23132.67</v>
      </c>
      <c r="M225" s="2"/>
      <c r="N225" s="6">
        <f t="shared" si="116"/>
        <v>1.765852671755725</v>
      </c>
      <c r="O225" s="11"/>
      <c r="P225" s="7">
        <v>64743.689999999995</v>
      </c>
      <c r="Q225" s="2"/>
      <c r="R225" s="6">
        <f t="shared" si="117"/>
        <v>1.518422858240397E-2</v>
      </c>
      <c r="S225" s="2"/>
      <c r="T225" s="7">
        <v>105500</v>
      </c>
      <c r="U225" s="2"/>
      <c r="V225" s="6">
        <f t="shared" si="118"/>
        <v>1.5449232941923479E-2</v>
      </c>
      <c r="W225" s="2"/>
      <c r="X225" s="7">
        <f t="shared" si="119"/>
        <v>-40756.310000000005</v>
      </c>
      <c r="Y225" s="2"/>
      <c r="Z225" s="6">
        <f t="shared" si="120"/>
        <v>-0.38631573459715646</v>
      </c>
    </row>
    <row r="226" spans="1:26" s="24" customFormat="1" hidden="1" outlineLevel="2" x14ac:dyDescent="0.25">
      <c r="A226" s="28"/>
      <c r="B226" s="11" t="str">
        <f>CONCATENATE("          ", "6237", " - ", "JANITORIAL SUPPLIES")</f>
        <v xml:space="preserve">          6237 - JANITORIAL SUPPLIES</v>
      </c>
      <c r="C226" s="11"/>
      <c r="D226" s="7">
        <v>3175.55</v>
      </c>
      <c r="E226" s="2"/>
      <c r="F226" s="6">
        <f t="shared" si="113"/>
        <v>4.6686868655682655E-3</v>
      </c>
      <c r="G226" s="2"/>
      <c r="H226" s="7">
        <v>10813</v>
      </c>
      <c r="I226" s="2"/>
      <c r="J226" s="6">
        <f t="shared" si="114"/>
        <v>8.8721541701914323E-3</v>
      </c>
      <c r="K226" s="2"/>
      <c r="L226" s="7">
        <f t="shared" si="115"/>
        <v>-7637.45</v>
      </c>
      <c r="M226" s="2"/>
      <c r="N226" s="6">
        <f t="shared" si="116"/>
        <v>-0.70632109497826689</v>
      </c>
      <c r="O226" s="11"/>
      <c r="P226" s="7">
        <v>9726.14</v>
      </c>
      <c r="Q226" s="2"/>
      <c r="R226" s="6">
        <f t="shared" si="117"/>
        <v>2.2810552346408204E-3</v>
      </c>
      <c r="S226" s="2"/>
      <c r="T226" s="7">
        <v>36136</v>
      </c>
      <c r="U226" s="2"/>
      <c r="V226" s="6">
        <f t="shared" si="118"/>
        <v>5.291691768619401E-3</v>
      </c>
      <c r="W226" s="2"/>
      <c r="X226" s="7">
        <f t="shared" si="119"/>
        <v>-26409.86</v>
      </c>
      <c r="Y226" s="2"/>
      <c r="Z226" s="6">
        <f t="shared" si="120"/>
        <v>-0.73084624750940896</v>
      </c>
    </row>
    <row r="227" spans="1:26" s="24" customFormat="1" hidden="1" outlineLevel="2" x14ac:dyDescent="0.25">
      <c r="A227" s="28"/>
      <c r="B227" s="11" t="str">
        <f>CONCATENATE("          ", "6239", " - ", "KITCHEN SUPPLIES")</f>
        <v xml:space="preserve">          6239 - KITCHEN SUPPLIES</v>
      </c>
      <c r="C227" s="11"/>
      <c r="D227" s="7">
        <v>1264.19</v>
      </c>
      <c r="E227" s="2"/>
      <c r="F227" s="6">
        <f t="shared" si="113"/>
        <v>1.8586094530341974E-3</v>
      </c>
      <c r="G227" s="2"/>
      <c r="H227" s="7">
        <v>2343</v>
      </c>
      <c r="I227" s="2"/>
      <c r="J227" s="6">
        <f t="shared" si="114"/>
        <v>1.9224504966945831E-3</v>
      </c>
      <c r="K227" s="2"/>
      <c r="L227" s="7">
        <f t="shared" si="115"/>
        <v>-1078.81</v>
      </c>
      <c r="M227" s="2"/>
      <c r="N227" s="6">
        <f t="shared" si="116"/>
        <v>-0.46043960734101574</v>
      </c>
      <c r="O227" s="11"/>
      <c r="P227" s="7">
        <v>4191.51</v>
      </c>
      <c r="Q227" s="2"/>
      <c r="R227" s="6">
        <f t="shared" si="117"/>
        <v>9.8302778147850499E-4</v>
      </c>
      <c r="S227" s="2"/>
      <c r="T227" s="7">
        <v>8592</v>
      </c>
      <c r="U227" s="2"/>
      <c r="V227" s="6">
        <f t="shared" si="118"/>
        <v>1.258197245848403E-3</v>
      </c>
      <c r="W227" s="2"/>
      <c r="X227" s="7">
        <f t="shared" si="119"/>
        <v>-4400.49</v>
      </c>
      <c r="Y227" s="2"/>
      <c r="Z227" s="6">
        <f t="shared" si="120"/>
        <v>-0.512161312849162</v>
      </c>
    </row>
    <row r="228" spans="1:26" s="24" customFormat="1" hidden="1" outlineLevel="2" x14ac:dyDescent="0.25">
      <c r="A228" s="28"/>
      <c r="B228" s="11" t="str">
        <f>CONCATENATE("          ", "6241", " - ", "OFFICE EXPENSE")</f>
        <v xml:space="preserve">          6241 - OFFICE EXPENSE</v>
      </c>
      <c r="C228" s="11"/>
      <c r="D228" s="7">
        <v>6973.77</v>
      </c>
      <c r="E228" s="2"/>
      <c r="F228" s="6">
        <f t="shared" si="113"/>
        <v>1.0252821842671034E-2</v>
      </c>
      <c r="G228" s="2"/>
      <c r="H228" s="7">
        <v>1755</v>
      </c>
      <c r="I228" s="2"/>
      <c r="J228" s="6">
        <f t="shared" si="114"/>
        <v>1.4399917292782728E-3</v>
      </c>
      <c r="K228" s="2"/>
      <c r="L228" s="7">
        <f t="shared" si="115"/>
        <v>5218.7700000000004</v>
      </c>
      <c r="M228" s="2"/>
      <c r="N228" s="6">
        <f t="shared" si="116"/>
        <v>2.9736581196581198</v>
      </c>
      <c r="O228" s="11"/>
      <c r="P228" s="7">
        <v>22300.66</v>
      </c>
      <c r="Q228" s="2"/>
      <c r="R228" s="6">
        <f t="shared" si="117"/>
        <v>5.2301362337931765E-3</v>
      </c>
      <c r="S228" s="2"/>
      <c r="T228" s="7">
        <v>11552</v>
      </c>
      <c r="U228" s="2"/>
      <c r="V228" s="6">
        <f t="shared" si="118"/>
        <v>1.6916543975838865E-3</v>
      </c>
      <c r="W228" s="2"/>
      <c r="X228" s="7">
        <f t="shared" si="119"/>
        <v>10748.66</v>
      </c>
      <c r="Y228" s="2"/>
      <c r="Z228" s="6">
        <f t="shared" si="120"/>
        <v>0.93045879501385043</v>
      </c>
    </row>
    <row r="229" spans="1:26" s="24" customFormat="1" hidden="1" outlineLevel="2" x14ac:dyDescent="0.25">
      <c r="A229" s="28"/>
      <c r="B229" s="11" t="str">
        <f>CONCATENATE("          ", "6243", " - ", "PAPER SUPPLIES")</f>
        <v xml:space="preserve">          6243 - PAPER SUPPLIES</v>
      </c>
      <c r="C229" s="11"/>
      <c r="D229" s="7">
        <v>3081.65</v>
      </c>
      <c r="E229" s="2"/>
      <c r="F229" s="6">
        <f t="shared" si="113"/>
        <v>4.5306352849989592E-3</v>
      </c>
      <c r="G229" s="2"/>
      <c r="H229" s="7">
        <v>3210</v>
      </c>
      <c r="I229" s="2"/>
      <c r="J229" s="6">
        <f t="shared" si="114"/>
        <v>2.6338310262012856E-3</v>
      </c>
      <c r="K229" s="2"/>
      <c r="L229" s="7">
        <f t="shared" si="115"/>
        <v>-128.34999999999991</v>
      </c>
      <c r="M229" s="2"/>
      <c r="N229" s="6">
        <f t="shared" si="116"/>
        <v>-3.9984423676012432E-2</v>
      </c>
      <c r="O229" s="11"/>
      <c r="P229" s="7">
        <v>9866.51</v>
      </c>
      <c r="Q229" s="2"/>
      <c r="R229" s="6">
        <f t="shared" si="117"/>
        <v>2.3139759743470694E-3</v>
      </c>
      <c r="S229" s="2"/>
      <c r="T229" s="7">
        <v>9388</v>
      </c>
      <c r="U229" s="2"/>
      <c r="V229" s="6">
        <f t="shared" si="118"/>
        <v>1.374762074490783E-3</v>
      </c>
      <c r="W229" s="2"/>
      <c r="X229" s="7">
        <f t="shared" si="119"/>
        <v>478.51000000000022</v>
      </c>
      <c r="Y229" s="2"/>
      <c r="Z229" s="6">
        <f t="shared" si="120"/>
        <v>5.0970387729015791E-2</v>
      </c>
    </row>
    <row r="230" spans="1:26" s="24" customFormat="1" hidden="1" outlineLevel="2" x14ac:dyDescent="0.25">
      <c r="A230" s="28"/>
      <c r="B230" s="11" t="str">
        <f>CONCATENATE("          ", "6244", " - ", "SAFETY SUPPLY EXPENSE")</f>
        <v xml:space="preserve">          6244 - SAFETY SUPPLY EXPENSE</v>
      </c>
      <c r="C230" s="11"/>
      <c r="D230" s="7"/>
      <c r="E230" s="2"/>
      <c r="F230" s="6">
        <f t="shared" si="113"/>
        <v>0</v>
      </c>
      <c r="G230" s="2"/>
      <c r="H230" s="7">
        <v>205</v>
      </c>
      <c r="I230" s="2"/>
      <c r="J230" s="6">
        <f t="shared" si="114"/>
        <v>1.6820416210942788E-4</v>
      </c>
      <c r="K230" s="2"/>
      <c r="L230" s="7">
        <f t="shared" si="115"/>
        <v>-205</v>
      </c>
      <c r="M230" s="2"/>
      <c r="N230" s="6">
        <f t="shared" si="116"/>
        <v>-1</v>
      </c>
      <c r="O230" s="11"/>
      <c r="P230" s="7"/>
      <c r="Q230" s="2"/>
      <c r="R230" s="6">
        <f t="shared" si="117"/>
        <v>0</v>
      </c>
      <c r="S230" s="2"/>
      <c r="T230" s="7">
        <v>630</v>
      </c>
      <c r="U230" s="2"/>
      <c r="V230" s="6">
        <f t="shared" si="118"/>
        <v>9.2256082970727882E-5</v>
      </c>
      <c r="W230" s="2"/>
      <c r="X230" s="7">
        <f t="shared" si="119"/>
        <v>-630</v>
      </c>
      <c r="Y230" s="2"/>
      <c r="Z230" s="6">
        <f t="shared" si="120"/>
        <v>-1</v>
      </c>
    </row>
    <row r="231" spans="1:26" s="24" customFormat="1" hidden="1" outlineLevel="2" x14ac:dyDescent="0.25">
      <c r="A231" s="28"/>
      <c r="B231" s="11" t="str">
        <f>CONCATENATE("          ", "6245", " - ", "PRINTING")</f>
        <v xml:space="preserve">          6245 - PRINTING</v>
      </c>
      <c r="C231" s="11"/>
      <c r="D231" s="7">
        <v>353.09</v>
      </c>
      <c r="E231" s="2"/>
      <c r="F231" s="6">
        <f t="shared" si="113"/>
        <v>5.1911216808537056E-4</v>
      </c>
      <c r="G231" s="2"/>
      <c r="H231" s="7">
        <v>500</v>
      </c>
      <c r="I231" s="2"/>
      <c r="J231" s="6">
        <f t="shared" si="114"/>
        <v>4.1025405392543387E-4</v>
      </c>
      <c r="K231" s="2"/>
      <c r="L231" s="7">
        <f t="shared" si="115"/>
        <v>-146.91000000000003</v>
      </c>
      <c r="M231" s="2"/>
      <c r="N231" s="6">
        <f t="shared" si="116"/>
        <v>-0.29382000000000003</v>
      </c>
      <c r="O231" s="11"/>
      <c r="P231" s="7">
        <v>414.55</v>
      </c>
      <c r="Q231" s="2"/>
      <c r="R231" s="6">
        <f t="shared" si="117"/>
        <v>9.7223713366284285E-5</v>
      </c>
      <c r="S231" s="2"/>
      <c r="T231" s="7">
        <v>3400</v>
      </c>
      <c r="U231" s="2"/>
      <c r="V231" s="6">
        <f t="shared" si="118"/>
        <v>4.9788997158805518E-4</v>
      </c>
      <c r="W231" s="2"/>
      <c r="X231" s="7">
        <f t="shared" si="119"/>
        <v>-2985.45</v>
      </c>
      <c r="Y231" s="2"/>
      <c r="Z231" s="6">
        <f t="shared" si="120"/>
        <v>-0.87807352941176464</v>
      </c>
    </row>
    <row r="232" spans="1:26" s="24" customFormat="1" hidden="1" outlineLevel="2" x14ac:dyDescent="0.25">
      <c r="A232" s="28"/>
      <c r="B232" s="11" t="str">
        <f>CONCATENATE("          ", "6246", " - ", "REPLACEMENTS")</f>
        <v xml:space="preserve">          6246 - REPLACEMENTS</v>
      </c>
      <c r="C232" s="11"/>
      <c r="D232" s="7"/>
      <c r="E232" s="2"/>
      <c r="F232" s="6">
        <f t="shared" si="113"/>
        <v>0</v>
      </c>
      <c r="G232" s="2"/>
      <c r="H232" s="7">
        <v>0</v>
      </c>
      <c r="I232" s="2"/>
      <c r="J232" s="6">
        <f t="shared" si="114"/>
        <v>0</v>
      </c>
      <c r="K232" s="2"/>
      <c r="L232" s="7">
        <f t="shared" si="115"/>
        <v>0</v>
      </c>
      <c r="M232" s="2"/>
      <c r="N232" s="6">
        <f t="shared" si="116"/>
        <v>0</v>
      </c>
      <c r="O232" s="11"/>
      <c r="P232" s="7"/>
      <c r="Q232" s="2"/>
      <c r="R232" s="6">
        <f t="shared" si="117"/>
        <v>0</v>
      </c>
      <c r="S232" s="2"/>
      <c r="T232" s="7">
        <v>0</v>
      </c>
      <c r="U232" s="2"/>
      <c r="V232" s="6">
        <f t="shared" si="118"/>
        <v>0</v>
      </c>
      <c r="W232" s="2"/>
      <c r="X232" s="7">
        <f t="shared" si="119"/>
        <v>0</v>
      </c>
      <c r="Y232" s="2"/>
      <c r="Z232" s="6">
        <f t="shared" si="120"/>
        <v>0</v>
      </c>
    </row>
    <row r="233" spans="1:26" s="24" customFormat="1" hidden="1" outlineLevel="2" x14ac:dyDescent="0.25">
      <c r="A233" s="28"/>
      <c r="B233" s="11" t="str">
        <f>CONCATENATE("          ", "6247", " - ", "STORE SUPPLIES")</f>
        <v xml:space="preserve">          6247 - STORE SUPPLIES</v>
      </c>
      <c r="C233" s="11"/>
      <c r="D233" s="7">
        <v>4102</v>
      </c>
      <c r="E233" s="2"/>
      <c r="F233" s="6">
        <f t="shared" si="113"/>
        <v>6.0307516879158016E-3</v>
      </c>
      <c r="G233" s="2"/>
      <c r="H233" s="7">
        <v>3933</v>
      </c>
      <c r="I233" s="2"/>
      <c r="J233" s="6">
        <f t="shared" si="114"/>
        <v>3.2270583881774629E-3</v>
      </c>
      <c r="K233" s="2"/>
      <c r="L233" s="7">
        <f t="shared" si="115"/>
        <v>169</v>
      </c>
      <c r="M233" s="2"/>
      <c r="N233" s="6">
        <f t="shared" si="116"/>
        <v>4.2969743198576153E-2</v>
      </c>
      <c r="O233" s="11"/>
      <c r="P233" s="7">
        <v>17672.8</v>
      </c>
      <c r="Q233" s="2"/>
      <c r="R233" s="6">
        <f t="shared" si="117"/>
        <v>4.1447720216612445E-3</v>
      </c>
      <c r="S233" s="2"/>
      <c r="T233" s="7">
        <v>21765</v>
      </c>
      <c r="U233" s="2"/>
      <c r="V233" s="6">
        <f t="shared" si="118"/>
        <v>3.1872280092982417E-3</v>
      </c>
      <c r="W233" s="2"/>
      <c r="X233" s="7">
        <f t="shared" si="119"/>
        <v>-4092.2000000000007</v>
      </c>
      <c r="Y233" s="2"/>
      <c r="Z233" s="6">
        <f t="shared" si="120"/>
        <v>-0.18801745922352403</v>
      </c>
    </row>
    <row r="234" spans="1:26" s="24" customFormat="1" hidden="1" outlineLevel="2" x14ac:dyDescent="0.25">
      <c r="A234" s="28"/>
      <c r="B234" s="11" t="str">
        <f>CONCATENATE("          ", "6248", " - ", "UNIFORMS")</f>
        <v xml:space="preserve">          6248 - UNIFORMS</v>
      </c>
      <c r="C234" s="11"/>
      <c r="D234" s="7"/>
      <c r="E234" s="2"/>
      <c r="F234" s="6">
        <f t="shared" si="113"/>
        <v>0</v>
      </c>
      <c r="G234" s="2"/>
      <c r="H234" s="7">
        <v>3500</v>
      </c>
      <c r="I234" s="2"/>
      <c r="J234" s="6">
        <f t="shared" si="114"/>
        <v>2.8717783774780369E-3</v>
      </c>
      <c r="K234" s="2"/>
      <c r="L234" s="7">
        <f t="shared" si="115"/>
        <v>-3500</v>
      </c>
      <c r="M234" s="2"/>
      <c r="N234" s="6">
        <f t="shared" si="116"/>
        <v>-1</v>
      </c>
      <c r="O234" s="11"/>
      <c r="P234" s="7">
        <v>3814.68</v>
      </c>
      <c r="Q234" s="2"/>
      <c r="R234" s="6">
        <f t="shared" si="117"/>
        <v>8.9465047618887304E-4</v>
      </c>
      <c r="S234" s="2"/>
      <c r="T234" s="7">
        <v>12550</v>
      </c>
      <c r="U234" s="2"/>
      <c r="V234" s="6">
        <f t="shared" si="118"/>
        <v>1.8377997480676744E-3</v>
      </c>
      <c r="W234" s="2"/>
      <c r="X234" s="7">
        <f t="shared" si="119"/>
        <v>-8735.32</v>
      </c>
      <c r="Y234" s="2"/>
      <c r="Z234" s="6">
        <f t="shared" si="120"/>
        <v>-0.69604143426294818</v>
      </c>
    </row>
    <row r="235" spans="1:26" s="27" customFormat="1" outlineLevel="1" collapsed="1" x14ac:dyDescent="0.25">
      <c r="A235" s="29"/>
      <c r="B235" s="14" t="str">
        <f>CONCATENATE("     ","Telephone/Data Lines                              ")</f>
        <v xml:space="preserve">     Telephone/Data Lines                              </v>
      </c>
      <c r="C235" s="14"/>
      <c r="D235" s="1">
        <f>SUM(OSRRefD22_23x_0)</f>
        <v>3403.26</v>
      </c>
      <c r="E235" s="1"/>
      <c r="F235" s="5">
        <f t="shared" ref="F235:F237" si="121">IF(D$12=0,0,D235/D$12)</f>
        <v>5.0034656239435231E-3</v>
      </c>
      <c r="G235" s="1"/>
      <c r="H235" s="1">
        <f>SUM(OSRRefH22_23x_0)</f>
        <v>4741</v>
      </c>
      <c r="I235" s="1"/>
      <c r="J235" s="5">
        <f t="shared" ref="J235:J237" si="122">IF(H$12=0,0,H235/H$12)</f>
        <v>3.8900289393209637E-3</v>
      </c>
      <c r="K235" s="1"/>
      <c r="L235" s="1">
        <f t="shared" ref="L235:L237" si="123">+D235-H235</f>
        <v>-1337.7399999999998</v>
      </c>
      <c r="M235" s="1"/>
      <c r="N235" s="5">
        <f t="shared" ref="N235:N237" si="124">IF(H235=0,0,L235/H235)</f>
        <v>-0.28216410040075929</v>
      </c>
      <c r="O235" s="14"/>
      <c r="P235" s="1">
        <f>SUM(OSRRefP22_23x_0)</f>
        <v>21305.329999999998</v>
      </c>
      <c r="Q235" s="1"/>
      <c r="R235" s="5">
        <f t="shared" ref="R235:R237" si="125">IF(P$12=0,0,P235/P$12)</f>
        <v>4.9967031651045645E-3</v>
      </c>
      <c r="S235" s="1"/>
      <c r="T235" s="1">
        <f>SUM(OSRRefT22_23x_0)</f>
        <v>20055</v>
      </c>
      <c r="U235" s="1"/>
      <c r="V235" s="5">
        <f t="shared" ref="V235:V237" si="126">IF(T$12=0,0,T235/T$12)</f>
        <v>2.9368186412348373E-3</v>
      </c>
      <c r="W235" s="1"/>
      <c r="X235" s="1">
        <f t="shared" ref="X235:X237" si="127">+P235-T235</f>
        <v>1250.3299999999981</v>
      </c>
      <c r="Y235" s="1"/>
      <c r="Z235" s="5">
        <f t="shared" ref="Z235:Z237" si="128">IF(T235=0,0,X235/T235)</f>
        <v>6.2345051109448921E-2</v>
      </c>
    </row>
    <row r="236" spans="1:26" s="24" customFormat="1" hidden="1" outlineLevel="2" x14ac:dyDescent="0.25">
      <c r="A236" s="28"/>
      <c r="B236" s="11" t="str">
        <f>CONCATENATE("          ", "6303", " - ", "DATA PHONE LINES")</f>
        <v xml:space="preserve">          6303 - DATA PHONE LINES</v>
      </c>
      <c r="C236" s="11"/>
      <c r="D236" s="7"/>
      <c r="E236" s="2"/>
      <c r="F236" s="6">
        <f t="shared" si="121"/>
        <v>0</v>
      </c>
      <c r="G236" s="2"/>
      <c r="H236" s="7">
        <v>1501</v>
      </c>
      <c r="I236" s="2"/>
      <c r="J236" s="6">
        <f t="shared" si="122"/>
        <v>1.2315826698841524E-3</v>
      </c>
      <c r="K236" s="2"/>
      <c r="L236" s="7">
        <f t="shared" si="123"/>
        <v>-1501</v>
      </c>
      <c r="M236" s="2"/>
      <c r="N236" s="6">
        <f t="shared" si="124"/>
        <v>-1</v>
      </c>
      <c r="O236" s="11"/>
      <c r="P236" s="7">
        <v>1180</v>
      </c>
      <c r="Q236" s="2"/>
      <c r="R236" s="6">
        <f t="shared" si="125"/>
        <v>2.7674341279029178E-4</v>
      </c>
      <c r="S236" s="2"/>
      <c r="T236" s="7">
        <v>6035</v>
      </c>
      <c r="U236" s="2"/>
      <c r="V236" s="6">
        <f t="shared" si="126"/>
        <v>8.8375469956879801E-4</v>
      </c>
      <c r="W236" s="2"/>
      <c r="X236" s="7">
        <f t="shared" si="127"/>
        <v>-4855</v>
      </c>
      <c r="Y236" s="2"/>
      <c r="Z236" s="6">
        <f t="shared" si="128"/>
        <v>-0.80447390223695114</v>
      </c>
    </row>
    <row r="237" spans="1:26" s="24" customFormat="1" hidden="1" outlineLevel="2" x14ac:dyDescent="0.25">
      <c r="A237" s="28"/>
      <c r="B237" s="11" t="str">
        <f>CONCATENATE("          ", "6309", " - ", "TELEPHONE")</f>
        <v xml:space="preserve">          6309 - TELEPHONE</v>
      </c>
      <c r="C237" s="11"/>
      <c r="D237" s="7">
        <v>3403.26</v>
      </c>
      <c r="E237" s="2"/>
      <c r="F237" s="6">
        <f t="shared" si="121"/>
        <v>5.0034656239435231E-3</v>
      </c>
      <c r="G237" s="2"/>
      <c r="H237" s="7">
        <v>3240</v>
      </c>
      <c r="I237" s="2"/>
      <c r="J237" s="6">
        <f t="shared" si="122"/>
        <v>2.6584462694368115E-3</v>
      </c>
      <c r="K237" s="2"/>
      <c r="L237" s="7">
        <f t="shared" si="123"/>
        <v>163.26000000000022</v>
      </c>
      <c r="M237" s="2"/>
      <c r="N237" s="6">
        <f t="shared" si="124"/>
        <v>5.0388888888888955E-2</v>
      </c>
      <c r="O237" s="11"/>
      <c r="P237" s="7">
        <v>20125.329999999998</v>
      </c>
      <c r="Q237" s="2"/>
      <c r="R237" s="6">
        <f t="shared" si="125"/>
        <v>4.7199597523142726E-3</v>
      </c>
      <c r="S237" s="2"/>
      <c r="T237" s="7">
        <v>14020</v>
      </c>
      <c r="U237" s="2"/>
      <c r="V237" s="6">
        <f t="shared" si="126"/>
        <v>2.0530639416660394E-3</v>
      </c>
      <c r="W237" s="2"/>
      <c r="X237" s="7">
        <f t="shared" si="127"/>
        <v>6105.3299999999981</v>
      </c>
      <c r="Y237" s="2"/>
      <c r="Z237" s="6">
        <f t="shared" si="128"/>
        <v>0.43547289586305266</v>
      </c>
    </row>
    <row r="238" spans="1:26" s="27" customFormat="1" outlineLevel="1" collapsed="1" x14ac:dyDescent="0.25">
      <c r="A238" s="29"/>
      <c r="B238" s="14" t="str">
        <f>CONCATENATE("     ","Training                                          ")</f>
        <v xml:space="preserve">     Training                                          </v>
      </c>
      <c r="C238" s="14"/>
      <c r="D238" s="1">
        <f>SUM(OSRRefD22_24x_0)</f>
        <v>499</v>
      </c>
      <c r="E238" s="1"/>
      <c r="F238" s="5">
        <f t="shared" ref="F238:F243" si="129">IF(D$12=0,0,D238/D$12)</f>
        <v>7.3362874019258534E-4</v>
      </c>
      <c r="G238" s="1"/>
      <c r="H238" s="1">
        <f>SUM(OSRRefH22_24x_0)</f>
        <v>3250</v>
      </c>
      <c r="I238" s="1"/>
      <c r="J238" s="5">
        <f t="shared" ref="J238:J243" si="130">IF(H$12=0,0,H238/H$12)</f>
        <v>2.6666513505153202E-3</v>
      </c>
      <c r="K238" s="1"/>
      <c r="L238" s="1">
        <f t="shared" ref="L238:L243" si="131">+D238-H238</f>
        <v>-2751</v>
      </c>
      <c r="M238" s="1"/>
      <c r="N238" s="5">
        <f t="shared" ref="N238:N243" si="132">IF(H238=0,0,L238/H238)</f>
        <v>-0.84646153846153849</v>
      </c>
      <c r="O238" s="14"/>
      <c r="P238" s="1">
        <f>SUM(OSRRefP22_24x_0)</f>
        <v>980.63</v>
      </c>
      <c r="Q238" s="1"/>
      <c r="R238" s="5">
        <f t="shared" ref="R238:R243" si="133">IF(P$12=0,0,P238/P$12)</f>
        <v>2.2998550244452865E-4</v>
      </c>
      <c r="S238" s="1"/>
      <c r="T238" s="1">
        <f>SUM(OSRRefT22_24x_0)</f>
        <v>5330</v>
      </c>
      <c r="U238" s="1"/>
      <c r="V238" s="5">
        <f t="shared" ref="V238:V243" si="134">IF(T$12=0,0,T238/T$12)</f>
        <v>7.8051574957774532E-4</v>
      </c>
      <c r="W238" s="1"/>
      <c r="X238" s="1">
        <f t="shared" ref="X238:X243" si="135">+P238-T238</f>
        <v>-4349.37</v>
      </c>
      <c r="Y238" s="1"/>
      <c r="Z238" s="5">
        <f t="shared" ref="Z238:Z243" si="136">IF(T238=0,0,X238/T238)</f>
        <v>-0.81601688555347085</v>
      </c>
    </row>
    <row r="239" spans="1:26" s="24" customFormat="1" hidden="1" outlineLevel="2" x14ac:dyDescent="0.25">
      <c r="A239" s="28"/>
      <c r="B239" s="11" t="str">
        <f>CONCATENATE("          ", "6376", " - ", "TRAINING")</f>
        <v xml:space="preserve">          6376 - TRAINING</v>
      </c>
      <c r="C239" s="11"/>
      <c r="D239" s="7">
        <v>499</v>
      </c>
      <c r="E239" s="2"/>
      <c r="F239" s="6">
        <f t="shared" si="129"/>
        <v>7.3362874019258534E-4</v>
      </c>
      <c r="G239" s="2"/>
      <c r="H239" s="7">
        <v>3250</v>
      </c>
      <c r="I239" s="2"/>
      <c r="J239" s="6">
        <f t="shared" si="130"/>
        <v>2.6666513505153202E-3</v>
      </c>
      <c r="K239" s="2"/>
      <c r="L239" s="7">
        <f t="shared" si="131"/>
        <v>-2751</v>
      </c>
      <c r="M239" s="2"/>
      <c r="N239" s="6">
        <f t="shared" si="132"/>
        <v>-0.84646153846153849</v>
      </c>
      <c r="O239" s="11"/>
      <c r="P239" s="7">
        <v>980.63</v>
      </c>
      <c r="Q239" s="2"/>
      <c r="R239" s="6">
        <f t="shared" si="133"/>
        <v>2.2998550244452865E-4</v>
      </c>
      <c r="S239" s="2"/>
      <c r="T239" s="7">
        <v>5330</v>
      </c>
      <c r="U239" s="2"/>
      <c r="V239" s="6">
        <f t="shared" si="134"/>
        <v>7.8051574957774532E-4</v>
      </c>
      <c r="W239" s="2"/>
      <c r="X239" s="7">
        <f t="shared" si="135"/>
        <v>-4349.37</v>
      </c>
      <c r="Y239" s="2"/>
      <c r="Z239" s="6">
        <f t="shared" si="136"/>
        <v>-0.81601688555347085</v>
      </c>
    </row>
    <row r="240" spans="1:26" s="27" customFormat="1" outlineLevel="1" collapsed="1" x14ac:dyDescent="0.25">
      <c r="A240" s="29"/>
      <c r="B240" s="14" t="str">
        <f>CONCATENATE("     ","Travel                                            ")</f>
        <v xml:space="preserve">     Travel                                            </v>
      </c>
      <c r="C240" s="14"/>
      <c r="D240" s="1">
        <f>SUM(OSRRefD22_25x_0)</f>
        <v>80.959999999999994</v>
      </c>
      <c r="E240" s="1"/>
      <c r="F240" s="5">
        <f t="shared" si="129"/>
        <v>1.1902722005208758E-4</v>
      </c>
      <c r="G240" s="1"/>
      <c r="H240" s="1">
        <f>SUM(OSRRefH22_25x_0)</f>
        <v>1850</v>
      </c>
      <c r="I240" s="1"/>
      <c r="J240" s="5">
        <f t="shared" si="130"/>
        <v>1.5179399995241052E-3</v>
      </c>
      <c r="K240" s="1"/>
      <c r="L240" s="1">
        <f t="shared" si="131"/>
        <v>-1769.04</v>
      </c>
      <c r="M240" s="1"/>
      <c r="N240" s="5">
        <f t="shared" si="132"/>
        <v>-0.95623783783783778</v>
      </c>
      <c r="O240" s="14"/>
      <c r="P240" s="1">
        <f>SUM(OSRRefP22_25x_0)</f>
        <v>714.1400000000001</v>
      </c>
      <c r="Q240" s="1"/>
      <c r="R240" s="5">
        <f t="shared" si="133"/>
        <v>1.6748605153394831E-4</v>
      </c>
      <c r="S240" s="1"/>
      <c r="T240" s="1">
        <f>SUM(OSRRefT22_25x_0)</f>
        <v>2900</v>
      </c>
      <c r="U240" s="1"/>
      <c r="V240" s="5">
        <f t="shared" si="134"/>
        <v>4.2467085811922356E-4</v>
      </c>
      <c r="W240" s="1"/>
      <c r="X240" s="1">
        <f t="shared" si="135"/>
        <v>-2185.8599999999997</v>
      </c>
      <c r="Y240" s="1"/>
      <c r="Z240" s="5">
        <f t="shared" si="136"/>
        <v>-0.75374482758620676</v>
      </c>
    </row>
    <row r="241" spans="1:26" s="24" customFormat="1" hidden="1" outlineLevel="2" x14ac:dyDescent="0.25">
      <c r="A241" s="28"/>
      <c r="B241" s="11" t="str">
        <f>CONCATENATE("          ", "6292", " - ", "TRAVEL/CONFERENCE")</f>
        <v xml:space="preserve">          6292 - TRAVEL/CONFERENCE</v>
      </c>
      <c r="C241" s="11"/>
      <c r="D241" s="7"/>
      <c r="E241" s="2"/>
      <c r="F241" s="6">
        <f t="shared" si="129"/>
        <v>0</v>
      </c>
      <c r="G241" s="2"/>
      <c r="H241" s="7">
        <v>1800</v>
      </c>
      <c r="I241" s="2"/>
      <c r="J241" s="6">
        <f t="shared" si="130"/>
        <v>1.4769145941315618E-3</v>
      </c>
      <c r="K241" s="2"/>
      <c r="L241" s="7">
        <f t="shared" si="131"/>
        <v>-1800</v>
      </c>
      <c r="M241" s="2"/>
      <c r="N241" s="6">
        <f t="shared" si="132"/>
        <v>-1</v>
      </c>
      <c r="O241" s="11"/>
      <c r="P241" s="7">
        <v>0.16</v>
      </c>
      <c r="Q241" s="2"/>
      <c r="R241" s="6">
        <f t="shared" si="133"/>
        <v>3.752453054783617E-8</v>
      </c>
      <c r="S241" s="2"/>
      <c r="T241" s="7">
        <v>2700</v>
      </c>
      <c r="U241" s="2"/>
      <c r="V241" s="6">
        <f t="shared" si="134"/>
        <v>3.953832127316909E-4</v>
      </c>
      <c r="W241" s="2"/>
      <c r="X241" s="7">
        <f t="shared" si="135"/>
        <v>-2699.84</v>
      </c>
      <c r="Y241" s="2"/>
      <c r="Z241" s="6">
        <f t="shared" si="136"/>
        <v>-0.9999407407407408</v>
      </c>
    </row>
    <row r="242" spans="1:26" s="24" customFormat="1" hidden="1" outlineLevel="2" x14ac:dyDescent="0.25">
      <c r="A242" s="28"/>
      <c r="B242" s="11" t="str">
        <f>CONCATENATE("          ", "6294", " - ", "TRAVEL OPERATIONAL")</f>
        <v xml:space="preserve">          6294 - TRAVEL OPERATIONAL</v>
      </c>
      <c r="C242" s="11"/>
      <c r="D242" s="7">
        <v>80.959999999999994</v>
      </c>
      <c r="E242" s="2"/>
      <c r="F242" s="6">
        <f t="shared" si="129"/>
        <v>1.1902722005208758E-4</v>
      </c>
      <c r="G242" s="2"/>
      <c r="H242" s="7">
        <v>25</v>
      </c>
      <c r="I242" s="2"/>
      <c r="J242" s="6">
        <f t="shared" si="130"/>
        <v>2.0512702696271694E-5</v>
      </c>
      <c r="K242" s="2"/>
      <c r="L242" s="7">
        <f t="shared" si="131"/>
        <v>55.959999999999994</v>
      </c>
      <c r="M242" s="2"/>
      <c r="N242" s="6">
        <f t="shared" si="132"/>
        <v>2.2383999999999999</v>
      </c>
      <c r="O242" s="11"/>
      <c r="P242" s="7">
        <v>321.88</v>
      </c>
      <c r="Q242" s="2"/>
      <c r="R242" s="6">
        <f t="shared" si="133"/>
        <v>7.548997432960942E-5</v>
      </c>
      <c r="S242" s="2"/>
      <c r="T242" s="7">
        <v>100</v>
      </c>
      <c r="U242" s="2"/>
      <c r="V242" s="6">
        <f t="shared" si="134"/>
        <v>1.4643822693766329E-5</v>
      </c>
      <c r="W242" s="2"/>
      <c r="X242" s="7">
        <f t="shared" si="135"/>
        <v>221.88</v>
      </c>
      <c r="Y242" s="2"/>
      <c r="Z242" s="6">
        <f t="shared" si="136"/>
        <v>2.2187999999999999</v>
      </c>
    </row>
    <row r="243" spans="1:26" s="24" customFormat="1" hidden="1" outlineLevel="2" x14ac:dyDescent="0.25">
      <c r="A243" s="28"/>
      <c r="B243" s="11" t="str">
        <f>CONCATENATE("          ", "6298", " - ", "VEHICLE MILEAGE")</f>
        <v xml:space="preserve">          6298 - VEHICLE MILEAGE</v>
      </c>
      <c r="C243" s="11"/>
      <c r="D243" s="7"/>
      <c r="E243" s="2"/>
      <c r="F243" s="6">
        <f t="shared" si="129"/>
        <v>0</v>
      </c>
      <c r="G243" s="2"/>
      <c r="H243" s="7">
        <v>25</v>
      </c>
      <c r="I243" s="2"/>
      <c r="J243" s="6">
        <f t="shared" si="130"/>
        <v>2.0512702696271694E-5</v>
      </c>
      <c r="K243" s="2"/>
      <c r="L243" s="7">
        <f t="shared" si="131"/>
        <v>-25</v>
      </c>
      <c r="M243" s="2"/>
      <c r="N243" s="6">
        <f t="shared" si="132"/>
        <v>-1</v>
      </c>
      <c r="O243" s="11"/>
      <c r="P243" s="7">
        <v>392.1</v>
      </c>
      <c r="Q243" s="2"/>
      <c r="R243" s="6">
        <f t="shared" si="133"/>
        <v>9.1958552673791026E-5</v>
      </c>
      <c r="S243" s="2"/>
      <c r="T243" s="7">
        <v>100</v>
      </c>
      <c r="U243" s="2"/>
      <c r="V243" s="6">
        <f t="shared" si="134"/>
        <v>1.4643822693766329E-5</v>
      </c>
      <c r="W243" s="2"/>
      <c r="X243" s="7">
        <f t="shared" si="135"/>
        <v>292.10000000000002</v>
      </c>
      <c r="Y243" s="2"/>
      <c r="Z243" s="6">
        <f t="shared" si="136"/>
        <v>2.9210000000000003</v>
      </c>
    </row>
    <row r="244" spans="1:26" s="27" customFormat="1" outlineLevel="1" collapsed="1" x14ac:dyDescent="0.25">
      <c r="A244" s="29"/>
      <c r="B244" s="14" t="str">
        <f>CONCATENATE("     ","Utilities                                         ")</f>
        <v xml:space="preserve">     Utilities                                         </v>
      </c>
      <c r="C244" s="14"/>
      <c r="D244" s="1">
        <f>SUM(OSRRefD22_26x_0)</f>
        <v>-6138.95</v>
      </c>
      <c r="E244" s="1"/>
      <c r="F244" s="5">
        <f t="shared" ref="F244:F245" si="137">IF(D$12=0,0,D244/D$12)</f>
        <v>-9.025471251713971E-3</v>
      </c>
      <c r="G244" s="1"/>
      <c r="H244" s="1">
        <f>SUM(OSRRefH22_26x_0)</f>
        <v>10226</v>
      </c>
      <c r="I244" s="1"/>
      <c r="J244" s="5">
        <f t="shared" ref="J244:J245" si="138">IF(H$12=0,0,H244/H$12)</f>
        <v>8.3905159108829726E-3</v>
      </c>
      <c r="K244" s="1"/>
      <c r="L244" s="1">
        <f t="shared" ref="L244:L245" si="139">+D244-H244</f>
        <v>-16364.95</v>
      </c>
      <c r="M244" s="1"/>
      <c r="N244" s="5">
        <f t="shared" ref="N244:N245" si="140">IF(H244=0,0,L244/H244)</f>
        <v>-1.6003275963230981</v>
      </c>
      <c r="O244" s="14"/>
      <c r="P244" s="1">
        <f>SUM(OSRRefP22_26x_0)</f>
        <v>19393.43</v>
      </c>
      <c r="Q244" s="1"/>
      <c r="R244" s="5">
        <f t="shared" ref="R244:R245" si="141">IF(P$12=0,0,P244/P$12)</f>
        <v>4.5483084778895153E-3</v>
      </c>
      <c r="S244" s="1"/>
      <c r="T244" s="1">
        <f>SUM(OSRRefT22_26x_0)</f>
        <v>40133</v>
      </c>
      <c r="U244" s="1"/>
      <c r="V244" s="5">
        <f t="shared" ref="V244:V245" si="142">IF(T$12=0,0,T244/T$12)</f>
        <v>5.8770053616892413E-3</v>
      </c>
      <c r="W244" s="1"/>
      <c r="X244" s="1">
        <f t="shared" ref="X244:X245" si="143">+P244-T244</f>
        <v>-20739.57</v>
      </c>
      <c r="Y244" s="1"/>
      <c r="Z244" s="5">
        <f t="shared" ref="Z244:Z245" si="144">IF(T244=0,0,X244/T244)</f>
        <v>-0.51677098646998731</v>
      </c>
    </row>
    <row r="245" spans="1:26" s="24" customFormat="1" hidden="1" outlineLevel="2" x14ac:dyDescent="0.25">
      <c r="A245" s="28"/>
      <c r="B245" s="11" t="str">
        <f>CONCATENATE("          ", "6274", " - ", "UTILITIES")</f>
        <v xml:space="preserve">          6274 - UTILITIES</v>
      </c>
      <c r="C245" s="11"/>
      <c r="D245" s="7">
        <v>-6138.95</v>
      </c>
      <c r="E245" s="2"/>
      <c r="F245" s="6">
        <f t="shared" si="137"/>
        <v>-9.025471251713971E-3</v>
      </c>
      <c r="G245" s="2"/>
      <c r="H245" s="7">
        <v>10226</v>
      </c>
      <c r="I245" s="2"/>
      <c r="J245" s="6">
        <f t="shared" si="138"/>
        <v>8.3905159108829726E-3</v>
      </c>
      <c r="K245" s="2"/>
      <c r="L245" s="7">
        <f t="shared" si="139"/>
        <v>-16364.95</v>
      </c>
      <c r="M245" s="2"/>
      <c r="N245" s="6">
        <f t="shared" si="140"/>
        <v>-1.6003275963230981</v>
      </c>
      <c r="O245" s="11"/>
      <c r="P245" s="7">
        <v>19393.43</v>
      </c>
      <c r="Q245" s="2"/>
      <c r="R245" s="6">
        <f t="shared" si="141"/>
        <v>4.5483084778895153E-3</v>
      </c>
      <c r="S245" s="2"/>
      <c r="T245" s="7">
        <v>40133</v>
      </c>
      <c r="U245" s="2"/>
      <c r="V245" s="6">
        <f t="shared" si="142"/>
        <v>5.8770053616892413E-3</v>
      </c>
      <c r="W245" s="2"/>
      <c r="X245" s="7">
        <f t="shared" si="143"/>
        <v>-20739.57</v>
      </c>
      <c r="Y245" s="2"/>
      <c r="Z245" s="6">
        <f t="shared" si="144"/>
        <v>-0.51677098646998731</v>
      </c>
    </row>
    <row r="246" spans="1:26" s="63" customFormat="1" x14ac:dyDescent="0.25">
      <c r="A246" s="36"/>
      <c r="B246" s="36"/>
      <c r="C246" s="36"/>
      <c r="D246" s="1"/>
      <c r="E246" s="1"/>
      <c r="F246" s="5"/>
      <c r="G246" s="1"/>
      <c r="H246" s="1"/>
      <c r="I246" s="1"/>
      <c r="J246" s="5"/>
      <c r="K246" s="1"/>
      <c r="L246" s="1"/>
      <c r="M246" s="1"/>
      <c r="N246" s="5"/>
      <c r="O246" s="36"/>
      <c r="P246" s="1"/>
      <c r="Q246" s="1"/>
      <c r="R246" s="5"/>
      <c r="S246" s="1"/>
      <c r="T246" s="1"/>
      <c r="U246" s="1"/>
      <c r="V246" s="5"/>
      <c r="W246" s="1"/>
      <c r="X246" s="1"/>
      <c r="Y246" s="1"/>
      <c r="Z246" s="5"/>
    </row>
    <row r="247" spans="1:26" s="23" customFormat="1" collapsed="1" x14ac:dyDescent="0.25">
      <c r="A247" s="10"/>
      <c r="B247" s="25" t="s">
        <v>0</v>
      </c>
      <c r="C247" s="10"/>
      <c r="D247" s="4">
        <f>SUM(OSRRefD25x_0)</f>
        <v>32628.180000000004</v>
      </c>
      <c r="E247" s="4"/>
      <c r="F247" s="12">
        <f t="shared" ref="F247:F254" si="145">IF(D$12=0,0,D247/D$12)</f>
        <v>4.7969880938230285E-2</v>
      </c>
      <c r="G247" s="4"/>
      <c r="H247" s="4">
        <f>SUM(OSRRefH25x_0)</f>
        <v>45809</v>
      </c>
      <c r="I247" s="4"/>
      <c r="J247" s="12">
        <f t="shared" ref="J247:J254" si="146">IF(H$12=0,0,H247/H$12)</f>
        <v>3.7586655912540401E-2</v>
      </c>
      <c r="K247" s="4"/>
      <c r="L247" s="4">
        <f t="shared" ref="L247:L254" si="147">+D247-H247</f>
        <v>-13180.819999999996</v>
      </c>
      <c r="M247" s="4"/>
      <c r="N247" s="12">
        <f t="shared" ref="N247:N254" si="148">IF(H247=0,0,L247/H247)</f>
        <v>-0.28773428802200435</v>
      </c>
      <c r="O247" s="10"/>
      <c r="P247" s="4">
        <f>SUM(OSRRefP25x_0)</f>
        <v>458171.02000000008</v>
      </c>
      <c r="Q247" s="4"/>
      <c r="R247" s="12">
        <f t="shared" ref="R247:R254" si="149">IF(P$12=0,0,P247/P$12)</f>
        <v>0.10745407772577038</v>
      </c>
      <c r="S247" s="4"/>
      <c r="T247" s="4">
        <f>SUM(OSRRefT25x_0)</f>
        <v>265611</v>
      </c>
      <c r="U247" s="4"/>
      <c r="V247" s="12">
        <f t="shared" ref="V247:V254" si="150">IF(T$12=0,0,T247/T$12)</f>
        <v>3.8895603895139685E-2</v>
      </c>
      <c r="W247" s="4"/>
      <c r="X247" s="4">
        <f t="shared" ref="X247:X254" si="151">+P247-T247</f>
        <v>192560.02000000008</v>
      </c>
      <c r="Y247" s="4"/>
      <c r="Z247" s="12">
        <f t="shared" ref="Z247:Z254" si="152">IF(T247=0,0,X247/T247)</f>
        <v>0.72497005018617477</v>
      </c>
    </row>
    <row r="248" spans="1:26" s="24" customFormat="1" hidden="1" outlineLevel="1" x14ac:dyDescent="0.25">
      <c r="A248" s="51"/>
      <c r="B248" s="11" t="str">
        <f>CONCATENATE("          ", "4187", " - ", "NON-TAXABLE SALES-COMPUTER REP")</f>
        <v xml:space="preserve">          4187 - NON-TAXABLE SALES-COMPUTER REP</v>
      </c>
      <c r="C248" s="11"/>
      <c r="D248" s="2">
        <f>--792.83</f>
        <v>792.83</v>
      </c>
      <c r="E248" s="2"/>
      <c r="F248" s="22">
        <f t="shared" si="145"/>
        <v>1.165616982138051E-3</v>
      </c>
      <c r="G248" s="2"/>
      <c r="H248" s="2"/>
      <c r="I248" s="2"/>
      <c r="J248" s="22">
        <f t="shared" si="146"/>
        <v>0</v>
      </c>
      <c r="K248" s="2"/>
      <c r="L248" s="2">
        <f t="shared" si="147"/>
        <v>792.83</v>
      </c>
      <c r="M248" s="2"/>
      <c r="N248" s="22">
        <f t="shared" si="148"/>
        <v>0</v>
      </c>
      <c r="O248" s="11"/>
      <c r="P248" s="2">
        <f>--937.96</f>
        <v>937.96</v>
      </c>
      <c r="Q248" s="2"/>
      <c r="R248" s="22">
        <f t="shared" si="149"/>
        <v>2.199781792040526E-4</v>
      </c>
      <c r="S248" s="2"/>
      <c r="T248" s="2"/>
      <c r="U248" s="2"/>
      <c r="V248" s="22">
        <f t="shared" si="150"/>
        <v>0</v>
      </c>
      <c r="W248" s="2"/>
      <c r="X248" s="2">
        <f t="shared" si="151"/>
        <v>937.96</v>
      </c>
      <c r="Y248" s="2"/>
      <c r="Z248" s="22">
        <f t="shared" si="152"/>
        <v>0</v>
      </c>
    </row>
    <row r="249" spans="1:26" s="24" customFormat="1" hidden="1" outlineLevel="1" x14ac:dyDescent="0.25">
      <c r="A249" s="51"/>
      <c r="B249" s="11" t="str">
        <f>CONCATENATE("          ", "9150", " - ", "MISC. INCOME")</f>
        <v xml:space="preserve">          9150 - MISC. INCOME</v>
      </c>
      <c r="C249" s="11"/>
      <c r="D249" s="2">
        <f>--31235.08</f>
        <v>31235.08</v>
      </c>
      <c r="E249" s="2"/>
      <c r="F249" s="22">
        <f t="shared" si="145"/>
        <v>4.5921748276983206E-2</v>
      </c>
      <c r="G249" s="2"/>
      <c r="H249" s="2">
        <v>25267</v>
      </c>
      <c r="I249" s="2"/>
      <c r="J249" s="22">
        <f t="shared" si="146"/>
        <v>2.0731778361067876E-2</v>
      </c>
      <c r="K249" s="2"/>
      <c r="L249" s="2">
        <f t="shared" si="147"/>
        <v>5968.0800000000017</v>
      </c>
      <c r="M249" s="2"/>
      <c r="N249" s="22">
        <f t="shared" si="148"/>
        <v>0.23620057782878862</v>
      </c>
      <c r="O249" s="11"/>
      <c r="P249" s="2">
        <f>--143779.32</f>
        <v>143779.32</v>
      </c>
      <c r="Q249" s="2"/>
      <c r="R249" s="22">
        <f t="shared" si="149"/>
        <v>3.3720321784294453E-2</v>
      </c>
      <c r="S249" s="2"/>
      <c r="T249" s="2">
        <v>105086</v>
      </c>
      <c r="U249" s="2"/>
      <c r="V249" s="22">
        <f t="shared" si="150"/>
        <v>1.5388607515971285E-2</v>
      </c>
      <c r="W249" s="2"/>
      <c r="X249" s="2">
        <f t="shared" si="151"/>
        <v>38693.320000000007</v>
      </c>
      <c r="Y249" s="2"/>
      <c r="Z249" s="22">
        <f t="shared" si="152"/>
        <v>0.36820623108691936</v>
      </c>
    </row>
    <row r="250" spans="1:26" s="24" customFormat="1" hidden="1" outlineLevel="1" x14ac:dyDescent="0.25">
      <c r="A250" s="51"/>
      <c r="B250" s="11" t="str">
        <f>CONCATENATE("          ", "9151", " - ", "MISC. INCOME")</f>
        <v xml:space="preserve">          9151 - MISC. INCOME</v>
      </c>
      <c r="C250" s="11"/>
      <c r="D250" s="2">
        <f>0</f>
        <v>0</v>
      </c>
      <c r="E250" s="2"/>
      <c r="F250" s="22">
        <f t="shared" si="145"/>
        <v>0</v>
      </c>
      <c r="G250" s="2"/>
      <c r="H250" s="2">
        <v>19986</v>
      </c>
      <c r="I250" s="2"/>
      <c r="J250" s="22">
        <f t="shared" si="146"/>
        <v>1.6398675043507442E-2</v>
      </c>
      <c r="K250" s="2"/>
      <c r="L250" s="2">
        <f t="shared" si="147"/>
        <v>-19986</v>
      </c>
      <c r="M250" s="2"/>
      <c r="N250" s="22">
        <f t="shared" si="148"/>
        <v>-1</v>
      </c>
      <c r="O250" s="11"/>
      <c r="P250" s="2">
        <f>--147285.39</f>
        <v>147285.39000000001</v>
      </c>
      <c r="Q250" s="2"/>
      <c r="R250" s="22">
        <f t="shared" si="149"/>
        <v>3.4542594476906031E-2</v>
      </c>
      <c r="S250" s="2"/>
      <c r="T250" s="2">
        <v>159969</v>
      </c>
      <c r="U250" s="2"/>
      <c r="V250" s="22">
        <f t="shared" si="150"/>
        <v>2.342557672499106E-2</v>
      </c>
      <c r="W250" s="2"/>
      <c r="X250" s="2">
        <f t="shared" si="151"/>
        <v>-12683.609999999986</v>
      </c>
      <c r="Y250" s="2"/>
      <c r="Z250" s="22">
        <f t="shared" si="152"/>
        <v>-7.928792453537864E-2</v>
      </c>
    </row>
    <row r="251" spans="1:26" s="24" customFormat="1" hidden="1" outlineLevel="1" x14ac:dyDescent="0.25">
      <c r="A251" s="51"/>
      <c r="B251" s="11" t="str">
        <f>CONCATENATE("          ", "9152", " - ", "MISC. INCOME")</f>
        <v xml:space="preserve">          9152 - MISC. INCOME</v>
      </c>
      <c r="C251" s="11"/>
      <c r="D251" s="2">
        <f>--262.08</f>
        <v>262.08</v>
      </c>
      <c r="E251" s="2"/>
      <c r="F251" s="22">
        <f t="shared" si="145"/>
        <v>3.8530945937810171E-4</v>
      </c>
      <c r="G251" s="2"/>
      <c r="H251" s="2"/>
      <c r="I251" s="2"/>
      <c r="J251" s="22">
        <f t="shared" si="146"/>
        <v>0</v>
      </c>
      <c r="K251" s="2"/>
      <c r="L251" s="2">
        <f t="shared" si="147"/>
        <v>262.08</v>
      </c>
      <c r="M251" s="2"/>
      <c r="N251" s="22">
        <f t="shared" si="148"/>
        <v>0</v>
      </c>
      <c r="O251" s="11"/>
      <c r="P251" s="2">
        <f>--2351.02</f>
        <v>2351.02</v>
      </c>
      <c r="Q251" s="2"/>
      <c r="R251" s="22">
        <f t="shared" si="149"/>
        <v>5.5138076130358622E-4</v>
      </c>
      <c r="S251" s="2"/>
      <c r="T251" s="2"/>
      <c r="U251" s="2"/>
      <c r="V251" s="22">
        <f t="shared" si="150"/>
        <v>0</v>
      </c>
      <c r="W251" s="2"/>
      <c r="X251" s="2">
        <f t="shared" si="151"/>
        <v>2351.02</v>
      </c>
      <c r="Y251" s="2"/>
      <c r="Z251" s="22">
        <f t="shared" si="152"/>
        <v>0</v>
      </c>
    </row>
    <row r="252" spans="1:26" s="24" customFormat="1" hidden="1" outlineLevel="1" x14ac:dyDescent="0.25">
      <c r="A252" s="51"/>
      <c r="B252" s="11" t="str">
        <f>CONCATENATE("          ", "9160", " - ", "MISC. INCOME")</f>
        <v xml:space="preserve">          9160 - MISC. INCOME</v>
      </c>
      <c r="C252" s="11"/>
      <c r="D252" s="2">
        <f>--338.19</f>
        <v>338.19</v>
      </c>
      <c r="E252" s="2"/>
      <c r="F252" s="22">
        <f t="shared" si="145"/>
        <v>4.9720621973092273E-4</v>
      </c>
      <c r="G252" s="2"/>
      <c r="H252" s="2">
        <v>556</v>
      </c>
      <c r="I252" s="2"/>
      <c r="J252" s="22">
        <f t="shared" si="146"/>
        <v>4.5620250796508244E-4</v>
      </c>
      <c r="K252" s="2"/>
      <c r="L252" s="2">
        <f t="shared" si="147"/>
        <v>-217.81</v>
      </c>
      <c r="M252" s="2"/>
      <c r="N252" s="22">
        <f t="shared" si="148"/>
        <v>-0.39174460431654679</v>
      </c>
      <c r="O252" s="11"/>
      <c r="P252" s="2">
        <f>--2328.25</f>
        <v>2328.25</v>
      </c>
      <c r="Q252" s="2"/>
      <c r="R252" s="22">
        <f t="shared" si="149"/>
        <v>5.4604055154999732E-4</v>
      </c>
      <c r="S252" s="2"/>
      <c r="T252" s="2">
        <v>556</v>
      </c>
      <c r="U252" s="2"/>
      <c r="V252" s="22">
        <f t="shared" si="150"/>
        <v>8.1419654177340798E-5</v>
      </c>
      <c r="W252" s="2"/>
      <c r="X252" s="2">
        <f t="shared" si="151"/>
        <v>1772.25</v>
      </c>
      <c r="Y252" s="2"/>
      <c r="Z252" s="22">
        <f t="shared" si="152"/>
        <v>3.1875</v>
      </c>
    </row>
    <row r="253" spans="1:26" s="24" customFormat="1" hidden="1" outlineLevel="1" x14ac:dyDescent="0.25">
      <c r="A253" s="51"/>
      <c r="B253" s="11" t="str">
        <f>CONCATENATE("          ", "9163", " - ", "MISC. INCOME")</f>
        <v xml:space="preserve">          9163 - MISC. INCOME</v>
      </c>
      <c r="C253" s="11"/>
      <c r="D253" s="2">
        <f t="shared" ref="D253:D254" si="153">0</f>
        <v>0</v>
      </c>
      <c r="E253" s="2"/>
      <c r="F253" s="22">
        <f t="shared" si="145"/>
        <v>0</v>
      </c>
      <c r="G253" s="2"/>
      <c r="H253" s="2"/>
      <c r="I253" s="2"/>
      <c r="J253" s="22">
        <f t="shared" si="146"/>
        <v>0</v>
      </c>
      <c r="K253" s="2"/>
      <c r="L253" s="2">
        <f t="shared" si="147"/>
        <v>0</v>
      </c>
      <c r="M253" s="2"/>
      <c r="N253" s="22">
        <f t="shared" si="148"/>
        <v>0</v>
      </c>
      <c r="O253" s="11"/>
      <c r="P253" s="2">
        <f>--160663.9</f>
        <v>160663.9</v>
      </c>
      <c r="Q253" s="2"/>
      <c r="R253" s="22">
        <f t="shared" si="149"/>
        <v>3.7680233896778097E-2</v>
      </c>
      <c r="S253" s="2"/>
      <c r="T253" s="2"/>
      <c r="U253" s="2"/>
      <c r="V253" s="22">
        <f t="shared" si="150"/>
        <v>0</v>
      </c>
      <c r="W253" s="2"/>
      <c r="X253" s="2">
        <f t="shared" si="151"/>
        <v>160663.9</v>
      </c>
      <c r="Y253" s="2"/>
      <c r="Z253" s="22">
        <f t="shared" si="152"/>
        <v>0</v>
      </c>
    </row>
    <row r="254" spans="1:26" s="24" customFormat="1" hidden="1" outlineLevel="1" x14ac:dyDescent="0.25">
      <c r="A254" s="51"/>
      <c r="B254" s="11" t="str">
        <f>CONCATENATE("          ", "9165", " - ", "OTHER INCOME")</f>
        <v xml:space="preserve">          9165 - OTHER INCOME</v>
      </c>
      <c r="C254" s="11"/>
      <c r="D254" s="2">
        <f t="shared" si="153"/>
        <v>0</v>
      </c>
      <c r="E254" s="2"/>
      <c r="F254" s="22">
        <f t="shared" si="145"/>
        <v>0</v>
      </c>
      <c r="G254" s="2"/>
      <c r="H254" s="2"/>
      <c r="I254" s="2"/>
      <c r="J254" s="22">
        <f t="shared" si="146"/>
        <v>0</v>
      </c>
      <c r="K254" s="2"/>
      <c r="L254" s="2">
        <f t="shared" si="147"/>
        <v>0</v>
      </c>
      <c r="M254" s="2"/>
      <c r="N254" s="22">
        <f t="shared" si="148"/>
        <v>0</v>
      </c>
      <c r="O254" s="11"/>
      <c r="P254" s="2">
        <f>--825.18</f>
        <v>825.18</v>
      </c>
      <c r="Q254" s="2"/>
      <c r="R254" s="22">
        <f t="shared" si="149"/>
        <v>1.9352807573414657E-4</v>
      </c>
      <c r="S254" s="2"/>
      <c r="T254" s="2"/>
      <c r="U254" s="2"/>
      <c r="V254" s="22">
        <f t="shared" si="150"/>
        <v>0</v>
      </c>
      <c r="W254" s="2"/>
      <c r="X254" s="2">
        <f t="shared" si="151"/>
        <v>825.18</v>
      </c>
      <c r="Y254" s="2"/>
      <c r="Z254" s="22">
        <f t="shared" si="152"/>
        <v>0</v>
      </c>
    </row>
    <row r="255" spans="1:26" x14ac:dyDescent="0.25">
      <c r="A255" s="9"/>
      <c r="B255" s="10"/>
      <c r="C255" s="10"/>
      <c r="D255" s="3"/>
      <c r="E255" s="3"/>
      <c r="F255" s="8"/>
      <c r="G255" s="3"/>
      <c r="H255" s="3"/>
      <c r="I255" s="3"/>
      <c r="J255" s="8"/>
      <c r="K255" s="3"/>
      <c r="L255" s="3"/>
      <c r="M255" s="3"/>
      <c r="N255" s="8"/>
      <c r="O255" s="10"/>
      <c r="P255" s="3"/>
      <c r="Q255" s="3"/>
      <c r="R255" s="8"/>
      <c r="S255" s="3"/>
      <c r="T255" s="3"/>
      <c r="U255" s="3"/>
      <c r="V255" s="8"/>
      <c r="W255" s="3"/>
      <c r="X255" s="3"/>
      <c r="Y255" s="3"/>
      <c r="Z255" s="8"/>
    </row>
    <row r="256" spans="1:26" s="23" customFormat="1" x14ac:dyDescent="0.25">
      <c r="A256" s="10"/>
      <c r="B256" s="26" t="s">
        <v>3</v>
      </c>
      <c r="C256" s="26"/>
      <c r="D256" s="20">
        <f>+D139-D141+D247</f>
        <v>-535067.68999999959</v>
      </c>
      <c r="E256" s="13"/>
      <c r="F256" s="19">
        <f>IF(D$12=0,0,D256/D$12)</f>
        <v>-0.78665538142776847</v>
      </c>
      <c r="G256" s="13"/>
      <c r="H256" s="20">
        <f>+H139-H141+H247</f>
        <v>-231555.90535576991</v>
      </c>
      <c r="I256" s="13"/>
      <c r="J256" s="19">
        <f>IF(H$12=0,0,H256/H$12)</f>
        <v>-0.18999349776515737</v>
      </c>
      <c r="K256" s="15"/>
      <c r="L256" s="20">
        <f>+D256-H256</f>
        <v>-303511.78464422969</v>
      </c>
      <c r="M256" s="15"/>
      <c r="N256" s="19">
        <f>IF(H256=0,0,L256/H256)</f>
        <v>1.310749489104605</v>
      </c>
      <c r="O256" s="25"/>
      <c r="P256" s="20">
        <f>+P139-P141+P247</f>
        <v>-1008190.3800000041</v>
      </c>
      <c r="Q256" s="13"/>
      <c r="R256" s="19">
        <f>IF(P$12=0,0,P256/P$12)</f>
        <v>-0.23644919195215444</v>
      </c>
      <c r="S256" s="13"/>
      <c r="T256" s="20">
        <f>+T139-T141+T247</f>
        <v>-682463.26472440455</v>
      </c>
      <c r="U256" s="13"/>
      <c r="V256" s="19">
        <f>IF(T$12=0,0,T256/T$12)</f>
        <v>-9.993871043633093E-2</v>
      </c>
      <c r="W256" s="15"/>
      <c r="X256" s="20">
        <f>+P256-T256</f>
        <v>-325727.11527559953</v>
      </c>
      <c r="Y256" s="15"/>
      <c r="Z256" s="19">
        <f>IF(T256=0,0,X256/T256)</f>
        <v>0.47728153603569584</v>
      </c>
    </row>
    <row r="257" spans="1:26" x14ac:dyDescent="0.25">
      <c r="A257" s="9"/>
      <c r="B257" s="10"/>
      <c r="C257" s="9"/>
      <c r="D257" s="3"/>
      <c r="E257" s="3"/>
      <c r="F257" s="8"/>
      <c r="G257" s="3"/>
      <c r="H257" s="3"/>
      <c r="I257" s="3"/>
      <c r="J257" s="8"/>
      <c r="K257" s="3"/>
      <c r="L257" s="3"/>
      <c r="M257" s="3"/>
      <c r="N257" s="8"/>
      <c r="P257" s="3"/>
      <c r="Q257" s="3"/>
      <c r="R257" s="8"/>
      <c r="S257" s="3"/>
      <c r="T257" s="3"/>
      <c r="U257" s="3"/>
      <c r="V257" s="8"/>
      <c r="W257" s="3"/>
      <c r="X257" s="3"/>
      <c r="Y257" s="3"/>
      <c r="Z257" s="8"/>
    </row>
    <row r="258" spans="1:26" s="23" customFormat="1" x14ac:dyDescent="0.25">
      <c r="A258" s="52"/>
      <c r="B258" s="10" t="s">
        <v>14</v>
      </c>
      <c r="C258" s="10"/>
      <c r="D258" s="4">
        <v>259749.94999999998</v>
      </c>
      <c r="E258" s="4"/>
      <c r="F258" s="12">
        <f>IF(D$12=0,0,D258/D$12)</f>
        <v>0.38188382481680766</v>
      </c>
      <c r="G258" s="4"/>
      <c r="H258" s="4">
        <v>306356</v>
      </c>
      <c r="I258" s="4"/>
      <c r="J258" s="12">
        <f>IF(H$12=0,0,H258/H$12)</f>
        <v>0.25136758188876046</v>
      </c>
      <c r="K258" s="4"/>
      <c r="L258" s="4">
        <f>+D258-H258</f>
        <v>-46606.050000000017</v>
      </c>
      <c r="M258" s="4"/>
      <c r="N258" s="12">
        <f>IF(H258=0,0,L258/H258)</f>
        <v>-0.15213036467377827</v>
      </c>
      <c r="O258" s="10"/>
      <c r="P258" s="4">
        <v>923647.69</v>
      </c>
      <c r="Q258" s="4"/>
      <c r="R258" s="12">
        <f>IF(P$12=0,0,P258/P$12)</f>
        <v>0.2166215372427707</v>
      </c>
      <c r="S258" s="4"/>
      <c r="T258" s="4">
        <v>1119517</v>
      </c>
      <c r="U258" s="4"/>
      <c r="V258" s="12">
        <f>IF(T$12=0,0,T258/T$12)</f>
        <v>0.16394008450657199</v>
      </c>
      <c r="W258" s="4"/>
      <c r="X258" s="4">
        <f>+P258-T258</f>
        <v>-195869.31000000006</v>
      </c>
      <c r="Y258" s="4"/>
      <c r="Z258" s="12">
        <f>IF(T258=0,0,X258/T258)</f>
        <v>-0.17495876346674508</v>
      </c>
    </row>
    <row r="259" spans="1:26" x14ac:dyDescent="0.25">
      <c r="A259" s="9"/>
      <c r="B259" s="10"/>
      <c r="C259" s="10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O259" s="10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s="23" customFormat="1" ht="15.75" thickBot="1" x14ac:dyDescent="0.3">
      <c r="A260" s="10"/>
      <c r="B260" s="26" t="s">
        <v>4</v>
      </c>
      <c r="C260" s="26"/>
      <c r="D260" s="34">
        <f>+D256-D258</f>
        <v>-794817.63999999955</v>
      </c>
      <c r="E260" s="13"/>
      <c r="F260" s="35">
        <f>IF(D$12=0,0,D260/D$12)</f>
        <v>-1.1685392062445761</v>
      </c>
      <c r="G260" s="13"/>
      <c r="H260" s="34">
        <f>+H256-H258</f>
        <v>-537911.90535576991</v>
      </c>
      <c r="I260" s="13"/>
      <c r="J260" s="35">
        <f>IF(H$12=0,0,H260/H$12)</f>
        <v>-0.4413610796539178</v>
      </c>
      <c r="K260" s="15"/>
      <c r="L260" s="34">
        <f>D260-H260</f>
        <v>-256905.73464422964</v>
      </c>
      <c r="M260" s="15"/>
      <c r="N260" s="35">
        <f>IF(H260=0,0,L260/H260)</f>
        <v>0.47759815703337999</v>
      </c>
      <c r="O260" s="25"/>
      <c r="P260" s="34">
        <f>+P256-P258</f>
        <v>-1931838.070000004</v>
      </c>
      <c r="Q260" s="13"/>
      <c r="R260" s="35">
        <f>IF(P$12=0,0,P260/P$12)</f>
        <v>-0.45307072919492514</v>
      </c>
      <c r="S260" s="13"/>
      <c r="T260" s="34">
        <f>+T256-T258</f>
        <v>-1801980.2647244046</v>
      </c>
      <c r="U260" s="13"/>
      <c r="V260" s="35">
        <f>IF(T$12=0,0,T260/T$12)</f>
        <v>-0.26387879494290295</v>
      </c>
      <c r="W260" s="15"/>
      <c r="X260" s="34">
        <f>P260-T260</f>
        <v>-129857.80527559947</v>
      </c>
      <c r="Y260" s="15"/>
      <c r="Z260" s="35">
        <f>IF(T260=0,0,X260/T260)</f>
        <v>7.2063944216092718E-2</v>
      </c>
    </row>
    <row r="261" spans="1:26" ht="15.75" thickTop="1" x14ac:dyDescent="0.25">
      <c r="A261" s="9"/>
      <c r="B261" s="9"/>
      <c r="C261" s="9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s="23" customFormat="1" x14ac:dyDescent="0.25">
      <c r="A262" s="52"/>
      <c r="B262" s="10" t="s">
        <v>2</v>
      </c>
      <c r="C262" s="10"/>
      <c r="D262" s="4">
        <f>-139066.28</f>
        <v>-139066.28</v>
      </c>
      <c r="E262" s="4"/>
      <c r="F262" s="12">
        <f t="shared" ref="F262:F263" si="154">IF(D$12=0,0,D262/D$12)</f>
        <v>-0.20445494949833531</v>
      </c>
      <c r="G262" s="4"/>
      <c r="H262" s="4">
        <f t="shared" ref="H262:H263" si="155">--15000</f>
        <v>15000</v>
      </c>
      <c r="I262" s="4"/>
      <c r="J262" s="12">
        <f t="shared" ref="J262:J263" si="156">IF(H$12=0,0,H262/H$12)</f>
        <v>1.2307621617763016E-2</v>
      </c>
      <c r="K262" s="4"/>
      <c r="L262" s="4">
        <f t="shared" ref="L262:L263" si="157">+D262-H262</f>
        <v>-154066.28</v>
      </c>
      <c r="M262" s="4"/>
      <c r="N262" s="12">
        <f t="shared" ref="N262:N263" si="158">IF(H262=0,0,L262/H262)</f>
        <v>-10.271085333333334</v>
      </c>
      <c r="O262" s="10"/>
      <c r="P262" s="4">
        <f>--580692.78</f>
        <v>580692.78</v>
      </c>
      <c r="Q262" s="4"/>
      <c r="R262" s="12">
        <f t="shared" ref="R262:R263" si="159">IF(P$12=0,0,P262/P$12)</f>
        <v>0.13618889976261195</v>
      </c>
      <c r="S262" s="4"/>
      <c r="T262" s="4">
        <f t="shared" ref="T262:T263" si="160">--60000</f>
        <v>60000</v>
      </c>
      <c r="U262" s="4"/>
      <c r="V262" s="12">
        <f t="shared" ref="V262:V263" si="161">IF(T$12=0,0,T262/T$12)</f>
        <v>8.7862936162597972E-3</v>
      </c>
      <c r="W262" s="4"/>
      <c r="X262" s="4">
        <f t="shared" ref="X262:X263" si="162">+P262-T262</f>
        <v>520692.78</v>
      </c>
      <c r="Y262" s="4"/>
      <c r="Z262" s="12">
        <f t="shared" ref="Z262:Z263" si="163">IF(T262=0,0,X262/T262)</f>
        <v>8.6782130000000013</v>
      </c>
    </row>
    <row r="263" spans="1:26" s="23" customFormat="1" x14ac:dyDescent="0.25">
      <c r="A263" s="52"/>
      <c r="B263" s="10" t="s">
        <v>1</v>
      </c>
      <c r="C263" s="10"/>
      <c r="D263" s="4">
        <f>--10141.14</f>
        <v>10141.14</v>
      </c>
      <c r="E263" s="4"/>
      <c r="F263" s="12">
        <f t="shared" si="154"/>
        <v>1.4909482489612493E-2</v>
      </c>
      <c r="G263" s="4"/>
      <c r="H263" s="4">
        <f t="shared" si="155"/>
        <v>15000</v>
      </c>
      <c r="I263" s="4"/>
      <c r="J263" s="12">
        <f t="shared" si="156"/>
        <v>1.2307621617763016E-2</v>
      </c>
      <c r="K263" s="4"/>
      <c r="L263" s="4">
        <f t="shared" si="157"/>
        <v>-4858.8600000000006</v>
      </c>
      <c r="M263" s="4"/>
      <c r="N263" s="12">
        <f t="shared" si="158"/>
        <v>-0.32392400000000005</v>
      </c>
      <c r="O263" s="10"/>
      <c r="P263" s="4">
        <f>-23119.82</f>
        <v>-23119.82</v>
      </c>
      <c r="Q263" s="4"/>
      <c r="R263" s="12">
        <f t="shared" si="159"/>
        <v>-5.4222524490654608E-3</v>
      </c>
      <c r="S263" s="4"/>
      <c r="T263" s="4">
        <f t="shared" si="160"/>
        <v>60000</v>
      </c>
      <c r="U263" s="4"/>
      <c r="V263" s="12">
        <f t="shared" si="161"/>
        <v>8.7862936162597972E-3</v>
      </c>
      <c r="W263" s="4"/>
      <c r="X263" s="4">
        <f t="shared" si="162"/>
        <v>-83119.820000000007</v>
      </c>
      <c r="Y263" s="4"/>
      <c r="Z263" s="12">
        <f t="shared" si="163"/>
        <v>-1.3853303333333336</v>
      </c>
    </row>
    <row r="264" spans="1:26" x14ac:dyDescent="0.25">
      <c r="A264" s="9"/>
      <c r="B264" s="9"/>
      <c r="C264" s="9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ht="15.75" thickBot="1" x14ac:dyDescent="0.3">
      <c r="A265" s="10"/>
      <c r="B265" s="26" t="s">
        <v>5</v>
      </c>
      <c r="C265" s="26"/>
      <c r="D265" s="30">
        <f>SUM(D260:D264)</f>
        <v>-923742.77999999956</v>
      </c>
      <c r="E265" s="13"/>
      <c r="F265" s="32">
        <f>IF(D$12=0,0,D265/D$12)</f>
        <v>-1.358084673253299</v>
      </c>
      <c r="G265" s="13"/>
      <c r="H265" s="30">
        <f>SUM(H260:H264)</f>
        <v>-507911.90535576991</v>
      </c>
      <c r="I265" s="13"/>
      <c r="J265" s="32">
        <f>IF(H$12=0,0,H265/H$12)</f>
        <v>-0.4167458364183918</v>
      </c>
      <c r="K265" s="15"/>
      <c r="L265" s="30">
        <f>+D265-H265</f>
        <v>-415830.87464422965</v>
      </c>
      <c r="M265" s="15"/>
      <c r="N265" s="32">
        <f>IF(H265=0,0,L265/H265)</f>
        <v>0.81870668960389592</v>
      </c>
      <c r="O265" s="25"/>
      <c r="P265" s="30">
        <f>SUM(P260:P264)</f>
        <v>-1374265.1100000041</v>
      </c>
      <c r="Q265" s="13"/>
      <c r="R265" s="32">
        <f>IF(P$12=0,0,P265/P$12)</f>
        <v>-0.32230408188137871</v>
      </c>
      <c r="S265" s="13"/>
      <c r="T265" s="30">
        <f>SUM(T260:T264)</f>
        <v>-1681980.2647244046</v>
      </c>
      <c r="U265" s="13"/>
      <c r="V265" s="32">
        <f>IF(T$12=0,0,T265/T$12)</f>
        <v>-0.24630620771038333</v>
      </c>
      <c r="W265" s="15"/>
      <c r="X265" s="30">
        <f>+P265-T265</f>
        <v>307715.15472440049</v>
      </c>
      <c r="Y265" s="15"/>
      <c r="Z265" s="32">
        <f>IF(T265=0,0,X265/T265)</f>
        <v>-0.18294813629981571</v>
      </c>
    </row>
    <row r="266" spans="1:26" ht="15.75" thickTop="1" x14ac:dyDescent="0.25">
      <c r="A266" s="9"/>
      <c r="C266" s="9"/>
      <c r="D266" s="17"/>
      <c r="E266" s="17"/>
      <c r="G266" s="17"/>
      <c r="H266" s="17"/>
      <c r="I266" s="17"/>
      <c r="J266" s="42"/>
      <c r="K266" s="17"/>
      <c r="L266" s="17"/>
      <c r="M266" s="17"/>
      <c r="P266" s="17"/>
      <c r="Q266" s="17"/>
      <c r="R266" s="42"/>
      <c r="S266" s="17"/>
      <c r="T266" s="17"/>
      <c r="U266" s="17"/>
      <c r="V266" s="42"/>
      <c r="W266" s="17"/>
      <c r="X266" s="17"/>
    </row>
    <row r="267" spans="1:26" x14ac:dyDescent="0.25">
      <c r="A267" s="9"/>
      <c r="B267" s="60">
        <v>44151.567629247686</v>
      </c>
      <c r="D267" s="17"/>
      <c r="E267" s="17"/>
      <c r="G267" s="17"/>
      <c r="H267" s="17"/>
      <c r="I267" s="17"/>
      <c r="J267" s="42"/>
      <c r="K267" s="17"/>
      <c r="L267" s="17"/>
      <c r="M267" s="17"/>
      <c r="P267" s="17"/>
      <c r="Q267" s="17"/>
      <c r="R267" s="42"/>
      <c r="S267" s="17"/>
      <c r="T267" s="17"/>
      <c r="U267" s="17"/>
      <c r="V267" s="42"/>
      <c r="W267" s="17"/>
      <c r="X267" s="17"/>
    </row>
    <row r="268" spans="1:26" x14ac:dyDescent="0.25">
      <c r="A268" s="9"/>
      <c r="B268" s="58" t="s">
        <v>314</v>
      </c>
      <c r="D268" s="17"/>
      <c r="E268" s="17"/>
      <c r="G268" s="17"/>
      <c r="H268" s="17"/>
      <c r="I268" s="17"/>
      <c r="J268" s="42"/>
      <c r="K268" s="17"/>
      <c r="L268" s="17"/>
      <c r="M268" s="17"/>
      <c r="P268" s="17"/>
      <c r="Q268" s="17"/>
      <c r="R268" s="42"/>
      <c r="S268" s="17"/>
      <c r="T268" s="17"/>
      <c r="U268" s="17"/>
      <c r="V268" s="42"/>
      <c r="W268" s="17"/>
      <c r="X268" s="17"/>
    </row>
    <row r="269" spans="1:26" x14ac:dyDescent="0.25">
      <c r="A269" s="9"/>
      <c r="B269" s="53"/>
      <c r="D269" s="17"/>
      <c r="E269" s="17"/>
      <c r="G269" s="17"/>
      <c r="H269" s="17"/>
      <c r="I269" s="17"/>
      <c r="J269" s="42"/>
      <c r="K269" s="17"/>
      <c r="L269" s="17"/>
      <c r="M269" s="17"/>
      <c r="P269" s="17"/>
      <c r="Q269" s="17"/>
      <c r="R269" s="42"/>
      <c r="S269" s="17"/>
      <c r="T269" s="17"/>
      <c r="U269" s="17"/>
      <c r="V269" s="42"/>
      <c r="W269" s="17"/>
      <c r="X269" s="17"/>
    </row>
    <row r="270" spans="1:26" x14ac:dyDescent="0.25">
      <c r="D270" s="17"/>
      <c r="E270" s="17"/>
      <c r="G270" s="17"/>
      <c r="H270" s="17"/>
      <c r="I270" s="17"/>
      <c r="J270" s="42"/>
      <c r="K270" s="17"/>
      <c r="L270" s="17"/>
      <c r="M270" s="17"/>
      <c r="P270" s="17"/>
      <c r="Q270" s="17"/>
      <c r="R270" s="42"/>
      <c r="S270" s="17"/>
      <c r="T270" s="17"/>
      <c r="U270" s="17"/>
      <c r="V270" s="42"/>
      <c r="W270" s="17"/>
      <c r="X270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298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298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","100", " - ", "Corporate")</f>
        <v>Department 100 - Corporate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SUM(0)</f>
        <v>0</v>
      </c>
      <c r="E18" s="21"/>
      <c r="F18" s="31">
        <f>IF(D$12=0,0,D18/D$12)</f>
        <v>0</v>
      </c>
      <c r="G18" s="21"/>
      <c r="H18" s="21">
        <f>SUM(0)</f>
        <v>0</v>
      </c>
      <c r="I18" s="21"/>
      <c r="J18" s="31">
        <f>IF(H$12=0,0,H18/H$12)</f>
        <v>0</v>
      </c>
      <c r="K18" s="4"/>
      <c r="L18" s="21">
        <f>+D18-H18</f>
        <v>0</v>
      </c>
      <c r="M18" s="4"/>
      <c r="N18" s="31">
        <f>IF(H18=0,0,L18/H18)</f>
        <v>0</v>
      </c>
      <c r="O18" s="10"/>
      <c r="P18" s="21">
        <f>SUM(0)</f>
        <v>0</v>
      </c>
      <c r="Q18" s="21"/>
      <c r="R18" s="31">
        <f>IF(P$12=0,0,P18/P$12)</f>
        <v>0</v>
      </c>
      <c r="S18" s="21"/>
      <c r="T18" s="21">
        <f>SUM(0)</f>
        <v>0</v>
      </c>
      <c r="U18" s="21"/>
      <c r="V18" s="31">
        <f>IF(T$12=0,0,T18/T$12)</f>
        <v>0</v>
      </c>
      <c r="W18" s="4"/>
      <c r="X18" s="21">
        <f>+P18-T18</f>
        <v>0</v>
      </c>
      <c r="Y18" s="4"/>
      <c r="Z18" s="31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0">
        <f>+D16-D18+D20</f>
        <v>0</v>
      </c>
      <c r="E22" s="13"/>
      <c r="F22" s="19">
        <f>IF(D$12=0,0,D22/D$12)</f>
        <v>0</v>
      </c>
      <c r="G22" s="13"/>
      <c r="H22" s="20">
        <f>+H16-H18+H20</f>
        <v>0</v>
      </c>
      <c r="I22" s="13"/>
      <c r="J22" s="19">
        <f>IF(H$12=0,0,H22/H$12)</f>
        <v>0</v>
      </c>
      <c r="K22" s="15"/>
      <c r="L22" s="20">
        <f>+D22-H22</f>
        <v>0</v>
      </c>
      <c r="M22" s="15"/>
      <c r="N22" s="19">
        <f>IF(H22=0,0,L22/H22)</f>
        <v>0</v>
      </c>
      <c r="O22" s="25"/>
      <c r="P22" s="20">
        <f>+P16-P18+P20</f>
        <v>0</v>
      </c>
      <c r="Q22" s="13"/>
      <c r="R22" s="19">
        <f>IF(P$12=0,0,P22/P$12)</f>
        <v>0</v>
      </c>
      <c r="S22" s="13"/>
      <c r="T22" s="20">
        <f>+T16-T18+T20</f>
        <v>0</v>
      </c>
      <c r="U22" s="13"/>
      <c r="V22" s="19">
        <f>IF(T$12=0,0,T22/T$12)</f>
        <v>0</v>
      </c>
      <c r="W22" s="15"/>
      <c r="X22" s="20">
        <f>+P22-T22</f>
        <v>0</v>
      </c>
      <c r="Y22" s="15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4">
        <f>+D22-D24</f>
        <v>0</v>
      </c>
      <c r="E26" s="13"/>
      <c r="F26" s="35">
        <f>IF(D$12=0,0,D26/D$12)</f>
        <v>0</v>
      </c>
      <c r="G26" s="13"/>
      <c r="H26" s="34">
        <f>+H22-H24</f>
        <v>0</v>
      </c>
      <c r="I26" s="13"/>
      <c r="J26" s="35">
        <f>IF(H$12=0,0,H26/H$12)</f>
        <v>0</v>
      </c>
      <c r="K26" s="15"/>
      <c r="L26" s="34">
        <f>D26-H26</f>
        <v>0</v>
      </c>
      <c r="M26" s="15"/>
      <c r="N26" s="35">
        <f>IF(H26=0,0,L26/H26)</f>
        <v>0</v>
      </c>
      <c r="O26" s="25"/>
      <c r="P26" s="34">
        <f>+P22-P24</f>
        <v>0</v>
      </c>
      <c r="Q26" s="13"/>
      <c r="R26" s="35">
        <f>IF(P$12=0,0,P26/P$12)</f>
        <v>0</v>
      </c>
      <c r="S26" s="13"/>
      <c r="T26" s="34">
        <f>+T22-T24</f>
        <v>0</v>
      </c>
      <c r="U26" s="13"/>
      <c r="V26" s="35">
        <f>IF(T$12=0,0,T26/T$12)</f>
        <v>0</v>
      </c>
      <c r="W26" s="15"/>
      <c r="X26" s="34">
        <f>P26-T26</f>
        <v>0</v>
      </c>
      <c r="Y26" s="15"/>
      <c r="Z26" s="35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-139066.28</f>
        <v>-139066.28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-154066.28</v>
      </c>
      <c r="M28" s="4"/>
      <c r="N28" s="12">
        <f t="shared" ref="N28:N29" si="4">IF(H28=0,0,L28/H28)</f>
        <v>-10.271085333333334</v>
      </c>
      <c r="O28" s="10"/>
      <c r="P28" s="4">
        <f>--580692.78</f>
        <v>580692.78</v>
      </c>
      <c r="Q28" s="4"/>
      <c r="R28" s="12">
        <f t="shared" ref="R28:R29" si="5">IF(P$12=0,0,P28/P$12)</f>
        <v>0</v>
      </c>
      <c r="S28" s="4"/>
      <c r="T28" s="4">
        <f t="shared" ref="T28:T29" si="6">--60000</f>
        <v>60000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520692.78</v>
      </c>
      <c r="Y28" s="4"/>
      <c r="Z28" s="12">
        <f t="shared" ref="Z28:Z29" si="9">IF(T28=0,0,X28/T28)</f>
        <v>8.6782130000000013</v>
      </c>
    </row>
    <row r="29" spans="1:26" s="23" customFormat="1" x14ac:dyDescent="0.25">
      <c r="A29" s="52"/>
      <c r="B29" s="10" t="s">
        <v>1</v>
      </c>
      <c r="C29" s="10"/>
      <c r="D29" s="4">
        <f>--10141.14</f>
        <v>10141.14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-4858.8600000000006</v>
      </c>
      <c r="M29" s="4"/>
      <c r="N29" s="12">
        <f t="shared" si="4"/>
        <v>-0.32392400000000005</v>
      </c>
      <c r="O29" s="10"/>
      <c r="P29" s="4">
        <f>-23119.82</f>
        <v>-23119.82</v>
      </c>
      <c r="Q29" s="4"/>
      <c r="R29" s="12">
        <f t="shared" si="5"/>
        <v>0</v>
      </c>
      <c r="S29" s="4"/>
      <c r="T29" s="4">
        <f t="shared" si="6"/>
        <v>60000</v>
      </c>
      <c r="U29" s="4"/>
      <c r="V29" s="12">
        <f t="shared" si="7"/>
        <v>0</v>
      </c>
      <c r="W29" s="4"/>
      <c r="X29" s="4">
        <f t="shared" si="8"/>
        <v>-83119.820000000007</v>
      </c>
      <c r="Y29" s="4"/>
      <c r="Z29" s="12">
        <f t="shared" si="9"/>
        <v>-1.3853303333333336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0">
        <f>SUM(D26:D30)</f>
        <v>-128925.14</v>
      </c>
      <c r="E31" s="13"/>
      <c r="F31" s="32">
        <f>IF(D$12=0,0,D31/D$12)</f>
        <v>0</v>
      </c>
      <c r="G31" s="13"/>
      <c r="H31" s="30">
        <f>SUM(H26:H30)</f>
        <v>30000</v>
      </c>
      <c r="I31" s="13"/>
      <c r="J31" s="32">
        <f>IF(H$12=0,0,H31/H$12)</f>
        <v>0</v>
      </c>
      <c r="K31" s="15"/>
      <c r="L31" s="30">
        <f>+D31-H31</f>
        <v>-158925.14000000001</v>
      </c>
      <c r="M31" s="15"/>
      <c r="N31" s="32">
        <f>IF(H31=0,0,L31/H31)</f>
        <v>-5.2975046666666668</v>
      </c>
      <c r="O31" s="25"/>
      <c r="P31" s="30">
        <f>SUM(P26:P30)</f>
        <v>557572.96000000008</v>
      </c>
      <c r="Q31" s="13"/>
      <c r="R31" s="32">
        <f>IF(P$12=0,0,P31/P$12)</f>
        <v>0</v>
      </c>
      <c r="S31" s="13"/>
      <c r="T31" s="30">
        <f>SUM(T26:T30)</f>
        <v>120000</v>
      </c>
      <c r="U31" s="13"/>
      <c r="V31" s="32">
        <f>IF(T$12=0,0,T31/T$12)</f>
        <v>0</v>
      </c>
      <c r="W31" s="15"/>
      <c r="X31" s="30">
        <f>+P31-T31</f>
        <v>437572.96000000008</v>
      </c>
      <c r="Y31" s="15"/>
      <c r="Z31" s="32">
        <f>IF(T31=0,0,X31/T31)</f>
        <v>3.6464413333333341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0">
        <v>44151.567971296296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8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3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297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0</v>
      </c>
      <c r="E17" s="13"/>
      <c r="F17" s="19">
        <f>IF(D$12=0,0,D17/D$12)</f>
        <v>0</v>
      </c>
      <c r="G17" s="13"/>
      <c r="H17" s="20">
        <f>H12-H15</f>
        <v>0</v>
      </c>
      <c r="I17" s="13"/>
      <c r="J17" s="19">
        <f>IF(H$12=0,0,H17/H$12)</f>
        <v>0</v>
      </c>
      <c r="K17" s="15"/>
      <c r="L17" s="20">
        <f>+D17-H17</f>
        <v>0</v>
      </c>
      <c r="M17" s="15"/>
      <c r="N17" s="19">
        <f>IF(H17=0,0,L17/H17)</f>
        <v>0</v>
      </c>
      <c r="O17" s="25"/>
      <c r="P17" s="20">
        <f>P12-P15</f>
        <v>0</v>
      </c>
      <c r="Q17" s="13"/>
      <c r="R17" s="19">
        <f>IF(P$12=0,0,P17/P$12)</f>
        <v>0</v>
      </c>
      <c r="S17" s="13"/>
      <c r="T17" s="20">
        <f>T12-T15</f>
        <v>0</v>
      </c>
      <c r="U17" s="13"/>
      <c r="V17" s="19">
        <f>IF(T$12=0,0,T17/T$12)</f>
        <v>0</v>
      </c>
      <c r="W17" s="15"/>
      <c r="X17" s="20">
        <f>+P17-T17</f>
        <v>0</v>
      </c>
      <c r="Y17" s="15"/>
      <c r="Z17" s="19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1">
        <f>SUM(OSRRefD22x_0)</f>
        <v>259749.95</v>
      </c>
      <c r="E19" s="21"/>
      <c r="F19" s="31">
        <f t="shared" ref="F19:F31" si="4">IF(D$12=0,0,D19/D$12)</f>
        <v>0</v>
      </c>
      <c r="G19" s="21"/>
      <c r="H19" s="21">
        <f>SUM(OSRRefH22x_0)</f>
        <v>306355.42555769242</v>
      </c>
      <c r="I19" s="21"/>
      <c r="J19" s="31">
        <f t="shared" ref="J19:J31" si="5">IF(H$12=0,0,H19/H$12)</f>
        <v>0</v>
      </c>
      <c r="K19" s="4"/>
      <c r="L19" s="21">
        <f t="shared" ref="L19:L31" si="6">+D19-H19</f>
        <v>-46605.475557692407</v>
      </c>
      <c r="M19" s="4"/>
      <c r="N19" s="31">
        <f t="shared" ref="N19:N31" si="7">IF(H19=0,0,L19/H19)</f>
        <v>-0.15212877484657353</v>
      </c>
      <c r="O19" s="10"/>
      <c r="P19" s="21">
        <f>SUM(OSRRefP22x_0)</f>
        <v>923647.69000000029</v>
      </c>
      <c r="Q19" s="21"/>
      <c r="R19" s="31">
        <f t="shared" ref="R19:R31" si="8">IF(P$12=0,0,P19/P$12)</f>
        <v>0</v>
      </c>
      <c r="S19" s="21"/>
      <c r="T19" s="21">
        <f>SUM(OSRRefT22x_0)</f>
        <v>1103295.137223077</v>
      </c>
      <c r="U19" s="21"/>
      <c r="V19" s="31">
        <f t="shared" ref="V19:V31" si="9">IF(T$12=0,0,T19/T$12)</f>
        <v>0</v>
      </c>
      <c r="W19" s="4"/>
      <c r="X19" s="21">
        <f t="shared" ref="X19:X31" si="10">+P19-T19</f>
        <v>-179647.44722307671</v>
      </c>
      <c r="Y19" s="4"/>
      <c r="Z19" s="31">
        <f t="shared" ref="Z19:Z31" si="11">IF(T19=0,0,X19/T19)</f>
        <v>-0.16282809663716799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93001.400000000009</v>
      </c>
      <c r="E20" s="1"/>
      <c r="F20" s="5">
        <f t="shared" si="4"/>
        <v>0</v>
      </c>
      <c r="G20" s="1"/>
      <c r="H20" s="1">
        <f>SUM(OSRRefH22_0x_0)</f>
        <v>84277.656326923083</v>
      </c>
      <c r="I20" s="1"/>
      <c r="J20" s="5">
        <f t="shared" si="5"/>
        <v>0</v>
      </c>
      <c r="K20" s="1"/>
      <c r="L20" s="1">
        <f t="shared" si="6"/>
        <v>8723.7436730769259</v>
      </c>
      <c r="M20" s="1"/>
      <c r="N20" s="5">
        <f t="shared" si="7"/>
        <v>0.10351193962058559</v>
      </c>
      <c r="O20" s="14"/>
      <c r="P20" s="1">
        <f>SUM(OSRRefP22_0x_0)</f>
        <v>339578.91</v>
      </c>
      <c r="Q20" s="1"/>
      <c r="R20" s="5">
        <f t="shared" si="8"/>
        <v>0</v>
      </c>
      <c r="S20" s="1"/>
      <c r="T20" s="1">
        <f>SUM(OSRRefT22_0x_0)</f>
        <v>324523.56799230771</v>
      </c>
      <c r="U20" s="1"/>
      <c r="V20" s="5">
        <f t="shared" si="9"/>
        <v>0</v>
      </c>
      <c r="W20" s="1"/>
      <c r="X20" s="1">
        <f t="shared" si="10"/>
        <v>15055.342007692263</v>
      </c>
      <c r="Y20" s="1"/>
      <c r="Z20" s="5">
        <f t="shared" si="11"/>
        <v>4.6392137559787723E-2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>
        <v>13501.48</v>
      </c>
      <c r="E21" s="2"/>
      <c r="F21" s="6">
        <f t="shared" si="4"/>
        <v>0</v>
      </c>
      <c r="G21" s="2"/>
      <c r="H21" s="7">
        <v>8722.8010961538494</v>
      </c>
      <c r="I21" s="2"/>
      <c r="J21" s="6">
        <f t="shared" si="5"/>
        <v>0</v>
      </c>
      <c r="K21" s="2"/>
      <c r="L21" s="7">
        <f t="shared" si="6"/>
        <v>4778.6789038461502</v>
      </c>
      <c r="M21" s="2"/>
      <c r="N21" s="6">
        <f t="shared" si="7"/>
        <v>0.54783765572199239</v>
      </c>
      <c r="O21" s="11"/>
      <c r="P21" s="7">
        <v>35476.550000000003</v>
      </c>
      <c r="Q21" s="2"/>
      <c r="R21" s="6">
        <f t="shared" si="8"/>
        <v>0</v>
      </c>
      <c r="S21" s="2"/>
      <c r="T21" s="7">
        <v>31679.122546153863</v>
      </c>
      <c r="U21" s="2"/>
      <c r="V21" s="6">
        <f t="shared" si="9"/>
        <v>0</v>
      </c>
      <c r="W21" s="2"/>
      <c r="X21" s="7">
        <f t="shared" si="10"/>
        <v>3797.4274538461395</v>
      </c>
      <c r="Y21" s="2"/>
      <c r="Z21" s="6">
        <f t="shared" si="11"/>
        <v>0.11987161097387093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7">
        <v>593.14</v>
      </c>
      <c r="E22" s="2"/>
      <c r="F22" s="6">
        <f t="shared" si="4"/>
        <v>0</v>
      </c>
      <c r="G22" s="2"/>
      <c r="H22" s="7">
        <v>759.30969230769199</v>
      </c>
      <c r="I22" s="2"/>
      <c r="J22" s="6">
        <f t="shared" si="5"/>
        <v>0</v>
      </c>
      <c r="K22" s="2"/>
      <c r="L22" s="7">
        <f t="shared" si="6"/>
        <v>-166.169692307692</v>
      </c>
      <c r="M22" s="2"/>
      <c r="N22" s="6">
        <f t="shared" si="7"/>
        <v>-0.21884310708937418</v>
      </c>
      <c r="O22" s="11"/>
      <c r="P22" s="7">
        <v>2381.84</v>
      </c>
      <c r="Q22" s="2"/>
      <c r="R22" s="6">
        <f t="shared" si="8"/>
        <v>0</v>
      </c>
      <c r="S22" s="2"/>
      <c r="T22" s="7">
        <v>2744.272892307692</v>
      </c>
      <c r="U22" s="2"/>
      <c r="V22" s="6">
        <f t="shared" si="9"/>
        <v>0</v>
      </c>
      <c r="W22" s="2"/>
      <c r="X22" s="7">
        <f t="shared" si="10"/>
        <v>-362.43289230769187</v>
      </c>
      <c r="Y22" s="2"/>
      <c r="Z22" s="6">
        <f t="shared" si="11"/>
        <v>-0.13206882352101568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7">
        <v>23374.05</v>
      </c>
      <c r="E23" s="2"/>
      <c r="F23" s="6">
        <f t="shared" si="4"/>
        <v>0</v>
      </c>
      <c r="G23" s="2"/>
      <c r="H23" s="7">
        <v>21786.153846153844</v>
      </c>
      <c r="I23" s="2"/>
      <c r="J23" s="6">
        <f t="shared" si="5"/>
        <v>0</v>
      </c>
      <c r="K23" s="2"/>
      <c r="L23" s="7">
        <f t="shared" si="6"/>
        <v>1587.8961538461554</v>
      </c>
      <c r="M23" s="2"/>
      <c r="N23" s="6">
        <f t="shared" si="7"/>
        <v>7.2885565991102394E-2</v>
      </c>
      <c r="O23" s="11"/>
      <c r="P23" s="7">
        <v>91351.84</v>
      </c>
      <c r="Q23" s="2"/>
      <c r="R23" s="6">
        <f t="shared" si="8"/>
        <v>0</v>
      </c>
      <c r="S23" s="2"/>
      <c r="T23" s="7">
        <v>86604.038461538468</v>
      </c>
      <c r="U23" s="2"/>
      <c r="V23" s="6">
        <f t="shared" si="9"/>
        <v>0</v>
      </c>
      <c r="W23" s="2"/>
      <c r="X23" s="7">
        <f t="shared" si="10"/>
        <v>4747.8015384615283</v>
      </c>
      <c r="Y23" s="2"/>
      <c r="Z23" s="6">
        <f t="shared" si="11"/>
        <v>5.4821941595368719E-2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252.63</v>
      </c>
      <c r="E24" s="2"/>
      <c r="F24" s="6">
        <f t="shared" si="4"/>
        <v>0</v>
      </c>
      <c r="G24" s="2"/>
      <c r="H24" s="7">
        <v>328.88400000000001</v>
      </c>
      <c r="I24" s="2"/>
      <c r="J24" s="6">
        <f t="shared" si="5"/>
        <v>0</v>
      </c>
      <c r="K24" s="2"/>
      <c r="L24" s="7">
        <f t="shared" si="6"/>
        <v>-76.254000000000019</v>
      </c>
      <c r="M24" s="2"/>
      <c r="N24" s="6">
        <f t="shared" si="7"/>
        <v>-0.23185682489874854</v>
      </c>
      <c r="O24" s="11"/>
      <c r="P24" s="7">
        <v>1015.97</v>
      </c>
      <c r="Q24" s="2"/>
      <c r="R24" s="6">
        <f t="shared" si="8"/>
        <v>0</v>
      </c>
      <c r="S24" s="2"/>
      <c r="T24" s="7">
        <v>1185.9064000000001</v>
      </c>
      <c r="U24" s="2"/>
      <c r="V24" s="6">
        <f t="shared" si="9"/>
        <v>0</v>
      </c>
      <c r="W24" s="2"/>
      <c r="X24" s="7">
        <f t="shared" si="10"/>
        <v>-169.93640000000005</v>
      </c>
      <c r="Y24" s="2"/>
      <c r="Z24" s="6">
        <f t="shared" si="11"/>
        <v>-0.14329663791341377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7">
        <v>7443.75</v>
      </c>
      <c r="E25" s="2"/>
      <c r="F25" s="6">
        <f t="shared" si="4"/>
        <v>0</v>
      </c>
      <c r="G25" s="2"/>
      <c r="H25" s="7">
        <v>7269.4807692307804</v>
      </c>
      <c r="I25" s="2"/>
      <c r="J25" s="6">
        <f t="shared" si="5"/>
        <v>0</v>
      </c>
      <c r="K25" s="2"/>
      <c r="L25" s="7">
        <f t="shared" si="6"/>
        <v>174.26923076921958</v>
      </c>
      <c r="M25" s="2"/>
      <c r="N25" s="6">
        <f t="shared" si="7"/>
        <v>2.397272051490135E-2</v>
      </c>
      <c r="O25" s="11"/>
      <c r="P25" s="7">
        <v>33496.89</v>
      </c>
      <c r="Q25" s="2"/>
      <c r="R25" s="6">
        <f t="shared" si="8"/>
        <v>0</v>
      </c>
      <c r="S25" s="2"/>
      <c r="T25" s="7">
        <v>26170.130769230789</v>
      </c>
      <c r="U25" s="2"/>
      <c r="V25" s="6">
        <f t="shared" si="9"/>
        <v>0</v>
      </c>
      <c r="W25" s="2"/>
      <c r="X25" s="7">
        <f t="shared" si="10"/>
        <v>7326.7592307692103</v>
      </c>
      <c r="Y25" s="2"/>
      <c r="Z25" s="6">
        <f t="shared" si="11"/>
        <v>0.27996647381615525</v>
      </c>
    </row>
    <row r="26" spans="1:26" s="24" customFormat="1" hidden="1" outlineLevel="2" x14ac:dyDescent="0.25">
      <c r="A26" s="28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300</v>
      </c>
      <c r="I26" s="2"/>
      <c r="J26" s="6">
        <f t="shared" si="5"/>
        <v>0</v>
      </c>
      <c r="K26" s="2"/>
      <c r="L26" s="7">
        <f t="shared" si="6"/>
        <v>-300</v>
      </c>
      <c r="M26" s="2"/>
      <c r="N26" s="6">
        <f t="shared" si="7"/>
        <v>-1</v>
      </c>
      <c r="O26" s="11"/>
      <c r="P26" s="7"/>
      <c r="Q26" s="2"/>
      <c r="R26" s="6">
        <f t="shared" si="8"/>
        <v>0</v>
      </c>
      <c r="S26" s="2"/>
      <c r="T26" s="7">
        <v>1200</v>
      </c>
      <c r="U26" s="2"/>
      <c r="V26" s="6">
        <f t="shared" si="9"/>
        <v>0</v>
      </c>
      <c r="W26" s="2"/>
      <c r="X26" s="7">
        <f t="shared" si="10"/>
        <v>-1200</v>
      </c>
      <c r="Y26" s="2"/>
      <c r="Z26" s="6">
        <f t="shared" si="11"/>
        <v>-1</v>
      </c>
    </row>
    <row r="27" spans="1:26" s="24" customFormat="1" hidden="1" outlineLevel="2" x14ac:dyDescent="0.25">
      <c r="A27" s="28"/>
      <c r="B27" s="11" t="str">
        <f>CONCATENATE("          ", "6117", " - ", "RETIREMENT STAFF HOURLY")</f>
        <v xml:space="preserve">          6117 - RETIREMENT STAFF HOURLY</v>
      </c>
      <c r="C27" s="11"/>
      <c r="D27" s="7">
        <v>753.23</v>
      </c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753.23</v>
      </c>
      <c r="M27" s="2"/>
      <c r="N27" s="6">
        <f t="shared" si="7"/>
        <v>0</v>
      </c>
      <c r="O27" s="11"/>
      <c r="P27" s="7">
        <v>3417.52</v>
      </c>
      <c r="Q27" s="2"/>
      <c r="R27" s="6">
        <f t="shared" si="8"/>
        <v>0</v>
      </c>
      <c r="S27" s="2"/>
      <c r="T27" s="7"/>
      <c r="U27" s="2"/>
      <c r="V27" s="6">
        <f t="shared" si="9"/>
        <v>0</v>
      </c>
      <c r="W27" s="2"/>
      <c r="X27" s="7">
        <f t="shared" si="10"/>
        <v>3417.52</v>
      </c>
      <c r="Y27" s="2"/>
      <c r="Z27" s="6">
        <f t="shared" si="11"/>
        <v>0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7">
        <v>9367.15</v>
      </c>
      <c r="E28" s="2"/>
      <c r="F28" s="6">
        <f t="shared" si="4"/>
        <v>0</v>
      </c>
      <c r="G28" s="2"/>
      <c r="H28" s="7">
        <v>5891.4423076923094</v>
      </c>
      <c r="I28" s="2"/>
      <c r="J28" s="6">
        <f t="shared" si="5"/>
        <v>0</v>
      </c>
      <c r="K28" s="2"/>
      <c r="L28" s="7">
        <f t="shared" si="6"/>
        <v>3475.7076923076902</v>
      </c>
      <c r="M28" s="2"/>
      <c r="N28" s="6">
        <f t="shared" si="7"/>
        <v>0.58995870803479566</v>
      </c>
      <c r="O28" s="11"/>
      <c r="P28" s="7">
        <v>27986.240000000002</v>
      </c>
      <c r="Q28" s="2"/>
      <c r="R28" s="6">
        <f t="shared" si="8"/>
        <v>0</v>
      </c>
      <c r="S28" s="2"/>
      <c r="T28" s="7">
        <v>21187.192307692309</v>
      </c>
      <c r="U28" s="2"/>
      <c r="V28" s="6">
        <f t="shared" si="9"/>
        <v>0</v>
      </c>
      <c r="W28" s="2"/>
      <c r="X28" s="7">
        <f t="shared" si="10"/>
        <v>6799.0476923076931</v>
      </c>
      <c r="Y28" s="2"/>
      <c r="Z28" s="6">
        <f t="shared" si="11"/>
        <v>0.32090366640223505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7">
        <v>6237.75</v>
      </c>
      <c r="E29" s="2"/>
      <c r="F29" s="6">
        <f t="shared" si="4"/>
        <v>0</v>
      </c>
      <c r="G29" s="2"/>
      <c r="H29" s="7">
        <v>4869.5846153846142</v>
      </c>
      <c r="I29" s="2"/>
      <c r="J29" s="6">
        <f t="shared" si="5"/>
        <v>0</v>
      </c>
      <c r="K29" s="2"/>
      <c r="L29" s="7">
        <f t="shared" si="6"/>
        <v>1368.1653846153858</v>
      </c>
      <c r="M29" s="2"/>
      <c r="N29" s="6">
        <f t="shared" si="7"/>
        <v>0.2809614151262313</v>
      </c>
      <c r="O29" s="11"/>
      <c r="P29" s="7">
        <v>18713.25</v>
      </c>
      <c r="Q29" s="2"/>
      <c r="R29" s="6">
        <f t="shared" si="8"/>
        <v>0</v>
      </c>
      <c r="S29" s="2"/>
      <c r="T29" s="7">
        <v>17432.90461538461</v>
      </c>
      <c r="U29" s="2"/>
      <c r="V29" s="6">
        <f t="shared" si="9"/>
        <v>0</v>
      </c>
      <c r="W29" s="2"/>
      <c r="X29" s="7">
        <f t="shared" si="10"/>
        <v>1280.3453846153898</v>
      </c>
      <c r="Y29" s="2"/>
      <c r="Z29" s="6">
        <f t="shared" si="11"/>
        <v>7.3444180006897966E-2</v>
      </c>
    </row>
    <row r="30" spans="1:26" s="24" customFormat="1" hidden="1" outlineLevel="2" x14ac:dyDescent="0.25">
      <c r="A30" s="28"/>
      <c r="B30" s="11" t="str">
        <f>CONCATENATE("          ", "6120", " - ", "RETIREES HEALTH INSURANCE")</f>
        <v xml:space="preserve">          6120 - RETIREES HEALTH INSURANCE</v>
      </c>
      <c r="C30" s="11"/>
      <c r="D30" s="7">
        <v>30642.670000000002</v>
      </c>
      <c r="E30" s="2"/>
      <c r="F30" s="6">
        <f t="shared" si="4"/>
        <v>0</v>
      </c>
      <c r="G30" s="2"/>
      <c r="H30" s="7">
        <v>32000</v>
      </c>
      <c r="I30" s="2"/>
      <c r="J30" s="6">
        <f t="shared" si="5"/>
        <v>0</v>
      </c>
      <c r="K30" s="2"/>
      <c r="L30" s="7">
        <f t="shared" si="6"/>
        <v>-1357.3299999999981</v>
      </c>
      <c r="M30" s="2"/>
      <c r="N30" s="6">
        <f t="shared" si="7"/>
        <v>-4.2416562499999942E-2</v>
      </c>
      <c r="O30" s="11"/>
      <c r="P30" s="7">
        <v>122405.68000000001</v>
      </c>
      <c r="Q30" s="2"/>
      <c r="R30" s="6">
        <f t="shared" si="8"/>
        <v>0</v>
      </c>
      <c r="S30" s="2"/>
      <c r="T30" s="7">
        <v>128000</v>
      </c>
      <c r="U30" s="2"/>
      <c r="V30" s="6">
        <f t="shared" si="9"/>
        <v>0</v>
      </c>
      <c r="W30" s="2"/>
      <c r="X30" s="7">
        <f t="shared" si="10"/>
        <v>-5594.3199999999924</v>
      </c>
      <c r="Y30" s="2"/>
      <c r="Z30" s="6">
        <f t="shared" si="11"/>
        <v>-4.3705624999999942E-2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>
        <v>835.55</v>
      </c>
      <c r="E31" s="2"/>
      <c r="F31" s="6">
        <f t="shared" si="4"/>
        <v>0</v>
      </c>
      <c r="G31" s="2"/>
      <c r="H31" s="7">
        <v>2350</v>
      </c>
      <c r="I31" s="2"/>
      <c r="J31" s="6">
        <f t="shared" si="5"/>
        <v>0</v>
      </c>
      <c r="K31" s="2"/>
      <c r="L31" s="7">
        <f t="shared" si="6"/>
        <v>-1514.45</v>
      </c>
      <c r="M31" s="2"/>
      <c r="N31" s="6">
        <f t="shared" si="7"/>
        <v>-0.64444680851063829</v>
      </c>
      <c r="O31" s="11"/>
      <c r="P31" s="7">
        <v>3333.13</v>
      </c>
      <c r="Q31" s="2"/>
      <c r="R31" s="6">
        <f t="shared" si="8"/>
        <v>0</v>
      </c>
      <c r="S31" s="2"/>
      <c r="T31" s="7">
        <v>8320</v>
      </c>
      <c r="U31" s="2"/>
      <c r="V31" s="6">
        <f t="shared" si="9"/>
        <v>0</v>
      </c>
      <c r="W31" s="2"/>
      <c r="X31" s="7">
        <f t="shared" si="10"/>
        <v>-4986.87</v>
      </c>
      <c r="Y31" s="2"/>
      <c r="Z31" s="6">
        <f t="shared" si="11"/>
        <v>-0.59938341346153845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73755.100000000006</v>
      </c>
      <c r="E32" s="1"/>
      <c r="F32" s="5">
        <f t="shared" ref="F32:F42" si="12">IF(D$12=0,0,D32/D$12)</f>
        <v>0</v>
      </c>
      <c r="G32" s="1"/>
      <c r="H32" s="1">
        <f>SUM(OSRRefH22_1x_0)</f>
        <v>116343.76923076931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-42588.669230769301</v>
      </c>
      <c r="M32" s="1"/>
      <c r="N32" s="5">
        <f t="shared" ref="N32:N42" si="15">IF(H32=0,0,L32/H32)</f>
        <v>-0.36605887459511605</v>
      </c>
      <c r="O32" s="14"/>
      <c r="P32" s="1">
        <f>SUM(OSRRefP22_1x_0)</f>
        <v>371552.3</v>
      </c>
      <c r="Q32" s="1"/>
      <c r="R32" s="5">
        <f t="shared" ref="R32:R42" si="16">IF(P$12=0,0,P32/P$12)</f>
        <v>0</v>
      </c>
      <c r="S32" s="1"/>
      <c r="T32" s="1">
        <f>SUM(OSRRefT22_1x_0)</f>
        <v>419621.56923076935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-48069.269230769365</v>
      </c>
      <c r="Y32" s="1"/>
      <c r="Z32" s="5">
        <f t="shared" ref="Z32:Z42" si="19">IF(T32=0,0,X32/T32)</f>
        <v>-0.11455385698806594</v>
      </c>
    </row>
    <row r="33" spans="1:26" s="24" customFormat="1" hidden="1" outlineLevel="2" x14ac:dyDescent="0.25">
      <c r="A33" s="28"/>
      <c r="B33" s="11" t="str">
        <f>CONCATENATE("          ", "6001", " - ", "ADMINISTRATIVE SALARIES")</f>
        <v xml:space="preserve">          6001 - ADMINISTRATIVE SALARIES</v>
      </c>
      <c r="C33" s="11"/>
      <c r="D33" s="7">
        <v>29168.98</v>
      </c>
      <c r="E33" s="2"/>
      <c r="F33" s="6">
        <f t="shared" si="12"/>
        <v>0</v>
      </c>
      <c r="G33" s="2"/>
      <c r="H33" s="7">
        <v>34110.576923076937</v>
      </c>
      <c r="I33" s="2"/>
      <c r="J33" s="6">
        <f t="shared" si="13"/>
        <v>0</v>
      </c>
      <c r="K33" s="2"/>
      <c r="L33" s="7">
        <f t="shared" si="14"/>
        <v>-4941.5969230769369</v>
      </c>
      <c r="M33" s="2"/>
      <c r="N33" s="6">
        <f t="shared" si="15"/>
        <v>-0.14486993093728012</v>
      </c>
      <c r="O33" s="11"/>
      <c r="P33" s="7">
        <v>101274.51</v>
      </c>
      <c r="Q33" s="2"/>
      <c r="R33" s="6">
        <f t="shared" si="16"/>
        <v>0</v>
      </c>
      <c r="S33" s="2"/>
      <c r="T33" s="7">
        <v>122798.07692307688</v>
      </c>
      <c r="U33" s="2"/>
      <c r="V33" s="6">
        <f t="shared" si="17"/>
        <v>0</v>
      </c>
      <c r="W33" s="2"/>
      <c r="X33" s="7">
        <f t="shared" si="18"/>
        <v>-21523.566923076884</v>
      </c>
      <c r="Y33" s="2"/>
      <c r="Z33" s="6">
        <f t="shared" si="19"/>
        <v>-0.17527609114399786</v>
      </c>
    </row>
    <row r="34" spans="1:26" s="24" customFormat="1" hidden="1" outlineLevel="2" x14ac:dyDescent="0.25">
      <c r="A34" s="28"/>
      <c r="B34" s="11" t="str">
        <f>CONCATENATE("          ", "6002", " - ", "STAFF SALARIES")</f>
        <v xml:space="preserve">          6002 - STAFF SALARIES</v>
      </c>
      <c r="C34" s="11"/>
      <c r="D34" s="7">
        <v>57855.56</v>
      </c>
      <c r="E34" s="2"/>
      <c r="F34" s="6">
        <f t="shared" si="12"/>
        <v>0</v>
      </c>
      <c r="G34" s="2"/>
      <c r="H34" s="7">
        <v>42682.692307692363</v>
      </c>
      <c r="I34" s="2"/>
      <c r="J34" s="6">
        <f t="shared" si="13"/>
        <v>0</v>
      </c>
      <c r="K34" s="2"/>
      <c r="L34" s="7">
        <f t="shared" si="14"/>
        <v>15172.867692307635</v>
      </c>
      <c r="M34" s="2"/>
      <c r="N34" s="6">
        <f t="shared" si="15"/>
        <v>0.35548056769542508</v>
      </c>
      <c r="O34" s="11"/>
      <c r="P34" s="7">
        <v>202419.05000000002</v>
      </c>
      <c r="Q34" s="2"/>
      <c r="R34" s="6">
        <f t="shared" si="16"/>
        <v>0</v>
      </c>
      <c r="S34" s="2"/>
      <c r="T34" s="7">
        <v>153657.69230769246</v>
      </c>
      <c r="U34" s="2"/>
      <c r="V34" s="6">
        <f t="shared" si="17"/>
        <v>0</v>
      </c>
      <c r="W34" s="2"/>
      <c r="X34" s="7">
        <f t="shared" si="18"/>
        <v>48761.35769230756</v>
      </c>
      <c r="Y34" s="2"/>
      <c r="Z34" s="6">
        <f t="shared" si="19"/>
        <v>0.31733756351530507</v>
      </c>
    </row>
    <row r="35" spans="1:26" s="24" customFormat="1" hidden="1" outlineLevel="2" x14ac:dyDescent="0.25">
      <c r="A35" s="28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7">
        <v>26834.42</v>
      </c>
      <c r="E36" s="2"/>
      <c r="F36" s="6">
        <f t="shared" si="12"/>
        <v>0</v>
      </c>
      <c r="G36" s="2"/>
      <c r="H36" s="7">
        <v>25680.5</v>
      </c>
      <c r="I36" s="2"/>
      <c r="J36" s="6">
        <f t="shared" si="13"/>
        <v>0</v>
      </c>
      <c r="K36" s="2"/>
      <c r="L36" s="7">
        <f t="shared" si="14"/>
        <v>1153.9199999999983</v>
      </c>
      <c r="M36" s="2"/>
      <c r="N36" s="6">
        <f t="shared" si="15"/>
        <v>4.4933704561827E-2</v>
      </c>
      <c r="O36" s="11"/>
      <c r="P36" s="7">
        <v>80083.3</v>
      </c>
      <c r="Q36" s="2"/>
      <c r="R36" s="6">
        <f t="shared" si="16"/>
        <v>0</v>
      </c>
      <c r="S36" s="2"/>
      <c r="T36" s="7">
        <v>97053.799999999988</v>
      </c>
      <c r="U36" s="2"/>
      <c r="V36" s="6">
        <f t="shared" si="17"/>
        <v>0</v>
      </c>
      <c r="W36" s="2"/>
      <c r="X36" s="7">
        <f t="shared" si="18"/>
        <v>-16970.499999999985</v>
      </c>
      <c r="Y36" s="2"/>
      <c r="Z36" s="6">
        <f t="shared" si="19"/>
        <v>-0.17485662591263801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7">
        <v>8940.7999999999993</v>
      </c>
      <c r="E37" s="2"/>
      <c r="F37" s="6">
        <f t="shared" si="12"/>
        <v>0</v>
      </c>
      <c r="G37" s="2"/>
      <c r="H37" s="7">
        <v>9715</v>
      </c>
      <c r="I37" s="2"/>
      <c r="J37" s="6">
        <f t="shared" si="13"/>
        <v>0</v>
      </c>
      <c r="K37" s="2"/>
      <c r="L37" s="7">
        <f t="shared" si="14"/>
        <v>-774.20000000000073</v>
      </c>
      <c r="M37" s="2"/>
      <c r="N37" s="6">
        <f t="shared" si="15"/>
        <v>-7.9691199176531211E-2</v>
      </c>
      <c r="O37" s="11"/>
      <c r="P37" s="7">
        <v>26655.489999999998</v>
      </c>
      <c r="Q37" s="2"/>
      <c r="R37" s="6">
        <f t="shared" si="16"/>
        <v>0</v>
      </c>
      <c r="S37" s="2"/>
      <c r="T37" s="7">
        <v>34974</v>
      </c>
      <c r="U37" s="2"/>
      <c r="V37" s="6">
        <f t="shared" si="17"/>
        <v>0</v>
      </c>
      <c r="W37" s="2"/>
      <c r="X37" s="7">
        <f t="shared" si="18"/>
        <v>-8318.510000000002</v>
      </c>
      <c r="Y37" s="2"/>
      <c r="Z37" s="6">
        <f t="shared" si="19"/>
        <v>-0.23784840166981192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7">
        <v>-50796.29</v>
      </c>
      <c r="E39" s="2"/>
      <c r="F39" s="6">
        <f t="shared" si="12"/>
        <v>0</v>
      </c>
      <c r="G39" s="2"/>
      <c r="H39" s="7">
        <v>1400</v>
      </c>
      <c r="I39" s="2"/>
      <c r="J39" s="6">
        <f t="shared" si="13"/>
        <v>0</v>
      </c>
      <c r="K39" s="2"/>
      <c r="L39" s="7">
        <f t="shared" si="14"/>
        <v>-52196.29</v>
      </c>
      <c r="M39" s="2"/>
      <c r="N39" s="6">
        <f t="shared" si="15"/>
        <v>-37.283064285714289</v>
      </c>
      <c r="O39" s="11"/>
      <c r="P39" s="7">
        <v>-44841.009999999995</v>
      </c>
      <c r="Q39" s="2"/>
      <c r="R39" s="6">
        <f t="shared" si="16"/>
        <v>0</v>
      </c>
      <c r="S39" s="2"/>
      <c r="T39" s="7">
        <v>4019</v>
      </c>
      <c r="U39" s="2"/>
      <c r="V39" s="6">
        <f t="shared" si="17"/>
        <v>0</v>
      </c>
      <c r="W39" s="2"/>
      <c r="X39" s="7">
        <f t="shared" si="18"/>
        <v>-48860.009999999995</v>
      </c>
      <c r="Y39" s="2"/>
      <c r="Z39" s="6">
        <f t="shared" si="19"/>
        <v>-12.157255536203035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7">
        <v>1751.63</v>
      </c>
      <c r="E40" s="2"/>
      <c r="F40" s="6">
        <f t="shared" si="12"/>
        <v>0</v>
      </c>
      <c r="G40" s="2"/>
      <c r="H40" s="7">
        <v>2755</v>
      </c>
      <c r="I40" s="2"/>
      <c r="J40" s="6">
        <f t="shared" si="13"/>
        <v>0</v>
      </c>
      <c r="K40" s="2"/>
      <c r="L40" s="7">
        <f t="shared" si="14"/>
        <v>-1003.3699999999999</v>
      </c>
      <c r="M40" s="2"/>
      <c r="N40" s="6">
        <f t="shared" si="15"/>
        <v>-0.36419963702359343</v>
      </c>
      <c r="O40" s="11"/>
      <c r="P40" s="7">
        <v>5960.96</v>
      </c>
      <c r="Q40" s="2"/>
      <c r="R40" s="6">
        <f t="shared" si="16"/>
        <v>0</v>
      </c>
      <c r="S40" s="2"/>
      <c r="T40" s="7">
        <v>7119</v>
      </c>
      <c r="U40" s="2"/>
      <c r="V40" s="6">
        <f t="shared" si="17"/>
        <v>0</v>
      </c>
      <c r="W40" s="2"/>
      <c r="X40" s="7">
        <f t="shared" si="18"/>
        <v>-1158.04</v>
      </c>
      <c r="Y40" s="2"/>
      <c r="Z40" s="6">
        <f t="shared" si="19"/>
        <v>-0.16266891417333895</v>
      </c>
    </row>
    <row r="41" spans="1:26" s="24" customFormat="1" hidden="1" outlineLevel="2" x14ac:dyDescent="0.25">
      <c r="A41" s="28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4" customFormat="1" hidden="1" outlineLevel="2" x14ac:dyDescent="0.25">
      <c r="A42" s="28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7" customFormat="1" outlineLevel="1" collapsed="1" x14ac:dyDescent="0.25">
      <c r="A43" s="29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173.21</v>
      </c>
      <c r="E43" s="1"/>
      <c r="F43" s="5">
        <f t="shared" ref="F43:F51" si="20">IF(D$12=0,0,D43/D$12)</f>
        <v>0</v>
      </c>
      <c r="G43" s="1"/>
      <c r="H43" s="1">
        <f>SUM(OSRRefH22_2x_0)</f>
        <v>9083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-8909.7900000000009</v>
      </c>
      <c r="M43" s="1"/>
      <c r="N43" s="5">
        <f t="shared" ref="N43:N51" si="23">IF(H43=0,0,L43/H43)</f>
        <v>-0.98093030936915127</v>
      </c>
      <c r="O43" s="14"/>
      <c r="P43" s="1">
        <f>SUM(OSRRefP22_2x_0)</f>
        <v>586.42999999999995</v>
      </c>
      <c r="Q43" s="1"/>
      <c r="R43" s="5">
        <f t="shared" ref="R43:R51" si="24">IF(P$12=0,0,P43/P$12)</f>
        <v>0</v>
      </c>
      <c r="S43" s="1"/>
      <c r="T43" s="1">
        <f>SUM(OSRRefT22_2x_0)</f>
        <v>36432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-35845.57</v>
      </c>
      <c r="Y43" s="1"/>
      <c r="Z43" s="5">
        <f t="shared" ref="Z43:Z51" si="27">IF(T43=0,0,X43/T43)</f>
        <v>-0.98390343653930612</v>
      </c>
    </row>
    <row r="44" spans="1:26" s="24" customFormat="1" hidden="1" outlineLevel="2" x14ac:dyDescent="0.25">
      <c r="A44" s="28"/>
      <c r="B44" s="11" t="str">
        <f>CONCATENATE("          ", "6362", " - ", "ADVERTISING EXPENSE")</f>
        <v xml:space="preserve">          6362 - ADVERTISING EXPENSE</v>
      </c>
      <c r="C44" s="11"/>
      <c r="D44" s="7">
        <v>173.21</v>
      </c>
      <c r="E44" s="2"/>
      <c r="F44" s="6">
        <f t="shared" si="20"/>
        <v>0</v>
      </c>
      <c r="G44" s="2"/>
      <c r="H44" s="7">
        <v>9083</v>
      </c>
      <c r="I44" s="2"/>
      <c r="J44" s="6">
        <f t="shared" si="21"/>
        <v>0</v>
      </c>
      <c r="K44" s="2"/>
      <c r="L44" s="7">
        <f t="shared" si="22"/>
        <v>-8909.7900000000009</v>
      </c>
      <c r="M44" s="2"/>
      <c r="N44" s="6">
        <f t="shared" si="23"/>
        <v>-0.98093030936915127</v>
      </c>
      <c r="O44" s="11"/>
      <c r="P44" s="7">
        <v>586.42999999999995</v>
      </c>
      <c r="Q44" s="2"/>
      <c r="R44" s="6">
        <f t="shared" si="24"/>
        <v>0</v>
      </c>
      <c r="S44" s="2"/>
      <c r="T44" s="7">
        <v>36432</v>
      </c>
      <c r="U44" s="2"/>
      <c r="V44" s="6">
        <f t="shared" si="25"/>
        <v>0</v>
      </c>
      <c r="W44" s="2"/>
      <c r="X44" s="7">
        <f t="shared" si="26"/>
        <v>-35845.57</v>
      </c>
      <c r="Y44" s="2"/>
      <c r="Z44" s="6">
        <f t="shared" si="27"/>
        <v>-0.98390343653930612</v>
      </c>
    </row>
    <row r="45" spans="1:26" s="27" customFormat="1" outlineLevel="1" collapsed="1" x14ac:dyDescent="0.25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1972.94</v>
      </c>
      <c r="E45" s="1"/>
      <c r="F45" s="5">
        <f t="shared" si="20"/>
        <v>0</v>
      </c>
      <c r="G45" s="1"/>
      <c r="H45" s="1">
        <f>SUM(OSRRefH22_3x_0)</f>
        <v>15000</v>
      </c>
      <c r="I45" s="1"/>
      <c r="J45" s="5">
        <f t="shared" si="21"/>
        <v>0</v>
      </c>
      <c r="K45" s="1"/>
      <c r="L45" s="1">
        <f t="shared" si="22"/>
        <v>-13027.06</v>
      </c>
      <c r="M45" s="1"/>
      <c r="N45" s="5">
        <f t="shared" si="23"/>
        <v>-0.86847066666666661</v>
      </c>
      <c r="O45" s="14"/>
      <c r="P45" s="1">
        <f>SUM(OSRRefP22_3x_0)</f>
        <v>2910.92</v>
      </c>
      <c r="Q45" s="1"/>
      <c r="R45" s="5">
        <f t="shared" si="24"/>
        <v>0</v>
      </c>
      <c r="S45" s="1"/>
      <c r="T45" s="1">
        <f>SUM(OSRRefT22_3x_0)</f>
        <v>33000</v>
      </c>
      <c r="U45" s="1"/>
      <c r="V45" s="5">
        <f t="shared" si="25"/>
        <v>0</v>
      </c>
      <c r="W45" s="1"/>
      <c r="X45" s="1">
        <f t="shared" si="26"/>
        <v>-30089.08</v>
      </c>
      <c r="Y45" s="1"/>
      <c r="Z45" s="5">
        <f t="shared" si="27"/>
        <v>-0.91179030303030306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7">
        <v>1972.94</v>
      </c>
      <c r="E46" s="2"/>
      <c r="F46" s="6">
        <f t="shared" si="20"/>
        <v>0</v>
      </c>
      <c r="G46" s="2"/>
      <c r="H46" s="7">
        <v>15000</v>
      </c>
      <c r="I46" s="2"/>
      <c r="J46" s="6">
        <f t="shared" si="21"/>
        <v>0</v>
      </c>
      <c r="K46" s="2"/>
      <c r="L46" s="7">
        <f t="shared" si="22"/>
        <v>-13027.06</v>
      </c>
      <c r="M46" s="2"/>
      <c r="N46" s="6">
        <f t="shared" si="23"/>
        <v>-0.86847066666666661</v>
      </c>
      <c r="O46" s="11"/>
      <c r="P46" s="7">
        <v>2910.92</v>
      </c>
      <c r="Q46" s="2"/>
      <c r="R46" s="6">
        <f t="shared" si="24"/>
        <v>0</v>
      </c>
      <c r="S46" s="2"/>
      <c r="T46" s="7">
        <v>33000</v>
      </c>
      <c r="U46" s="2"/>
      <c r="V46" s="6">
        <f t="shared" si="25"/>
        <v>0</v>
      </c>
      <c r="W46" s="2"/>
      <c r="X46" s="7">
        <f t="shared" si="26"/>
        <v>-30089.08</v>
      </c>
      <c r="Y46" s="2"/>
      <c r="Z46" s="6">
        <f t="shared" si="27"/>
        <v>-0.91179030303030306</v>
      </c>
    </row>
    <row r="47" spans="1:26" s="27" customFormat="1" outlineLevel="1" collapsed="1" x14ac:dyDescent="0.25">
      <c r="A47" s="29"/>
      <c r="B47" s="14" t="str">
        <f>CONCATENATE("     ","Board                                             ")</f>
        <v xml:space="preserve">     Board                                             </v>
      </c>
      <c r="C47" s="14"/>
      <c r="D47" s="1">
        <f>SUM(OSRRefD22_4x_0)</f>
        <v>550.16999999999996</v>
      </c>
      <c r="E47" s="1"/>
      <c r="F47" s="5">
        <f t="shared" si="20"/>
        <v>0</v>
      </c>
      <c r="G47" s="1"/>
      <c r="H47" s="1">
        <f>SUM(OSRRefH22_4x_0)</f>
        <v>2437</v>
      </c>
      <c r="I47" s="1"/>
      <c r="J47" s="5">
        <f t="shared" si="21"/>
        <v>0</v>
      </c>
      <c r="K47" s="1"/>
      <c r="L47" s="1">
        <f t="shared" si="22"/>
        <v>-1886.83</v>
      </c>
      <c r="M47" s="1"/>
      <c r="N47" s="5">
        <f t="shared" si="23"/>
        <v>-0.77424292162494868</v>
      </c>
      <c r="O47" s="14"/>
      <c r="P47" s="1">
        <f>SUM(OSRRefP22_4x_0)</f>
        <v>6521.01</v>
      </c>
      <c r="Q47" s="1"/>
      <c r="R47" s="5">
        <f t="shared" si="24"/>
        <v>0</v>
      </c>
      <c r="S47" s="1"/>
      <c r="T47" s="1">
        <f>SUM(OSRRefT22_4x_0)</f>
        <v>9048</v>
      </c>
      <c r="U47" s="1"/>
      <c r="V47" s="5">
        <f t="shared" si="25"/>
        <v>0</v>
      </c>
      <c r="W47" s="1"/>
      <c r="X47" s="1">
        <f t="shared" si="26"/>
        <v>-2526.9899999999998</v>
      </c>
      <c r="Y47" s="1"/>
      <c r="Z47" s="5">
        <f t="shared" si="27"/>
        <v>-0.27928713527851456</v>
      </c>
    </row>
    <row r="48" spans="1:26" s="24" customFormat="1" hidden="1" outlineLevel="2" x14ac:dyDescent="0.25">
      <c r="A48" s="28"/>
      <c r="B48" s="11" t="str">
        <f>CONCATENATE("          ", "6397", " - ", "BOARD EXPENSES")</f>
        <v xml:space="preserve">          6397 - BOARD EXPENSES</v>
      </c>
      <c r="C48" s="11"/>
      <c r="D48" s="7">
        <v>550.16999999999996</v>
      </c>
      <c r="E48" s="2"/>
      <c r="F48" s="6">
        <f t="shared" si="20"/>
        <v>0</v>
      </c>
      <c r="G48" s="2"/>
      <c r="H48" s="7">
        <v>2437</v>
      </c>
      <c r="I48" s="2"/>
      <c r="J48" s="6">
        <f t="shared" si="21"/>
        <v>0</v>
      </c>
      <c r="K48" s="2"/>
      <c r="L48" s="7">
        <f t="shared" si="22"/>
        <v>-1886.83</v>
      </c>
      <c r="M48" s="2"/>
      <c r="N48" s="6">
        <f t="shared" si="23"/>
        <v>-0.77424292162494868</v>
      </c>
      <c r="O48" s="11"/>
      <c r="P48" s="7">
        <v>6521.01</v>
      </c>
      <c r="Q48" s="2"/>
      <c r="R48" s="6">
        <f t="shared" si="24"/>
        <v>0</v>
      </c>
      <c r="S48" s="2"/>
      <c r="T48" s="7">
        <v>9048</v>
      </c>
      <c r="U48" s="2"/>
      <c r="V48" s="6">
        <f t="shared" si="25"/>
        <v>0</v>
      </c>
      <c r="W48" s="2"/>
      <c r="X48" s="7">
        <f t="shared" si="26"/>
        <v>-2526.9899999999998</v>
      </c>
      <c r="Y48" s="2"/>
      <c r="Z48" s="6">
        <f t="shared" si="27"/>
        <v>-0.27928713527851456</v>
      </c>
    </row>
    <row r="49" spans="1:26" s="27" customFormat="1" outlineLevel="1" collapsed="1" x14ac:dyDescent="0.25">
      <c r="A49" s="29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7222.15</v>
      </c>
      <c r="E49" s="1"/>
      <c r="F49" s="5">
        <f t="shared" si="20"/>
        <v>0</v>
      </c>
      <c r="G49" s="1"/>
      <c r="H49" s="1">
        <f>SUM(OSRRefH22_5x_0)</f>
        <v>7222</v>
      </c>
      <c r="I49" s="1"/>
      <c r="J49" s="5">
        <f t="shared" si="21"/>
        <v>0</v>
      </c>
      <c r="K49" s="1"/>
      <c r="L49" s="1">
        <f t="shared" si="22"/>
        <v>0.1499999999996362</v>
      </c>
      <c r="M49" s="1"/>
      <c r="N49" s="5">
        <f t="shared" si="23"/>
        <v>2.0769869842098615E-5</v>
      </c>
      <c r="O49" s="14"/>
      <c r="P49" s="1">
        <f>SUM(OSRRefP22_5x_0)</f>
        <v>30043.619999999995</v>
      </c>
      <c r="Q49" s="1"/>
      <c r="R49" s="5">
        <f t="shared" si="24"/>
        <v>0</v>
      </c>
      <c r="S49" s="1"/>
      <c r="T49" s="1">
        <f>SUM(OSRRefT22_5x_0)</f>
        <v>24781</v>
      </c>
      <c r="U49" s="1"/>
      <c r="V49" s="5">
        <f t="shared" si="25"/>
        <v>0</v>
      </c>
      <c r="W49" s="1"/>
      <c r="X49" s="1">
        <f t="shared" si="26"/>
        <v>5262.6199999999953</v>
      </c>
      <c r="Y49" s="1"/>
      <c r="Z49" s="5">
        <f t="shared" si="27"/>
        <v>0.21236511843751243</v>
      </c>
    </row>
    <row r="50" spans="1:26" s="24" customFormat="1" hidden="1" outlineLevel="2" x14ac:dyDescent="0.25">
      <c r="A50" s="28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7222.15</v>
      </c>
      <c r="E50" s="2"/>
      <c r="F50" s="6">
        <f t="shared" si="20"/>
        <v>0</v>
      </c>
      <c r="G50" s="2"/>
      <c r="H50" s="7">
        <v>7222</v>
      </c>
      <c r="I50" s="2"/>
      <c r="J50" s="6">
        <f t="shared" si="21"/>
        <v>0</v>
      </c>
      <c r="K50" s="2"/>
      <c r="L50" s="7">
        <f t="shared" si="22"/>
        <v>0.1499999999996362</v>
      </c>
      <c r="M50" s="2"/>
      <c r="N50" s="6">
        <f t="shared" si="23"/>
        <v>2.0769869842098615E-5</v>
      </c>
      <c r="O50" s="11"/>
      <c r="P50" s="7">
        <v>30043.619999999995</v>
      </c>
      <c r="Q50" s="2"/>
      <c r="R50" s="6">
        <f t="shared" si="24"/>
        <v>0</v>
      </c>
      <c r="S50" s="2"/>
      <c r="T50" s="7">
        <v>24681</v>
      </c>
      <c r="U50" s="2"/>
      <c r="V50" s="6">
        <f t="shared" si="25"/>
        <v>0</v>
      </c>
      <c r="W50" s="2"/>
      <c r="X50" s="7">
        <f t="shared" si="26"/>
        <v>5362.6199999999953</v>
      </c>
      <c r="Y50" s="2"/>
      <c r="Z50" s="6">
        <f t="shared" si="27"/>
        <v>0.21727725780965096</v>
      </c>
    </row>
    <row r="51" spans="1:26" s="24" customFormat="1" hidden="1" outlineLevel="2" x14ac:dyDescent="0.25">
      <c r="A51" s="28"/>
      <c r="B51" s="11" t="str">
        <f>CONCATENATE("          ", "6324", " - ", "FURNITURE + FIXT DEPRECIATION")</f>
        <v xml:space="preserve">          6324 - FURNITURE + FIXT DEPRECIATION</v>
      </c>
      <c r="C51" s="11"/>
      <c r="D51" s="7"/>
      <c r="E51" s="2"/>
      <c r="F51" s="6">
        <f t="shared" si="20"/>
        <v>0</v>
      </c>
      <c r="G51" s="2"/>
      <c r="H51" s="7"/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100</v>
      </c>
      <c r="U51" s="2"/>
      <c r="V51" s="6">
        <f t="shared" si="25"/>
        <v>0</v>
      </c>
      <c r="W51" s="2"/>
      <c r="X51" s="7">
        <f t="shared" si="26"/>
        <v>-100</v>
      </c>
      <c r="Y51" s="2"/>
      <c r="Z51" s="6">
        <f t="shared" si="27"/>
        <v>-1</v>
      </c>
    </row>
    <row r="52" spans="1:26" s="27" customFormat="1" outlineLevel="1" collapsed="1" x14ac:dyDescent="0.25">
      <c r="A52" s="29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25000</v>
      </c>
      <c r="E52" s="1"/>
      <c r="F52" s="5">
        <f t="shared" ref="F52:F60" si="28">IF(D$12=0,0,D52/D$12)</f>
        <v>0</v>
      </c>
      <c r="G52" s="1"/>
      <c r="H52" s="1">
        <f>SUM(OSRRefH22_6x_0)</f>
        <v>5000</v>
      </c>
      <c r="I52" s="1"/>
      <c r="J52" s="5">
        <f t="shared" ref="J52:J60" si="29">IF(H$12=0,0,H52/H$12)</f>
        <v>0</v>
      </c>
      <c r="K52" s="1"/>
      <c r="L52" s="1">
        <f t="shared" ref="L52:L60" si="30">+D52-H52</f>
        <v>20000</v>
      </c>
      <c r="M52" s="1"/>
      <c r="N52" s="5">
        <f t="shared" ref="N52:N60" si="31">IF(H52=0,0,L52/H52)</f>
        <v>4</v>
      </c>
      <c r="O52" s="14"/>
      <c r="P52" s="1">
        <f>SUM(OSRRefP22_6x_0)</f>
        <v>25000</v>
      </c>
      <c r="Q52" s="1"/>
      <c r="R52" s="5">
        <f t="shared" ref="R52:R60" si="32">IF(P$12=0,0,P52/P$12)</f>
        <v>0</v>
      </c>
      <c r="S52" s="1"/>
      <c r="T52" s="1">
        <f>SUM(OSRRefT22_6x_0)</f>
        <v>31500</v>
      </c>
      <c r="U52" s="1"/>
      <c r="V52" s="5">
        <f t="shared" ref="V52:V60" si="33">IF(T$12=0,0,T52/T$12)</f>
        <v>0</v>
      </c>
      <c r="W52" s="1"/>
      <c r="X52" s="1">
        <f t="shared" ref="X52:X60" si="34">+P52-T52</f>
        <v>-6500</v>
      </c>
      <c r="Y52" s="1"/>
      <c r="Z52" s="5">
        <f t="shared" ref="Z52:Z60" si="35">IF(T52=0,0,X52/T52)</f>
        <v>-0.20634920634920634</v>
      </c>
    </row>
    <row r="53" spans="1:26" s="24" customFormat="1" hidden="1" outlineLevel="2" x14ac:dyDescent="0.25">
      <c r="A53" s="28"/>
      <c r="B53" s="11" t="str">
        <f>CONCATENATE("          ", "6399", " - ", "DONATION-ON CAMPUS")</f>
        <v xml:space="preserve">          6399 - DONATION-ON CAMPUS</v>
      </c>
      <c r="C53" s="11"/>
      <c r="D53" s="7">
        <v>25000</v>
      </c>
      <c r="E53" s="2"/>
      <c r="F53" s="6">
        <f t="shared" si="28"/>
        <v>0</v>
      </c>
      <c r="G53" s="2"/>
      <c r="H53" s="7">
        <v>5000</v>
      </c>
      <c r="I53" s="2"/>
      <c r="J53" s="6">
        <f t="shared" si="29"/>
        <v>0</v>
      </c>
      <c r="K53" s="2"/>
      <c r="L53" s="7">
        <f t="shared" si="30"/>
        <v>20000</v>
      </c>
      <c r="M53" s="2"/>
      <c r="N53" s="6">
        <f t="shared" si="31"/>
        <v>4</v>
      </c>
      <c r="O53" s="11"/>
      <c r="P53" s="7">
        <v>25000</v>
      </c>
      <c r="Q53" s="2"/>
      <c r="R53" s="6">
        <f t="shared" si="32"/>
        <v>0</v>
      </c>
      <c r="S53" s="2"/>
      <c r="T53" s="7">
        <v>31500</v>
      </c>
      <c r="U53" s="2"/>
      <c r="V53" s="6">
        <f t="shared" si="33"/>
        <v>0</v>
      </c>
      <c r="W53" s="2"/>
      <c r="X53" s="7">
        <f t="shared" si="34"/>
        <v>-6500</v>
      </c>
      <c r="Y53" s="2"/>
      <c r="Z53" s="6">
        <f t="shared" si="35"/>
        <v>-0.20634920634920634</v>
      </c>
    </row>
    <row r="54" spans="1:26" s="27" customFormat="1" outlineLevel="1" collapsed="1" x14ac:dyDescent="0.25">
      <c r="A54" s="29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SUM(OSRRefP22_7x_0)</f>
        <v>81.56</v>
      </c>
      <c r="Q54" s="1"/>
      <c r="R54" s="5">
        <f t="shared" si="32"/>
        <v>0</v>
      </c>
      <c r="S54" s="1"/>
      <c r="T54" s="1">
        <f>SUM(OSRRefT22_7x_0)</f>
        <v>1500</v>
      </c>
      <c r="U54" s="1"/>
      <c r="V54" s="5">
        <f t="shared" si="33"/>
        <v>0</v>
      </c>
      <c r="W54" s="1"/>
      <c r="X54" s="1">
        <f t="shared" si="34"/>
        <v>-1418.44</v>
      </c>
      <c r="Y54" s="1"/>
      <c r="Z54" s="5">
        <f t="shared" si="35"/>
        <v>-0.94562666666666673</v>
      </c>
    </row>
    <row r="55" spans="1:26" s="24" customFormat="1" hidden="1" outlineLevel="2" x14ac:dyDescent="0.25">
      <c r="A55" s="28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0</v>
      </c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81.56</v>
      </c>
      <c r="Q55" s="2"/>
      <c r="R55" s="6">
        <f t="shared" si="32"/>
        <v>0</v>
      </c>
      <c r="S55" s="2"/>
      <c r="T55" s="7">
        <v>1500</v>
      </c>
      <c r="U55" s="2"/>
      <c r="V55" s="6">
        <f t="shared" si="33"/>
        <v>0</v>
      </c>
      <c r="W55" s="2"/>
      <c r="X55" s="7">
        <f t="shared" si="34"/>
        <v>-1418.44</v>
      </c>
      <c r="Y55" s="2"/>
      <c r="Z55" s="6">
        <f t="shared" si="35"/>
        <v>-0.94562666666666673</v>
      </c>
    </row>
    <row r="56" spans="1:26" s="27" customFormat="1" outlineLevel="1" collapsed="1" x14ac:dyDescent="0.25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208.97</v>
      </c>
      <c r="E56" s="1"/>
      <c r="F56" s="5">
        <f t="shared" si="28"/>
        <v>0</v>
      </c>
      <c r="G56" s="1"/>
      <c r="H56" s="1">
        <f>SUM(OSRRefH22_8x_0)</f>
        <v>291</v>
      </c>
      <c r="I56" s="1"/>
      <c r="J56" s="5">
        <f t="shared" si="29"/>
        <v>0</v>
      </c>
      <c r="K56" s="1"/>
      <c r="L56" s="1">
        <f t="shared" si="30"/>
        <v>-82.03</v>
      </c>
      <c r="M56" s="1"/>
      <c r="N56" s="5">
        <f t="shared" si="31"/>
        <v>-0.28189003436426119</v>
      </c>
      <c r="O56" s="14"/>
      <c r="P56" s="1">
        <f>SUM(OSRRefP22_8x_0)</f>
        <v>835.88</v>
      </c>
      <c r="Q56" s="1"/>
      <c r="R56" s="5">
        <f t="shared" si="32"/>
        <v>0</v>
      </c>
      <c r="S56" s="1"/>
      <c r="T56" s="1">
        <f>SUM(OSRRefT22_8x_0)</f>
        <v>1082</v>
      </c>
      <c r="U56" s="1"/>
      <c r="V56" s="5">
        <f t="shared" si="33"/>
        <v>0</v>
      </c>
      <c r="W56" s="1"/>
      <c r="X56" s="1">
        <f t="shared" si="34"/>
        <v>-246.12</v>
      </c>
      <c r="Y56" s="1"/>
      <c r="Z56" s="5">
        <f t="shared" si="35"/>
        <v>-0.22746765249537892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7">
        <v>208.97</v>
      </c>
      <c r="E57" s="2"/>
      <c r="F57" s="6">
        <f t="shared" si="28"/>
        <v>0</v>
      </c>
      <c r="G57" s="2"/>
      <c r="H57" s="7">
        <v>291</v>
      </c>
      <c r="I57" s="2"/>
      <c r="J57" s="6">
        <f t="shared" si="29"/>
        <v>0</v>
      </c>
      <c r="K57" s="2"/>
      <c r="L57" s="7">
        <f t="shared" si="30"/>
        <v>-82.03</v>
      </c>
      <c r="M57" s="2"/>
      <c r="N57" s="6">
        <f t="shared" si="31"/>
        <v>-0.28189003436426119</v>
      </c>
      <c r="O57" s="11"/>
      <c r="P57" s="7">
        <v>835.88</v>
      </c>
      <c r="Q57" s="2"/>
      <c r="R57" s="6">
        <f t="shared" si="32"/>
        <v>0</v>
      </c>
      <c r="S57" s="2"/>
      <c r="T57" s="7">
        <v>1082</v>
      </c>
      <c r="U57" s="2"/>
      <c r="V57" s="6">
        <f t="shared" si="33"/>
        <v>0</v>
      </c>
      <c r="W57" s="2"/>
      <c r="X57" s="7">
        <f t="shared" si="34"/>
        <v>-246.12</v>
      </c>
      <c r="Y57" s="2"/>
      <c r="Z57" s="6">
        <f t="shared" si="35"/>
        <v>-0.22746765249537892</v>
      </c>
    </row>
    <row r="58" spans="1:26" s="27" customFormat="1" outlineLevel="1" collapsed="1" x14ac:dyDescent="0.25">
      <c r="A58" s="29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SUM(OSRRefD22_9x_0)</f>
        <v>198.03</v>
      </c>
      <c r="E58" s="1"/>
      <c r="F58" s="5">
        <f t="shared" si="28"/>
        <v>0</v>
      </c>
      <c r="G58" s="1"/>
      <c r="H58" s="1">
        <f>SUM(OSRRefH22_9x_0)</f>
        <v>198</v>
      </c>
      <c r="I58" s="1"/>
      <c r="J58" s="5">
        <f t="shared" si="29"/>
        <v>0</v>
      </c>
      <c r="K58" s="1"/>
      <c r="L58" s="1">
        <f t="shared" si="30"/>
        <v>3.0000000000001137E-2</v>
      </c>
      <c r="M58" s="1"/>
      <c r="N58" s="5">
        <f t="shared" si="31"/>
        <v>1.5151515151515726E-4</v>
      </c>
      <c r="O58" s="14"/>
      <c r="P58" s="1">
        <f>SUM(OSRRefP22_9x_0)</f>
        <v>596.96999999999991</v>
      </c>
      <c r="Q58" s="1"/>
      <c r="R58" s="5">
        <f t="shared" si="32"/>
        <v>0</v>
      </c>
      <c r="S58" s="1"/>
      <c r="T58" s="1">
        <f>SUM(OSRRefT22_9x_0)</f>
        <v>792</v>
      </c>
      <c r="U58" s="1"/>
      <c r="V58" s="5">
        <f t="shared" si="33"/>
        <v>0</v>
      </c>
      <c r="W58" s="1"/>
      <c r="X58" s="1">
        <f t="shared" si="34"/>
        <v>-195.03000000000009</v>
      </c>
      <c r="Y58" s="1"/>
      <c r="Z58" s="5">
        <f t="shared" si="35"/>
        <v>-0.24625000000000011</v>
      </c>
    </row>
    <row r="59" spans="1:26" s="24" customFormat="1" hidden="1" outlineLevel="2" x14ac:dyDescent="0.25">
      <c r="A59" s="28"/>
      <c r="B59" s="11" t="str">
        <f>CONCATENATE("          ", "6305", " - ", "FREIGHT OUT")</f>
        <v xml:space="preserve">          6305 - FREIGHT OUT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5.41</v>
      </c>
      <c r="Q59" s="2"/>
      <c r="R59" s="6">
        <f t="shared" si="32"/>
        <v>0</v>
      </c>
      <c r="S59" s="2"/>
      <c r="T59" s="7"/>
      <c r="U59" s="2"/>
      <c r="V59" s="6">
        <f t="shared" si="33"/>
        <v>0</v>
      </c>
      <c r="W59" s="2"/>
      <c r="X59" s="7">
        <f t="shared" si="34"/>
        <v>5.41</v>
      </c>
      <c r="Y59" s="2"/>
      <c r="Z59" s="6">
        <f t="shared" si="35"/>
        <v>0</v>
      </c>
    </row>
    <row r="60" spans="1:26" s="24" customFormat="1" hidden="1" outlineLevel="2" x14ac:dyDescent="0.25">
      <c r="A60" s="28"/>
      <c r="B60" s="11" t="str">
        <f>CONCATENATE("          ", "6307", " - ", "POSTAGE")</f>
        <v xml:space="preserve">          6307 - POSTAGE</v>
      </c>
      <c r="C60" s="11"/>
      <c r="D60" s="7">
        <v>198.03</v>
      </c>
      <c r="E60" s="2"/>
      <c r="F60" s="6">
        <f t="shared" si="28"/>
        <v>0</v>
      </c>
      <c r="G60" s="2"/>
      <c r="H60" s="7">
        <v>198</v>
      </c>
      <c r="I60" s="2"/>
      <c r="J60" s="6">
        <f t="shared" si="29"/>
        <v>0</v>
      </c>
      <c r="K60" s="2"/>
      <c r="L60" s="7">
        <f t="shared" si="30"/>
        <v>3.0000000000001137E-2</v>
      </c>
      <c r="M60" s="2"/>
      <c r="N60" s="6">
        <f t="shared" si="31"/>
        <v>1.5151515151515726E-4</v>
      </c>
      <c r="O60" s="11"/>
      <c r="P60" s="7">
        <v>591.55999999999995</v>
      </c>
      <c r="Q60" s="2"/>
      <c r="R60" s="6">
        <f t="shared" si="32"/>
        <v>0</v>
      </c>
      <c r="S60" s="2"/>
      <c r="T60" s="7">
        <v>792</v>
      </c>
      <c r="U60" s="2"/>
      <c r="V60" s="6">
        <f t="shared" si="33"/>
        <v>0</v>
      </c>
      <c r="W60" s="2"/>
      <c r="X60" s="7">
        <f t="shared" si="34"/>
        <v>-200.44000000000005</v>
      </c>
      <c r="Y60" s="2"/>
      <c r="Z60" s="6">
        <f t="shared" si="35"/>
        <v>-0.25308080808080813</v>
      </c>
    </row>
    <row r="61" spans="1:26" s="27" customFormat="1" outlineLevel="1" collapsed="1" x14ac:dyDescent="0.25">
      <c r="A61" s="29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SUM(OSRRefD22_10x_0)</f>
        <v>0</v>
      </c>
      <c r="E61" s="1"/>
      <c r="F61" s="5">
        <f t="shared" ref="F61:F65" si="36">IF(D$12=0,0,D61/D$12)</f>
        <v>0</v>
      </c>
      <c r="G61" s="1"/>
      <c r="H61" s="1">
        <f>SUM(OSRRefH22_10x_0)</f>
        <v>183</v>
      </c>
      <c r="I61" s="1"/>
      <c r="J61" s="5">
        <f t="shared" ref="J61:J65" si="37">IF(H$12=0,0,H61/H$12)</f>
        <v>0</v>
      </c>
      <c r="K61" s="1"/>
      <c r="L61" s="1">
        <f t="shared" ref="L61:L65" si="38">+D61-H61</f>
        <v>-183</v>
      </c>
      <c r="M61" s="1"/>
      <c r="N61" s="5">
        <f t="shared" ref="N61:N65" si="39">IF(H61=0,0,L61/H61)</f>
        <v>-1</v>
      </c>
      <c r="O61" s="14"/>
      <c r="P61" s="1">
        <f>SUM(OSRRefP22_10x_0)</f>
        <v>166.54</v>
      </c>
      <c r="Q61" s="1"/>
      <c r="R61" s="5">
        <f t="shared" ref="R61:R65" si="40">IF(P$12=0,0,P61/P$12)</f>
        <v>0</v>
      </c>
      <c r="S61" s="1"/>
      <c r="T61" s="1">
        <f>SUM(OSRRefT22_10x_0)</f>
        <v>2032</v>
      </c>
      <c r="U61" s="1"/>
      <c r="V61" s="5">
        <f t="shared" ref="V61:V65" si="41">IF(T$12=0,0,T61/T$12)</f>
        <v>0</v>
      </c>
      <c r="W61" s="1"/>
      <c r="X61" s="1">
        <f t="shared" ref="X61:X65" si="42">+P61-T61</f>
        <v>-1865.46</v>
      </c>
      <c r="Y61" s="1"/>
      <c r="Z61" s="5">
        <f t="shared" ref="Z61:Z65" si="43">IF(T61=0,0,X61/T61)</f>
        <v>-0.91804133858267722</v>
      </c>
    </row>
    <row r="62" spans="1:26" s="24" customFormat="1" hidden="1" outlineLevel="2" x14ac:dyDescent="0.25">
      <c r="A62" s="28"/>
      <c r="B62" s="11" t="str">
        <f>CONCATENATE("          ", "6279", " - ", "GENERAL EXPENSE")</f>
        <v xml:space="preserve">          6279 - GENERAL EXPENSE</v>
      </c>
      <c r="C62" s="11"/>
      <c r="D62" s="7"/>
      <c r="E62" s="2"/>
      <c r="F62" s="6">
        <f t="shared" si="36"/>
        <v>0</v>
      </c>
      <c r="G62" s="2"/>
      <c r="H62" s="7">
        <v>183</v>
      </c>
      <c r="I62" s="2"/>
      <c r="J62" s="6">
        <f t="shared" si="37"/>
        <v>0</v>
      </c>
      <c r="K62" s="2"/>
      <c r="L62" s="7">
        <f t="shared" si="38"/>
        <v>-183</v>
      </c>
      <c r="M62" s="2"/>
      <c r="N62" s="6">
        <f t="shared" si="39"/>
        <v>-1</v>
      </c>
      <c r="O62" s="11"/>
      <c r="P62" s="7">
        <v>166.54</v>
      </c>
      <c r="Q62" s="2"/>
      <c r="R62" s="6">
        <f t="shared" si="40"/>
        <v>0</v>
      </c>
      <c r="S62" s="2"/>
      <c r="T62" s="7">
        <v>2032</v>
      </c>
      <c r="U62" s="2"/>
      <c r="V62" s="6">
        <f t="shared" si="41"/>
        <v>0</v>
      </c>
      <c r="W62" s="2"/>
      <c r="X62" s="7">
        <f t="shared" si="42"/>
        <v>-1865.46</v>
      </c>
      <c r="Y62" s="2"/>
      <c r="Z62" s="6">
        <f t="shared" si="43"/>
        <v>-0.91804133858267722</v>
      </c>
    </row>
    <row r="63" spans="1:26" s="27" customFormat="1" outlineLevel="1" collapsed="1" x14ac:dyDescent="0.25">
      <c r="A63" s="29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432</v>
      </c>
      <c r="I63" s="1"/>
      <c r="J63" s="5">
        <f t="shared" si="37"/>
        <v>0</v>
      </c>
      <c r="K63" s="1"/>
      <c r="L63" s="1">
        <f t="shared" si="38"/>
        <v>-38.329999999999984</v>
      </c>
      <c r="M63" s="1"/>
      <c r="N63" s="5">
        <f t="shared" si="39"/>
        <v>-8.8726851851851821E-2</v>
      </c>
      <c r="O63" s="14"/>
      <c r="P63" s="1">
        <f>SUM(OSRRefP22_11x_0)</f>
        <v>1574.68</v>
      </c>
      <c r="Q63" s="1"/>
      <c r="R63" s="5">
        <f t="shared" si="40"/>
        <v>0</v>
      </c>
      <c r="S63" s="1"/>
      <c r="T63" s="1">
        <f>SUM(OSRRefT22_11x_0)</f>
        <v>3047</v>
      </c>
      <c r="U63" s="1"/>
      <c r="V63" s="5">
        <f t="shared" si="41"/>
        <v>0</v>
      </c>
      <c r="W63" s="1"/>
      <c r="X63" s="1">
        <f t="shared" si="42"/>
        <v>-1472.32</v>
      </c>
      <c r="Y63" s="1"/>
      <c r="Z63" s="5">
        <f t="shared" si="43"/>
        <v>-0.48320315063997371</v>
      </c>
    </row>
    <row r="64" spans="1:26" s="24" customFormat="1" hidden="1" outlineLevel="2" x14ac:dyDescent="0.25">
      <c r="A64" s="28"/>
      <c r="B64" s="11" t="str">
        <f>CONCATENATE("          ", "6312", " - ", "FIRE &amp; THEFT INSURANCE")</f>
        <v xml:space="preserve">          6312 - FIRE &amp; THEFT INSURANCE</v>
      </c>
      <c r="C64" s="11"/>
      <c r="D64" s="7"/>
      <c r="E64" s="2"/>
      <c r="F64" s="6">
        <f t="shared" si="36"/>
        <v>0</v>
      </c>
      <c r="G64" s="2"/>
      <c r="H64" s="7"/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/>
      <c r="Q64" s="2"/>
      <c r="R64" s="6">
        <f t="shared" si="40"/>
        <v>0</v>
      </c>
      <c r="S64" s="2"/>
      <c r="T64" s="7">
        <v>780</v>
      </c>
      <c r="U64" s="2"/>
      <c r="V64" s="6">
        <f t="shared" si="41"/>
        <v>0</v>
      </c>
      <c r="W64" s="2"/>
      <c r="X64" s="7">
        <f t="shared" si="42"/>
        <v>-780</v>
      </c>
      <c r="Y64" s="2"/>
      <c r="Z64" s="6">
        <f t="shared" si="43"/>
        <v>-1</v>
      </c>
    </row>
    <row r="65" spans="1:26" s="24" customFormat="1" hidden="1" outlineLevel="2" x14ac:dyDescent="0.25">
      <c r="A65" s="28"/>
      <c r="B65" s="11" t="str">
        <f>CONCATENATE("          ", "6314", " - ", "LIABILITY INSURANCE")</f>
        <v xml:space="preserve">          6314 - LIABILITY INSURANCE</v>
      </c>
      <c r="C65" s="11"/>
      <c r="D65" s="7">
        <v>393.67</v>
      </c>
      <c r="E65" s="2"/>
      <c r="F65" s="6">
        <f t="shared" si="36"/>
        <v>0</v>
      </c>
      <c r="G65" s="2"/>
      <c r="H65" s="7">
        <v>432</v>
      </c>
      <c r="I65" s="2"/>
      <c r="J65" s="6">
        <f t="shared" si="37"/>
        <v>0</v>
      </c>
      <c r="K65" s="2"/>
      <c r="L65" s="7">
        <f t="shared" si="38"/>
        <v>-38.329999999999984</v>
      </c>
      <c r="M65" s="2"/>
      <c r="N65" s="6">
        <f t="shared" si="39"/>
        <v>-8.8726851851851821E-2</v>
      </c>
      <c r="O65" s="11"/>
      <c r="P65" s="7">
        <v>1574.68</v>
      </c>
      <c r="Q65" s="2"/>
      <c r="R65" s="6">
        <f t="shared" si="40"/>
        <v>0</v>
      </c>
      <c r="S65" s="2"/>
      <c r="T65" s="7">
        <v>2267</v>
      </c>
      <c r="U65" s="2"/>
      <c r="V65" s="6">
        <f t="shared" si="41"/>
        <v>0</v>
      </c>
      <c r="W65" s="2"/>
      <c r="X65" s="7">
        <f t="shared" si="42"/>
        <v>-692.31999999999994</v>
      </c>
      <c r="Y65" s="2"/>
      <c r="Z65" s="6">
        <f t="shared" si="43"/>
        <v>-0.30539038376709304</v>
      </c>
    </row>
    <row r="66" spans="1:26" s="27" customFormat="1" outlineLevel="1" collapsed="1" x14ac:dyDescent="0.25">
      <c r="A66" s="29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SUM(OSRRefD22_12x_0)</f>
        <v>29955.7</v>
      </c>
      <c r="E66" s="1"/>
      <c r="F66" s="5">
        <f t="shared" ref="F66:F70" si="44">IF(D$12=0,0,D66/D$12)</f>
        <v>0</v>
      </c>
      <c r="G66" s="1"/>
      <c r="H66" s="1">
        <f>SUM(OSRRefH22_12x_0)</f>
        <v>30833</v>
      </c>
      <c r="I66" s="1"/>
      <c r="J66" s="5">
        <f t="shared" ref="J66:J70" si="45">IF(H$12=0,0,H66/H$12)</f>
        <v>0</v>
      </c>
      <c r="K66" s="1"/>
      <c r="L66" s="1">
        <f t="shared" ref="L66:L70" si="46">+D66-H66</f>
        <v>-877.29999999999927</v>
      </c>
      <c r="M66" s="1"/>
      <c r="N66" s="5">
        <f t="shared" ref="N66:N70" si="47">IF(H66=0,0,L66/H66)</f>
        <v>-2.8453280576006202E-2</v>
      </c>
      <c r="O66" s="14"/>
      <c r="P66" s="1">
        <f>SUM(OSRRefP22_12x_0)</f>
        <v>53772.71</v>
      </c>
      <c r="Q66" s="1"/>
      <c r="R66" s="5">
        <f t="shared" ref="R66:R70" si="48">IF(P$12=0,0,P66/P$12)</f>
        <v>0</v>
      </c>
      <c r="S66" s="1"/>
      <c r="T66" s="1">
        <f>SUM(OSRRefT22_12x_0)</f>
        <v>64832</v>
      </c>
      <c r="U66" s="1"/>
      <c r="V66" s="5">
        <f t="shared" ref="V66:V70" si="49">IF(T$12=0,0,T66/T$12)</f>
        <v>0</v>
      </c>
      <c r="W66" s="1"/>
      <c r="X66" s="1">
        <f t="shared" ref="X66:X70" si="50">+P66-T66</f>
        <v>-11059.29</v>
      </c>
      <c r="Y66" s="1"/>
      <c r="Z66" s="5">
        <f t="shared" ref="Z66:Z70" si="51">IF(T66=0,0,X66/T66)</f>
        <v>-0.17058381663376113</v>
      </c>
    </row>
    <row r="67" spans="1:26" s="24" customFormat="1" hidden="1" outlineLevel="2" x14ac:dyDescent="0.25">
      <c r="A67" s="28"/>
      <c r="B67" s="11" t="str">
        <f>CONCATENATE("          ", "6331", " - ", "INDIRECT COSTS-AUXILIARY ORGAN")</f>
        <v xml:space="preserve">          6331 - INDIRECT COSTS-AUXILIARY ORGAN</v>
      </c>
      <c r="C67" s="11"/>
      <c r="D67" s="7">
        <v>26585.75</v>
      </c>
      <c r="E67" s="2"/>
      <c r="F67" s="6">
        <f t="shared" si="44"/>
        <v>0</v>
      </c>
      <c r="G67" s="2"/>
      <c r="H67" s="7">
        <v>28500</v>
      </c>
      <c r="I67" s="2"/>
      <c r="J67" s="6">
        <f t="shared" si="45"/>
        <v>0</v>
      </c>
      <c r="K67" s="2"/>
      <c r="L67" s="7">
        <f t="shared" si="46"/>
        <v>-1914.25</v>
      </c>
      <c r="M67" s="2"/>
      <c r="N67" s="6">
        <f t="shared" si="47"/>
        <v>-6.7166666666666666E-2</v>
      </c>
      <c r="O67" s="11"/>
      <c r="P67" s="7">
        <v>46671.5</v>
      </c>
      <c r="Q67" s="2"/>
      <c r="R67" s="6">
        <f t="shared" si="48"/>
        <v>0</v>
      </c>
      <c r="S67" s="2"/>
      <c r="T67" s="7">
        <v>54000</v>
      </c>
      <c r="U67" s="2"/>
      <c r="V67" s="6">
        <f t="shared" si="49"/>
        <v>0</v>
      </c>
      <c r="W67" s="2"/>
      <c r="X67" s="7">
        <f t="shared" si="50"/>
        <v>-7328.5</v>
      </c>
      <c r="Y67" s="2"/>
      <c r="Z67" s="6">
        <f t="shared" si="51"/>
        <v>-0.13571296296296295</v>
      </c>
    </row>
    <row r="68" spans="1:26" s="24" customFormat="1" hidden="1" outlineLevel="2" x14ac:dyDescent="0.25">
      <c r="A68" s="28"/>
      <c r="B68" s="11" t="str">
        <f>CONCATENATE("          ", "6332", " - ", "CONSULTANT FEES")</f>
        <v xml:space="preserve">          6332 - CONSULTANT FEES</v>
      </c>
      <c r="C68" s="11"/>
      <c r="D68" s="7"/>
      <c r="E68" s="2"/>
      <c r="F68" s="6">
        <f t="shared" si="44"/>
        <v>0</v>
      </c>
      <c r="G68" s="2"/>
      <c r="H68" s="7">
        <v>250</v>
      </c>
      <c r="I68" s="2"/>
      <c r="J68" s="6">
        <f t="shared" si="45"/>
        <v>0</v>
      </c>
      <c r="K68" s="2"/>
      <c r="L68" s="7">
        <f t="shared" si="46"/>
        <v>-250</v>
      </c>
      <c r="M68" s="2"/>
      <c r="N68" s="6">
        <f t="shared" si="47"/>
        <v>-1</v>
      </c>
      <c r="O68" s="11"/>
      <c r="P68" s="7"/>
      <c r="Q68" s="2"/>
      <c r="R68" s="6">
        <f t="shared" si="48"/>
        <v>0</v>
      </c>
      <c r="S68" s="2"/>
      <c r="T68" s="7">
        <v>1000</v>
      </c>
      <c r="U68" s="2"/>
      <c r="V68" s="6">
        <f t="shared" si="49"/>
        <v>0</v>
      </c>
      <c r="W68" s="2"/>
      <c r="X68" s="7">
        <f t="shared" si="50"/>
        <v>-1000</v>
      </c>
      <c r="Y68" s="2"/>
      <c r="Z68" s="6">
        <f t="shared" si="51"/>
        <v>-1</v>
      </c>
    </row>
    <row r="69" spans="1:26" s="24" customFormat="1" hidden="1" outlineLevel="2" x14ac:dyDescent="0.25">
      <c r="A69" s="28"/>
      <c r="B69" s="11" t="str">
        <f>CONCATENATE("          ", "6334", " - ", "LEGAL COUNCIL EXPENSE")</f>
        <v xml:space="preserve">          6334 - LEGAL COUNCIL EXPENSE</v>
      </c>
      <c r="C69" s="11"/>
      <c r="D69" s="7">
        <v>1665</v>
      </c>
      <c r="E69" s="2"/>
      <c r="F69" s="6">
        <f t="shared" si="44"/>
        <v>0</v>
      </c>
      <c r="G69" s="2"/>
      <c r="H69" s="7">
        <v>833</v>
      </c>
      <c r="I69" s="2"/>
      <c r="J69" s="6">
        <f t="shared" si="45"/>
        <v>0</v>
      </c>
      <c r="K69" s="2"/>
      <c r="L69" s="7">
        <f t="shared" si="46"/>
        <v>832</v>
      </c>
      <c r="M69" s="2"/>
      <c r="N69" s="6">
        <f t="shared" si="47"/>
        <v>0.99879951980792314</v>
      </c>
      <c r="O69" s="11"/>
      <c r="P69" s="7">
        <v>2815</v>
      </c>
      <c r="Q69" s="2"/>
      <c r="R69" s="6">
        <f t="shared" si="48"/>
        <v>0</v>
      </c>
      <c r="S69" s="2"/>
      <c r="T69" s="7">
        <v>4832</v>
      </c>
      <c r="U69" s="2"/>
      <c r="V69" s="6">
        <f t="shared" si="49"/>
        <v>0</v>
      </c>
      <c r="W69" s="2"/>
      <c r="X69" s="7">
        <f t="shared" si="50"/>
        <v>-2017</v>
      </c>
      <c r="Y69" s="2"/>
      <c r="Z69" s="6">
        <f t="shared" si="51"/>
        <v>-0.41742549668874174</v>
      </c>
    </row>
    <row r="70" spans="1:26" s="24" customFormat="1" hidden="1" outlineLevel="2" x14ac:dyDescent="0.25">
      <c r="A70" s="28"/>
      <c r="B70" s="11" t="str">
        <f>CONCATENATE("          ", "6336", " - ", "PROFESSIONAL SERVICES")</f>
        <v xml:space="preserve">          6336 - PROFESSIONAL SERVICES</v>
      </c>
      <c r="C70" s="11"/>
      <c r="D70" s="7">
        <v>1704.95</v>
      </c>
      <c r="E70" s="2"/>
      <c r="F70" s="6">
        <f t="shared" si="44"/>
        <v>0</v>
      </c>
      <c r="G70" s="2"/>
      <c r="H70" s="7">
        <v>1250</v>
      </c>
      <c r="I70" s="2"/>
      <c r="J70" s="6">
        <f t="shared" si="45"/>
        <v>0</v>
      </c>
      <c r="K70" s="2"/>
      <c r="L70" s="7">
        <f t="shared" si="46"/>
        <v>454.95000000000005</v>
      </c>
      <c r="M70" s="2"/>
      <c r="N70" s="6">
        <f t="shared" si="47"/>
        <v>0.36396000000000006</v>
      </c>
      <c r="O70" s="11"/>
      <c r="P70" s="7">
        <v>4286.21</v>
      </c>
      <c r="Q70" s="2"/>
      <c r="R70" s="6">
        <f t="shared" si="48"/>
        <v>0</v>
      </c>
      <c r="S70" s="2"/>
      <c r="T70" s="7">
        <v>5000</v>
      </c>
      <c r="U70" s="2"/>
      <c r="V70" s="6">
        <f t="shared" si="49"/>
        <v>0</v>
      </c>
      <c r="W70" s="2"/>
      <c r="X70" s="7">
        <f t="shared" si="50"/>
        <v>-713.79</v>
      </c>
      <c r="Y70" s="2"/>
      <c r="Z70" s="6">
        <f t="shared" si="51"/>
        <v>-0.142758</v>
      </c>
    </row>
    <row r="71" spans="1:26" s="27" customFormat="1" outlineLevel="1" collapsed="1" x14ac:dyDescent="0.25">
      <c r="A71" s="29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SUM(OSRRefD22_13x_0)</f>
        <v>23159.67</v>
      </c>
      <c r="E71" s="1"/>
      <c r="F71" s="5">
        <f t="shared" ref="F71:F75" si="52">IF(D$12=0,0,D71/D$12)</f>
        <v>0</v>
      </c>
      <c r="G71" s="1"/>
      <c r="H71" s="1">
        <f>SUM(OSRRefH22_13x_0)</f>
        <v>26402</v>
      </c>
      <c r="I71" s="1"/>
      <c r="J71" s="5">
        <f t="shared" ref="J71:J75" si="53">IF(H$12=0,0,H71/H$12)</f>
        <v>0</v>
      </c>
      <c r="K71" s="1"/>
      <c r="L71" s="1">
        <f t="shared" ref="L71:L75" si="54">+D71-H71</f>
        <v>-3242.3300000000017</v>
      </c>
      <c r="M71" s="1"/>
      <c r="N71" s="5">
        <f t="shared" ref="N71:N75" si="55">IF(H71=0,0,L71/H71)</f>
        <v>-0.12280622680099999</v>
      </c>
      <c r="O71" s="14"/>
      <c r="P71" s="1">
        <f>SUM(OSRRefP22_13x_0)</f>
        <v>79562.13</v>
      </c>
      <c r="Q71" s="1"/>
      <c r="R71" s="5">
        <f t="shared" ref="R71:R75" si="56">IF(P$12=0,0,P71/P$12)</f>
        <v>0</v>
      </c>
      <c r="S71" s="1"/>
      <c r="T71" s="1">
        <f>SUM(OSRRefT22_13x_0)</f>
        <v>93158</v>
      </c>
      <c r="U71" s="1"/>
      <c r="V71" s="5">
        <f t="shared" ref="V71:V75" si="57">IF(T$12=0,0,T71/T$12)</f>
        <v>0</v>
      </c>
      <c r="W71" s="1"/>
      <c r="X71" s="1">
        <f t="shared" ref="X71:X75" si="58">+P71-T71</f>
        <v>-13595.869999999995</v>
      </c>
      <c r="Y71" s="1"/>
      <c r="Z71" s="5">
        <f t="shared" ref="Z71:Z75" si="59">IF(T71=0,0,X71/T71)</f>
        <v>-0.14594420232293517</v>
      </c>
    </row>
    <row r="72" spans="1:26" s="24" customFormat="1" hidden="1" outlineLevel="2" x14ac:dyDescent="0.25">
      <c r="A72" s="28"/>
      <c r="B72" s="11" t="str">
        <f>CONCATENATE("          ", "6371", " - ", "COMPUTER SOFTWARE MAINTENANCE")</f>
        <v xml:space="preserve">          6371 - COMPUTER SOFTWARE MAINTENANCE</v>
      </c>
      <c r="C72" s="11"/>
      <c r="D72" s="7">
        <v>6844.26</v>
      </c>
      <c r="E72" s="2"/>
      <c r="F72" s="6">
        <f t="shared" si="52"/>
        <v>0</v>
      </c>
      <c r="G72" s="2"/>
      <c r="H72" s="7">
        <v>8470</v>
      </c>
      <c r="I72" s="2"/>
      <c r="J72" s="6">
        <f t="shared" si="53"/>
        <v>0</v>
      </c>
      <c r="K72" s="2"/>
      <c r="L72" s="7">
        <f t="shared" si="54"/>
        <v>-1625.7399999999998</v>
      </c>
      <c r="M72" s="2"/>
      <c r="N72" s="6">
        <f t="shared" si="55"/>
        <v>-0.19194096812278627</v>
      </c>
      <c r="O72" s="11"/>
      <c r="P72" s="7">
        <v>18985.27</v>
      </c>
      <c r="Q72" s="2"/>
      <c r="R72" s="6">
        <f t="shared" si="56"/>
        <v>0</v>
      </c>
      <c r="S72" s="2"/>
      <c r="T72" s="7">
        <v>33880</v>
      </c>
      <c r="U72" s="2"/>
      <c r="V72" s="6">
        <f t="shared" si="57"/>
        <v>0</v>
      </c>
      <c r="W72" s="2"/>
      <c r="X72" s="7">
        <f t="shared" si="58"/>
        <v>-14894.73</v>
      </c>
      <c r="Y72" s="2"/>
      <c r="Z72" s="6">
        <f t="shared" si="59"/>
        <v>-0.43963193624557262</v>
      </c>
    </row>
    <row r="73" spans="1:26" s="24" customFormat="1" hidden="1" outlineLevel="2" x14ac:dyDescent="0.25">
      <c r="A73" s="28"/>
      <c r="B73" s="11" t="str">
        <f>CONCATENATE("          ", "6372", " - ", "COMPUTER HARDWARE MAINTENANCE")</f>
        <v xml:space="preserve">          6372 - COMPUTER HARDWARE MAINTENANCE</v>
      </c>
      <c r="C73" s="11"/>
      <c r="D73" s="7"/>
      <c r="E73" s="2"/>
      <c r="F73" s="6">
        <f t="shared" si="52"/>
        <v>0</v>
      </c>
      <c r="G73" s="2"/>
      <c r="H73" s="7">
        <v>1600</v>
      </c>
      <c r="I73" s="2"/>
      <c r="J73" s="6">
        <f t="shared" si="53"/>
        <v>0</v>
      </c>
      <c r="K73" s="2"/>
      <c r="L73" s="7">
        <f t="shared" si="54"/>
        <v>-1600</v>
      </c>
      <c r="M73" s="2"/>
      <c r="N73" s="6">
        <f t="shared" si="55"/>
        <v>-1</v>
      </c>
      <c r="O73" s="11"/>
      <c r="P73" s="7"/>
      <c r="Q73" s="2"/>
      <c r="R73" s="6">
        <f t="shared" si="56"/>
        <v>0</v>
      </c>
      <c r="S73" s="2"/>
      <c r="T73" s="7">
        <v>6400</v>
      </c>
      <c r="U73" s="2"/>
      <c r="V73" s="6">
        <f t="shared" si="57"/>
        <v>0</v>
      </c>
      <c r="W73" s="2"/>
      <c r="X73" s="7">
        <f t="shared" si="58"/>
        <v>-6400</v>
      </c>
      <c r="Y73" s="2"/>
      <c r="Z73" s="6">
        <f t="shared" si="59"/>
        <v>-1</v>
      </c>
    </row>
    <row r="74" spans="1:26" s="24" customFormat="1" hidden="1" outlineLevel="2" x14ac:dyDescent="0.25">
      <c r="A74" s="28"/>
      <c r="B74" s="11" t="str">
        <f>CONCATENATE("          ", "6373", " - ", "MAINTENANCE CONTRACTS")</f>
        <v xml:space="preserve">          6373 - MAINTENANCE CONTRACTS</v>
      </c>
      <c r="C74" s="11"/>
      <c r="D74" s="7">
        <v>15449.409999999998</v>
      </c>
      <c r="E74" s="2"/>
      <c r="F74" s="6">
        <f t="shared" si="52"/>
        <v>0</v>
      </c>
      <c r="G74" s="2"/>
      <c r="H74" s="7">
        <v>16332</v>
      </c>
      <c r="I74" s="2"/>
      <c r="J74" s="6">
        <f t="shared" si="53"/>
        <v>0</v>
      </c>
      <c r="K74" s="2"/>
      <c r="L74" s="7">
        <f t="shared" si="54"/>
        <v>-882.59000000000196</v>
      </c>
      <c r="M74" s="2"/>
      <c r="N74" s="6">
        <f t="shared" si="55"/>
        <v>-5.4040533921136537E-2</v>
      </c>
      <c r="O74" s="11"/>
      <c r="P74" s="7">
        <v>58891.67</v>
      </c>
      <c r="Q74" s="2"/>
      <c r="R74" s="6">
        <f t="shared" si="56"/>
        <v>0</v>
      </c>
      <c r="S74" s="2"/>
      <c r="T74" s="7">
        <v>52878</v>
      </c>
      <c r="U74" s="2"/>
      <c r="V74" s="6">
        <f t="shared" si="57"/>
        <v>0</v>
      </c>
      <c r="W74" s="2"/>
      <c r="X74" s="7">
        <f t="shared" si="58"/>
        <v>6013.6699999999983</v>
      </c>
      <c r="Y74" s="2"/>
      <c r="Z74" s="6">
        <f t="shared" si="59"/>
        <v>0.11372725897348611</v>
      </c>
    </row>
    <row r="75" spans="1:26" s="24" customFormat="1" hidden="1" outlineLevel="2" x14ac:dyDescent="0.25">
      <c r="A75" s="28"/>
      <c r="B75" s="11" t="str">
        <f>CONCATENATE("          ", "6375", " - ", "OUTSIDE REPAIRS &amp; MAINTENANCE")</f>
        <v xml:space="preserve">          6375 - OUTSIDE REPAIRS &amp; MAINTENANCE</v>
      </c>
      <c r="C75" s="11"/>
      <c r="D75" s="7">
        <v>866</v>
      </c>
      <c r="E75" s="2"/>
      <c r="F75" s="6">
        <f t="shared" si="52"/>
        <v>0</v>
      </c>
      <c r="G75" s="2"/>
      <c r="H75" s="7"/>
      <c r="I75" s="2"/>
      <c r="J75" s="6">
        <f t="shared" si="53"/>
        <v>0</v>
      </c>
      <c r="K75" s="2"/>
      <c r="L75" s="7">
        <f t="shared" si="54"/>
        <v>866</v>
      </c>
      <c r="M75" s="2"/>
      <c r="N75" s="6">
        <f t="shared" si="55"/>
        <v>0</v>
      </c>
      <c r="O75" s="11"/>
      <c r="P75" s="7">
        <v>1685.19</v>
      </c>
      <c r="Q75" s="2"/>
      <c r="R75" s="6">
        <f t="shared" si="56"/>
        <v>0</v>
      </c>
      <c r="S75" s="2"/>
      <c r="T75" s="7"/>
      <c r="U75" s="2"/>
      <c r="V75" s="6">
        <f t="shared" si="57"/>
        <v>0</v>
      </c>
      <c r="W75" s="2"/>
      <c r="X75" s="7">
        <f t="shared" si="58"/>
        <v>1685.19</v>
      </c>
      <c r="Y75" s="2"/>
      <c r="Z75" s="6">
        <f t="shared" si="59"/>
        <v>0</v>
      </c>
    </row>
    <row r="76" spans="1:26" s="27" customFormat="1" outlineLevel="1" collapsed="1" x14ac:dyDescent="0.25">
      <c r="A76" s="29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SUM(OSRRefD22_14x_0)</f>
        <v>1024.96</v>
      </c>
      <c r="E76" s="1"/>
      <c r="F76" s="5">
        <f t="shared" ref="F76:F78" si="60">IF(D$12=0,0,D76/D$12)</f>
        <v>0</v>
      </c>
      <c r="G76" s="1"/>
      <c r="H76" s="1">
        <f>SUM(OSRRefH22_14x_0)</f>
        <v>525</v>
      </c>
      <c r="I76" s="1"/>
      <c r="J76" s="5">
        <f t="shared" ref="J76:J78" si="61">IF(H$12=0,0,H76/H$12)</f>
        <v>0</v>
      </c>
      <c r="K76" s="1"/>
      <c r="L76" s="1">
        <f t="shared" ref="L76:L78" si="62">+D76-H76</f>
        <v>499.96000000000004</v>
      </c>
      <c r="M76" s="1"/>
      <c r="N76" s="5">
        <f t="shared" ref="N76:N78" si="63">IF(H76=0,0,L76/H76)</f>
        <v>0.95230476190476199</v>
      </c>
      <c r="O76" s="14"/>
      <c r="P76" s="1">
        <f>SUM(OSRRefP22_14x_0)</f>
        <v>2049.92</v>
      </c>
      <c r="Q76" s="1"/>
      <c r="R76" s="5">
        <f t="shared" ref="R76:R78" si="64">IF(P$12=0,0,P76/P$12)</f>
        <v>0</v>
      </c>
      <c r="S76" s="1"/>
      <c r="T76" s="1">
        <f>SUM(OSRRefT22_14x_0)</f>
        <v>2100</v>
      </c>
      <c r="U76" s="1"/>
      <c r="V76" s="5">
        <f t="shared" ref="V76:V78" si="65">IF(T$12=0,0,T76/T$12)</f>
        <v>0</v>
      </c>
      <c r="W76" s="1"/>
      <c r="X76" s="1">
        <f t="shared" ref="X76:X78" si="66">+P76-T76</f>
        <v>-50.079999999999927</v>
      </c>
      <c r="Y76" s="1"/>
      <c r="Z76" s="5">
        <f t="shared" ref="Z76:Z78" si="67">IF(T76=0,0,X76/T76)</f>
        <v>-2.3847619047619013E-2</v>
      </c>
    </row>
    <row r="77" spans="1:26" s="24" customFormat="1" hidden="1" outlineLevel="2" x14ac:dyDescent="0.25">
      <c r="A77" s="28"/>
      <c r="B77" s="11" t="str">
        <f>CONCATENATE("          ", "6281", " - ", "STORAGE FEE")</f>
        <v xml:space="preserve">          6281 - STORAGE FEE</v>
      </c>
      <c r="C77" s="11"/>
      <c r="D77" s="7">
        <v>1024.96</v>
      </c>
      <c r="E77" s="2"/>
      <c r="F77" s="6">
        <f t="shared" si="60"/>
        <v>0</v>
      </c>
      <c r="G77" s="2"/>
      <c r="H77" s="7">
        <v>500</v>
      </c>
      <c r="I77" s="2"/>
      <c r="J77" s="6">
        <f t="shared" si="61"/>
        <v>0</v>
      </c>
      <c r="K77" s="2"/>
      <c r="L77" s="7">
        <f t="shared" si="62"/>
        <v>524.96</v>
      </c>
      <c r="M77" s="2"/>
      <c r="N77" s="6">
        <f t="shared" si="63"/>
        <v>1.04992</v>
      </c>
      <c r="O77" s="11"/>
      <c r="P77" s="7">
        <v>2049.92</v>
      </c>
      <c r="Q77" s="2"/>
      <c r="R77" s="6">
        <f t="shared" si="64"/>
        <v>0</v>
      </c>
      <c r="S77" s="2"/>
      <c r="T77" s="7">
        <v>2000</v>
      </c>
      <c r="U77" s="2"/>
      <c r="V77" s="6">
        <f t="shared" si="65"/>
        <v>0</v>
      </c>
      <c r="W77" s="2"/>
      <c r="X77" s="7">
        <f t="shared" si="66"/>
        <v>49.920000000000073</v>
      </c>
      <c r="Y77" s="2"/>
      <c r="Z77" s="6">
        <f t="shared" si="67"/>
        <v>2.4960000000000038E-2</v>
      </c>
    </row>
    <row r="78" spans="1:26" s="24" customFormat="1" hidden="1" outlineLevel="2" x14ac:dyDescent="0.25">
      <c r="A78" s="28"/>
      <c r="B78" s="11" t="str">
        <f>CONCATENATE("          ", "6286", " - ", "LAUNDRY EXPENSE")</f>
        <v xml:space="preserve">          6286 - LAUNDRY EXPENSE</v>
      </c>
      <c r="C78" s="11"/>
      <c r="D78" s="7"/>
      <c r="E78" s="2"/>
      <c r="F78" s="6">
        <f t="shared" si="60"/>
        <v>0</v>
      </c>
      <c r="G78" s="2"/>
      <c r="H78" s="7">
        <v>25</v>
      </c>
      <c r="I78" s="2"/>
      <c r="J78" s="6">
        <f t="shared" si="61"/>
        <v>0</v>
      </c>
      <c r="K78" s="2"/>
      <c r="L78" s="7">
        <f t="shared" si="62"/>
        <v>-25</v>
      </c>
      <c r="M78" s="2"/>
      <c r="N78" s="6">
        <f t="shared" si="63"/>
        <v>-1</v>
      </c>
      <c r="O78" s="11"/>
      <c r="P78" s="7"/>
      <c r="Q78" s="2"/>
      <c r="R78" s="6">
        <f t="shared" si="64"/>
        <v>0</v>
      </c>
      <c r="S78" s="2"/>
      <c r="T78" s="7">
        <v>100</v>
      </c>
      <c r="U78" s="2"/>
      <c r="V78" s="6">
        <f t="shared" si="65"/>
        <v>0</v>
      </c>
      <c r="W78" s="2"/>
      <c r="X78" s="7">
        <f t="shared" si="66"/>
        <v>-100</v>
      </c>
      <c r="Y78" s="2"/>
      <c r="Z78" s="6">
        <f t="shared" si="67"/>
        <v>-1</v>
      </c>
    </row>
    <row r="79" spans="1:26" s="27" customFormat="1" outlineLevel="1" collapsed="1" x14ac:dyDescent="0.25">
      <c r="A79" s="29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SUM(OSRRefD22_15x_0)</f>
        <v>534.99</v>
      </c>
      <c r="E79" s="1"/>
      <c r="F79" s="5">
        <f t="shared" ref="F79:F81" si="68">IF(D$12=0,0,D79/D$12)</f>
        <v>0</v>
      </c>
      <c r="G79" s="1"/>
      <c r="H79" s="1">
        <f>SUM(OSRRefH22_15x_0)</f>
        <v>455</v>
      </c>
      <c r="I79" s="1"/>
      <c r="J79" s="5">
        <f t="shared" ref="J79:J81" si="69">IF(H$12=0,0,H79/H$12)</f>
        <v>0</v>
      </c>
      <c r="K79" s="1"/>
      <c r="L79" s="1">
        <f t="shared" ref="L79:L81" si="70">+D79-H79</f>
        <v>79.990000000000009</v>
      </c>
      <c r="M79" s="1"/>
      <c r="N79" s="5">
        <f t="shared" ref="N79:N81" si="71">IF(H79=0,0,L79/H79)</f>
        <v>0.17580219780219783</v>
      </c>
      <c r="O79" s="14"/>
      <c r="P79" s="1">
        <f>SUM(OSRRefP22_15x_0)</f>
        <v>2259.9899999999998</v>
      </c>
      <c r="Q79" s="1"/>
      <c r="R79" s="5">
        <f t="shared" ref="R79:R81" si="72">IF(P$12=0,0,P79/P$12)</f>
        <v>0</v>
      </c>
      <c r="S79" s="1"/>
      <c r="T79" s="1">
        <f>SUM(OSRRefT22_15x_0)</f>
        <v>3370</v>
      </c>
      <c r="U79" s="1"/>
      <c r="V79" s="5">
        <f t="shared" ref="V79:V81" si="73">IF(T$12=0,0,T79/T$12)</f>
        <v>0</v>
      </c>
      <c r="W79" s="1"/>
      <c r="X79" s="1">
        <f t="shared" ref="X79:X81" si="74">+P79-T79</f>
        <v>-1110.0100000000002</v>
      </c>
      <c r="Y79" s="1"/>
      <c r="Z79" s="5">
        <f t="shared" ref="Z79:Z81" si="75">IF(T79=0,0,X79/T79)</f>
        <v>-0.32937982195845705</v>
      </c>
    </row>
    <row r="80" spans="1:26" s="24" customFormat="1" hidden="1" outlineLevel="2" x14ac:dyDescent="0.25">
      <c r="A80" s="28"/>
      <c r="B80" s="11" t="str">
        <f>CONCATENATE("          ", "6258", " - ", "MEMBERSHIP DUES")</f>
        <v xml:space="preserve">          6258 - MEMBERSHIP DUES</v>
      </c>
      <c r="C80" s="11"/>
      <c r="D80" s="7">
        <v>534.99</v>
      </c>
      <c r="E80" s="2"/>
      <c r="F80" s="6">
        <f t="shared" si="68"/>
        <v>0</v>
      </c>
      <c r="G80" s="2"/>
      <c r="H80" s="7">
        <v>355</v>
      </c>
      <c r="I80" s="2"/>
      <c r="J80" s="6">
        <f t="shared" si="69"/>
        <v>0</v>
      </c>
      <c r="K80" s="2"/>
      <c r="L80" s="7">
        <f t="shared" si="70"/>
        <v>179.99</v>
      </c>
      <c r="M80" s="2"/>
      <c r="N80" s="6">
        <f t="shared" si="71"/>
        <v>0.50701408450704233</v>
      </c>
      <c r="O80" s="11"/>
      <c r="P80" s="7">
        <v>2259.9899999999998</v>
      </c>
      <c r="Q80" s="2"/>
      <c r="R80" s="6">
        <f t="shared" si="72"/>
        <v>0</v>
      </c>
      <c r="S80" s="2"/>
      <c r="T80" s="7">
        <v>2970</v>
      </c>
      <c r="U80" s="2"/>
      <c r="V80" s="6">
        <f t="shared" si="73"/>
        <v>0</v>
      </c>
      <c r="W80" s="2"/>
      <c r="X80" s="7">
        <f t="shared" si="74"/>
        <v>-710.01000000000022</v>
      </c>
      <c r="Y80" s="2"/>
      <c r="Z80" s="6">
        <f t="shared" si="75"/>
        <v>-0.23906060606060614</v>
      </c>
    </row>
    <row r="81" spans="1:26" s="24" customFormat="1" hidden="1" outlineLevel="2" x14ac:dyDescent="0.25">
      <c r="A81" s="28"/>
      <c r="B81" s="11" t="str">
        <f>CONCATENATE("          ", "6275", " - ", "SUBSCRIPTIONS")</f>
        <v xml:space="preserve">          6275 - SUBSCRIPTIONS</v>
      </c>
      <c r="C81" s="11"/>
      <c r="D81" s="7"/>
      <c r="E81" s="2"/>
      <c r="F81" s="6">
        <f t="shared" si="68"/>
        <v>0</v>
      </c>
      <c r="G81" s="2"/>
      <c r="H81" s="7">
        <v>100</v>
      </c>
      <c r="I81" s="2"/>
      <c r="J81" s="6">
        <f t="shared" si="69"/>
        <v>0</v>
      </c>
      <c r="K81" s="2"/>
      <c r="L81" s="7">
        <f t="shared" si="70"/>
        <v>-100</v>
      </c>
      <c r="M81" s="2"/>
      <c r="N81" s="6">
        <f t="shared" si="71"/>
        <v>-1</v>
      </c>
      <c r="O81" s="11"/>
      <c r="P81" s="7"/>
      <c r="Q81" s="2"/>
      <c r="R81" s="6">
        <f t="shared" si="72"/>
        <v>0</v>
      </c>
      <c r="S81" s="2"/>
      <c r="T81" s="7">
        <v>400</v>
      </c>
      <c r="U81" s="2"/>
      <c r="V81" s="6">
        <f t="shared" si="73"/>
        <v>0</v>
      </c>
      <c r="W81" s="2"/>
      <c r="X81" s="7">
        <f t="shared" si="74"/>
        <v>-400</v>
      </c>
      <c r="Y81" s="2"/>
      <c r="Z81" s="6">
        <f t="shared" si="75"/>
        <v>-1</v>
      </c>
    </row>
    <row r="82" spans="1:26" s="27" customFormat="1" outlineLevel="1" collapsed="1" x14ac:dyDescent="0.25">
      <c r="A82" s="29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SUM(OSRRefD22_16x_0)</f>
        <v>482.82</v>
      </c>
      <c r="E82" s="1"/>
      <c r="F82" s="5">
        <f t="shared" ref="F82:F87" si="76">IF(D$12=0,0,D82/D$12)</f>
        <v>0</v>
      </c>
      <c r="G82" s="1"/>
      <c r="H82" s="1">
        <f>SUM(OSRRefH22_16x_0)</f>
        <v>4417</v>
      </c>
      <c r="I82" s="1"/>
      <c r="J82" s="5">
        <f t="shared" ref="J82:J87" si="77">IF(H$12=0,0,H82/H$12)</f>
        <v>0</v>
      </c>
      <c r="K82" s="1"/>
      <c r="L82" s="1">
        <f t="shared" ref="L82:L87" si="78">+D82-H82</f>
        <v>-3934.18</v>
      </c>
      <c r="M82" s="1"/>
      <c r="N82" s="5">
        <f t="shared" ref="N82:N87" si="79">IF(H82=0,0,L82/H82)</f>
        <v>-0.89069051392347742</v>
      </c>
      <c r="O82" s="14"/>
      <c r="P82" s="1">
        <f>SUM(OSRRefP22_16x_0)</f>
        <v>-1961.7000000000003</v>
      </c>
      <c r="Q82" s="1"/>
      <c r="R82" s="5">
        <f t="shared" ref="R82:R87" si="80">IF(P$12=0,0,P82/P$12)</f>
        <v>0</v>
      </c>
      <c r="S82" s="1"/>
      <c r="T82" s="1">
        <f>SUM(OSRRefT22_16x_0)</f>
        <v>35252</v>
      </c>
      <c r="U82" s="1"/>
      <c r="V82" s="5">
        <f t="shared" ref="V82:V87" si="81">IF(T$12=0,0,T82/T$12)</f>
        <v>0</v>
      </c>
      <c r="W82" s="1"/>
      <c r="X82" s="1">
        <f t="shared" ref="X82:X87" si="82">+P82-T82</f>
        <v>-37213.699999999997</v>
      </c>
      <c r="Y82" s="1"/>
      <c r="Z82" s="5">
        <f t="shared" ref="Z82:Z87" si="83">IF(T82=0,0,X82/T82)</f>
        <v>-1.0556479065017588</v>
      </c>
    </row>
    <row r="83" spans="1:26" s="24" customFormat="1" hidden="1" outlineLevel="2" x14ac:dyDescent="0.25">
      <c r="A83" s="28"/>
      <c r="B83" s="11" t="str">
        <f>CONCATENATE("          ", "6234", " - ", "EXPENDABLE SUPPLIES &amp; EQUIPMEN")</f>
        <v xml:space="preserve">          6234 - EXPENDABLE SUPPLIES &amp; EQUIPMEN</v>
      </c>
      <c r="C83" s="11"/>
      <c r="D83" s="7"/>
      <c r="E83" s="2"/>
      <c r="F83" s="6">
        <f t="shared" si="76"/>
        <v>0</v>
      </c>
      <c r="G83" s="2"/>
      <c r="H83" s="7">
        <v>1000</v>
      </c>
      <c r="I83" s="2"/>
      <c r="J83" s="6">
        <f t="shared" si="77"/>
        <v>0</v>
      </c>
      <c r="K83" s="2"/>
      <c r="L83" s="7">
        <f t="shared" si="78"/>
        <v>-1000</v>
      </c>
      <c r="M83" s="2"/>
      <c r="N83" s="6">
        <f t="shared" si="79"/>
        <v>-1</v>
      </c>
      <c r="O83" s="11"/>
      <c r="P83" s="7"/>
      <c r="Q83" s="2"/>
      <c r="R83" s="6">
        <f t="shared" si="80"/>
        <v>0</v>
      </c>
      <c r="S83" s="2"/>
      <c r="T83" s="7">
        <v>13584</v>
      </c>
      <c r="U83" s="2"/>
      <c r="V83" s="6">
        <f t="shared" si="81"/>
        <v>0</v>
      </c>
      <c r="W83" s="2"/>
      <c r="X83" s="7">
        <f t="shared" si="82"/>
        <v>-13584</v>
      </c>
      <c r="Y83" s="2"/>
      <c r="Z83" s="6">
        <f t="shared" si="83"/>
        <v>-1</v>
      </c>
    </row>
    <row r="84" spans="1:26" s="24" customFormat="1" hidden="1" outlineLevel="2" x14ac:dyDescent="0.25">
      <c r="A84" s="28"/>
      <c r="B84" s="11" t="str">
        <f>CONCATENATE("          ", "6235", " - ", "COVID-19 EXPENSES")</f>
        <v xml:space="preserve">          6235 - COVID-19 EXPENSES</v>
      </c>
      <c r="C84" s="11"/>
      <c r="D84" s="7"/>
      <c r="E84" s="2"/>
      <c r="F84" s="6">
        <f t="shared" si="76"/>
        <v>0</v>
      </c>
      <c r="G84" s="2"/>
      <c r="H84" s="7">
        <v>417</v>
      </c>
      <c r="I84" s="2"/>
      <c r="J84" s="6">
        <f t="shared" si="77"/>
        <v>0</v>
      </c>
      <c r="K84" s="2"/>
      <c r="L84" s="7">
        <f t="shared" si="78"/>
        <v>-417</v>
      </c>
      <c r="M84" s="2"/>
      <c r="N84" s="6">
        <f t="shared" si="79"/>
        <v>-1</v>
      </c>
      <c r="O84" s="11"/>
      <c r="P84" s="7">
        <v>744.18</v>
      </c>
      <c r="Q84" s="2"/>
      <c r="R84" s="6">
        <f t="shared" si="80"/>
        <v>0</v>
      </c>
      <c r="S84" s="2"/>
      <c r="T84" s="7">
        <v>2168</v>
      </c>
      <c r="U84" s="2"/>
      <c r="V84" s="6">
        <f t="shared" si="81"/>
        <v>0</v>
      </c>
      <c r="W84" s="2"/>
      <c r="X84" s="7">
        <f t="shared" si="82"/>
        <v>-1423.8200000000002</v>
      </c>
      <c r="Y84" s="2"/>
      <c r="Z84" s="6">
        <f t="shared" si="83"/>
        <v>-0.65674354243542443</v>
      </c>
    </row>
    <row r="85" spans="1:26" s="24" customFormat="1" hidden="1" outlineLevel="2" x14ac:dyDescent="0.25">
      <c r="A85" s="28"/>
      <c r="B85" s="11" t="str">
        <f>CONCATENATE("          ", "6241", " - ", "OFFICE EXPENSE")</f>
        <v xml:space="preserve">          6241 - OFFICE EXPENSE</v>
      </c>
      <c r="C85" s="11"/>
      <c r="D85" s="7">
        <v>457.82</v>
      </c>
      <c r="E85" s="2"/>
      <c r="F85" s="6">
        <f t="shared" si="76"/>
        <v>0</v>
      </c>
      <c r="G85" s="2"/>
      <c r="H85" s="7">
        <v>2583</v>
      </c>
      <c r="I85" s="2"/>
      <c r="J85" s="6">
        <f t="shared" si="77"/>
        <v>0</v>
      </c>
      <c r="K85" s="2"/>
      <c r="L85" s="7">
        <f t="shared" si="78"/>
        <v>-2125.1799999999998</v>
      </c>
      <c r="M85" s="2"/>
      <c r="N85" s="6">
        <f t="shared" si="79"/>
        <v>-0.82275648470770413</v>
      </c>
      <c r="O85" s="11"/>
      <c r="P85" s="7">
        <v>-2928.59</v>
      </c>
      <c r="Q85" s="2"/>
      <c r="R85" s="6">
        <f t="shared" si="80"/>
        <v>0</v>
      </c>
      <c r="S85" s="2"/>
      <c r="T85" s="7">
        <v>12832</v>
      </c>
      <c r="U85" s="2"/>
      <c r="V85" s="6">
        <f t="shared" si="81"/>
        <v>0</v>
      </c>
      <c r="W85" s="2"/>
      <c r="X85" s="7">
        <f t="shared" si="82"/>
        <v>-15760.59</v>
      </c>
      <c r="Y85" s="2"/>
      <c r="Z85" s="6">
        <f t="shared" si="83"/>
        <v>-1.228225529925187</v>
      </c>
    </row>
    <row r="86" spans="1:26" s="24" customFormat="1" hidden="1" outlineLevel="2" x14ac:dyDescent="0.25">
      <c r="A86" s="28"/>
      <c r="B86" s="11" t="str">
        <f>CONCATENATE("          ", "6244", " - ", "SAFETY SUPPLY EXPENSE")</f>
        <v xml:space="preserve">          6244 - SAFETY SUPPLY EXPENSE</v>
      </c>
      <c r="C86" s="11"/>
      <c r="D86" s="7">
        <v>25</v>
      </c>
      <c r="E86" s="2"/>
      <c r="F86" s="6">
        <f t="shared" si="76"/>
        <v>0</v>
      </c>
      <c r="G86" s="2"/>
      <c r="H86" s="7">
        <v>417</v>
      </c>
      <c r="I86" s="2"/>
      <c r="J86" s="6">
        <f t="shared" si="77"/>
        <v>0</v>
      </c>
      <c r="K86" s="2"/>
      <c r="L86" s="7">
        <f t="shared" si="78"/>
        <v>-392</v>
      </c>
      <c r="M86" s="2"/>
      <c r="N86" s="6">
        <f t="shared" si="79"/>
        <v>-0.94004796163069548</v>
      </c>
      <c r="O86" s="11"/>
      <c r="P86" s="7">
        <v>222.71</v>
      </c>
      <c r="Q86" s="2"/>
      <c r="R86" s="6">
        <f t="shared" si="80"/>
        <v>0</v>
      </c>
      <c r="S86" s="2"/>
      <c r="T86" s="7">
        <v>1668</v>
      </c>
      <c r="U86" s="2"/>
      <c r="V86" s="6">
        <f t="shared" si="81"/>
        <v>0</v>
      </c>
      <c r="W86" s="2"/>
      <c r="X86" s="7">
        <f t="shared" si="82"/>
        <v>-1445.29</v>
      </c>
      <c r="Y86" s="2"/>
      <c r="Z86" s="6">
        <f t="shared" si="83"/>
        <v>-0.86648081534772181</v>
      </c>
    </row>
    <row r="87" spans="1:26" s="24" customFormat="1" hidden="1" outlineLevel="2" x14ac:dyDescent="0.25">
      <c r="A87" s="28"/>
      <c r="B87" s="11" t="str">
        <f>CONCATENATE("          ", "6247", " - ", "STORE SUPPLIES")</f>
        <v xml:space="preserve">          6247 - STORE SUPPLIES</v>
      </c>
      <c r="C87" s="11"/>
      <c r="D87" s="7"/>
      <c r="E87" s="2"/>
      <c r="F87" s="6">
        <f t="shared" si="76"/>
        <v>0</v>
      </c>
      <c r="G87" s="2"/>
      <c r="H87" s="7"/>
      <c r="I87" s="2"/>
      <c r="J87" s="6">
        <f t="shared" si="77"/>
        <v>0</v>
      </c>
      <c r="K87" s="2"/>
      <c r="L87" s="7">
        <f t="shared" si="78"/>
        <v>0</v>
      </c>
      <c r="M87" s="2"/>
      <c r="N87" s="6">
        <f t="shared" si="79"/>
        <v>0</v>
      </c>
      <c r="O87" s="11"/>
      <c r="P87" s="7"/>
      <c r="Q87" s="2"/>
      <c r="R87" s="6">
        <f t="shared" si="80"/>
        <v>0</v>
      </c>
      <c r="S87" s="2"/>
      <c r="T87" s="7">
        <v>5000</v>
      </c>
      <c r="U87" s="2"/>
      <c r="V87" s="6">
        <f t="shared" si="81"/>
        <v>0</v>
      </c>
      <c r="W87" s="2"/>
      <c r="X87" s="7">
        <f t="shared" si="82"/>
        <v>-5000</v>
      </c>
      <c r="Y87" s="2"/>
      <c r="Z87" s="6">
        <f t="shared" si="83"/>
        <v>-1</v>
      </c>
    </row>
    <row r="88" spans="1:26" s="27" customFormat="1" outlineLevel="1" collapsed="1" x14ac:dyDescent="0.25">
      <c r="A88" s="29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SUM(OSRRefD22_17x_0)</f>
        <v>1888.1</v>
      </c>
      <c r="E88" s="1"/>
      <c r="F88" s="5">
        <f t="shared" ref="F88:F90" si="84">IF(D$12=0,0,D88/D$12)</f>
        <v>0</v>
      </c>
      <c r="G88" s="1"/>
      <c r="H88" s="1">
        <f>SUM(OSRRefH22_17x_0)</f>
        <v>1435</v>
      </c>
      <c r="I88" s="1"/>
      <c r="J88" s="5">
        <f t="shared" ref="J88:J90" si="85">IF(H$12=0,0,H88/H$12)</f>
        <v>0</v>
      </c>
      <c r="K88" s="1"/>
      <c r="L88" s="1">
        <f t="shared" ref="L88:L90" si="86">+D88-H88</f>
        <v>453.09999999999991</v>
      </c>
      <c r="M88" s="1"/>
      <c r="N88" s="5">
        <f t="shared" ref="N88:N90" si="87">IF(H88=0,0,L88/H88)</f>
        <v>0.31574912891986057</v>
      </c>
      <c r="O88" s="14"/>
      <c r="P88" s="1">
        <f>SUM(OSRRefP22_17x_0)</f>
        <v>8168.2</v>
      </c>
      <c r="Q88" s="1"/>
      <c r="R88" s="5">
        <f t="shared" ref="R88:R90" si="88">IF(P$12=0,0,P88/P$12)</f>
        <v>0</v>
      </c>
      <c r="S88" s="1"/>
      <c r="T88" s="1">
        <f>SUM(OSRRefT22_17x_0)</f>
        <v>7690</v>
      </c>
      <c r="U88" s="1"/>
      <c r="V88" s="5">
        <f t="shared" ref="V88:V90" si="89">IF(T$12=0,0,T88/T$12)</f>
        <v>0</v>
      </c>
      <c r="W88" s="1"/>
      <c r="X88" s="1">
        <f t="shared" ref="X88:X90" si="90">+P88-T88</f>
        <v>478.19999999999982</v>
      </c>
      <c r="Y88" s="1"/>
      <c r="Z88" s="5">
        <f t="shared" ref="Z88:Z90" si="91">IF(T88=0,0,X88/T88)</f>
        <v>6.2184655396618965E-2</v>
      </c>
    </row>
    <row r="89" spans="1:26" s="24" customFormat="1" hidden="1" outlineLevel="2" x14ac:dyDescent="0.25">
      <c r="A89" s="28"/>
      <c r="B89" s="11" t="str">
        <f>CONCATENATE("          ", "6303", " - ", "DATA PHONE LINES")</f>
        <v xml:space="preserve">          6303 - DATA PHONE LINES</v>
      </c>
      <c r="C89" s="11"/>
      <c r="D89" s="7">
        <v>143.97999999999999</v>
      </c>
      <c r="E89" s="2"/>
      <c r="F89" s="6">
        <f t="shared" si="84"/>
        <v>0</v>
      </c>
      <c r="G89" s="2"/>
      <c r="H89" s="7">
        <v>335</v>
      </c>
      <c r="I89" s="2"/>
      <c r="J89" s="6">
        <f t="shared" si="85"/>
        <v>0</v>
      </c>
      <c r="K89" s="2"/>
      <c r="L89" s="7">
        <f t="shared" si="86"/>
        <v>-191.02</v>
      </c>
      <c r="M89" s="2"/>
      <c r="N89" s="6">
        <f t="shared" si="87"/>
        <v>-0.5702089552238806</v>
      </c>
      <c r="O89" s="11"/>
      <c r="P89" s="7">
        <v>380.95</v>
      </c>
      <c r="Q89" s="2"/>
      <c r="R89" s="6">
        <f t="shared" si="88"/>
        <v>0</v>
      </c>
      <c r="S89" s="2"/>
      <c r="T89" s="7">
        <v>3140</v>
      </c>
      <c r="U89" s="2"/>
      <c r="V89" s="6">
        <f t="shared" si="89"/>
        <v>0</v>
      </c>
      <c r="W89" s="2"/>
      <c r="X89" s="7">
        <f t="shared" si="90"/>
        <v>-2759.05</v>
      </c>
      <c r="Y89" s="2"/>
      <c r="Z89" s="6">
        <f t="shared" si="91"/>
        <v>-0.87867834394904465</v>
      </c>
    </row>
    <row r="90" spans="1:26" s="24" customFormat="1" hidden="1" outlineLevel="2" x14ac:dyDescent="0.25">
      <c r="A90" s="28"/>
      <c r="B90" s="11" t="str">
        <f>CONCATENATE("          ", "6309", " - ", "TELEPHONE")</f>
        <v xml:space="preserve">          6309 - TELEPHONE</v>
      </c>
      <c r="C90" s="11"/>
      <c r="D90" s="7">
        <v>1744.12</v>
      </c>
      <c r="E90" s="2"/>
      <c r="F90" s="6">
        <f t="shared" si="84"/>
        <v>0</v>
      </c>
      <c r="G90" s="2"/>
      <c r="H90" s="7">
        <v>1100</v>
      </c>
      <c r="I90" s="2"/>
      <c r="J90" s="6">
        <f t="shared" si="85"/>
        <v>0</v>
      </c>
      <c r="K90" s="2"/>
      <c r="L90" s="7">
        <f t="shared" si="86"/>
        <v>644.11999999999989</v>
      </c>
      <c r="M90" s="2"/>
      <c r="N90" s="6">
        <f t="shared" si="87"/>
        <v>0.58556363636363629</v>
      </c>
      <c r="O90" s="11"/>
      <c r="P90" s="7">
        <v>7787.25</v>
      </c>
      <c r="Q90" s="2"/>
      <c r="R90" s="6">
        <f t="shared" si="88"/>
        <v>0</v>
      </c>
      <c r="S90" s="2"/>
      <c r="T90" s="7">
        <v>4550</v>
      </c>
      <c r="U90" s="2"/>
      <c r="V90" s="6">
        <f t="shared" si="89"/>
        <v>0</v>
      </c>
      <c r="W90" s="2"/>
      <c r="X90" s="7">
        <f t="shared" si="90"/>
        <v>3237.25</v>
      </c>
      <c r="Y90" s="2"/>
      <c r="Z90" s="6">
        <f t="shared" si="91"/>
        <v>0.71148351648351649</v>
      </c>
    </row>
    <row r="91" spans="1:26" s="27" customFormat="1" outlineLevel="1" collapsed="1" x14ac:dyDescent="0.25">
      <c r="A91" s="29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SUM(OSRRefD22_18x_0)</f>
        <v>199</v>
      </c>
      <c r="E91" s="1"/>
      <c r="F91" s="5">
        <f t="shared" ref="F91:F95" si="92">IF(D$12=0,0,D91/D$12)</f>
        <v>0</v>
      </c>
      <c r="G91" s="1"/>
      <c r="H91" s="1">
        <f>SUM(OSRRefH22_18x_0)</f>
        <v>1196</v>
      </c>
      <c r="I91" s="1"/>
      <c r="J91" s="5">
        <f t="shared" ref="J91:J95" si="93">IF(H$12=0,0,H91/H$12)</f>
        <v>0</v>
      </c>
      <c r="K91" s="1"/>
      <c r="L91" s="1">
        <f t="shared" ref="L91:L95" si="94">+D91-H91</f>
        <v>-997</v>
      </c>
      <c r="M91" s="1"/>
      <c r="N91" s="5">
        <f t="shared" ref="N91:N95" si="95">IF(H91=0,0,L91/H91)</f>
        <v>-0.83361204013377932</v>
      </c>
      <c r="O91" s="14"/>
      <c r="P91" s="1">
        <f>SUM(OSRRefP22_18x_0)</f>
        <v>301</v>
      </c>
      <c r="Q91" s="1"/>
      <c r="R91" s="5">
        <f t="shared" ref="R91:R95" si="96">IF(P$12=0,0,P91/P$12)</f>
        <v>0</v>
      </c>
      <c r="S91" s="1"/>
      <c r="T91" s="1">
        <f>SUM(OSRRefT22_18x_0)</f>
        <v>6934</v>
      </c>
      <c r="U91" s="1"/>
      <c r="V91" s="5">
        <f t="shared" ref="V91:V95" si="97">IF(T$12=0,0,T91/T$12)</f>
        <v>0</v>
      </c>
      <c r="W91" s="1"/>
      <c r="X91" s="1">
        <f t="shared" ref="X91:X95" si="98">+P91-T91</f>
        <v>-6633</v>
      </c>
      <c r="Y91" s="1"/>
      <c r="Z91" s="5">
        <f t="shared" ref="Z91:Z95" si="99">IF(T91=0,0,X91/T91)</f>
        <v>-0.95659071243149696</v>
      </c>
    </row>
    <row r="92" spans="1:26" s="24" customFormat="1" hidden="1" outlineLevel="2" x14ac:dyDescent="0.25">
      <c r="A92" s="28"/>
      <c r="B92" s="11" t="str">
        <f>CONCATENATE("          ", "6376", " - ", "TRAINING")</f>
        <v xml:space="preserve">          6376 - TRAINING</v>
      </c>
      <c r="C92" s="11"/>
      <c r="D92" s="7">
        <v>199</v>
      </c>
      <c r="E92" s="2"/>
      <c r="F92" s="6">
        <f t="shared" si="92"/>
        <v>0</v>
      </c>
      <c r="G92" s="2"/>
      <c r="H92" s="7">
        <v>1196</v>
      </c>
      <c r="I92" s="2"/>
      <c r="J92" s="6">
        <f t="shared" si="93"/>
        <v>0</v>
      </c>
      <c r="K92" s="2"/>
      <c r="L92" s="7">
        <f t="shared" si="94"/>
        <v>-997</v>
      </c>
      <c r="M92" s="2"/>
      <c r="N92" s="6">
        <f t="shared" si="95"/>
        <v>-0.83361204013377932</v>
      </c>
      <c r="O92" s="11"/>
      <c r="P92" s="7">
        <v>301</v>
      </c>
      <c r="Q92" s="2"/>
      <c r="R92" s="6">
        <f t="shared" si="96"/>
        <v>0</v>
      </c>
      <c r="S92" s="2"/>
      <c r="T92" s="7">
        <v>6934</v>
      </c>
      <c r="U92" s="2"/>
      <c r="V92" s="6">
        <f t="shared" si="97"/>
        <v>0</v>
      </c>
      <c r="W92" s="2"/>
      <c r="X92" s="7">
        <f t="shared" si="98"/>
        <v>-6633</v>
      </c>
      <c r="Y92" s="2"/>
      <c r="Z92" s="6">
        <f t="shared" si="99"/>
        <v>-0.95659071243149696</v>
      </c>
    </row>
    <row r="93" spans="1:26" s="27" customFormat="1" outlineLevel="1" collapsed="1" x14ac:dyDescent="0.25">
      <c r="A93" s="29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SUM(OSRRefD22_19x_0)</f>
        <v>29.07</v>
      </c>
      <c r="E93" s="1"/>
      <c r="F93" s="5">
        <f t="shared" si="92"/>
        <v>0</v>
      </c>
      <c r="G93" s="1"/>
      <c r="H93" s="1">
        <f>SUM(OSRRefH22_19x_0)</f>
        <v>625</v>
      </c>
      <c r="I93" s="1"/>
      <c r="J93" s="5">
        <f t="shared" si="93"/>
        <v>0</v>
      </c>
      <c r="K93" s="1"/>
      <c r="L93" s="1">
        <f t="shared" si="94"/>
        <v>-595.92999999999995</v>
      </c>
      <c r="M93" s="1"/>
      <c r="N93" s="5">
        <f t="shared" si="95"/>
        <v>-0.95348799999999989</v>
      </c>
      <c r="O93" s="14"/>
      <c r="P93" s="1">
        <f>SUM(OSRRefP22_19x_0)</f>
        <v>46.62</v>
      </c>
      <c r="Q93" s="1"/>
      <c r="R93" s="5">
        <f t="shared" si="96"/>
        <v>0</v>
      </c>
      <c r="S93" s="1"/>
      <c r="T93" s="1">
        <f>SUM(OSRRefT22_19x_0)</f>
        <v>2600</v>
      </c>
      <c r="U93" s="1"/>
      <c r="V93" s="5">
        <f t="shared" si="97"/>
        <v>0</v>
      </c>
      <c r="W93" s="1"/>
      <c r="X93" s="1">
        <f t="shared" si="98"/>
        <v>-2553.38</v>
      </c>
      <c r="Y93" s="1"/>
      <c r="Z93" s="5">
        <f t="shared" si="99"/>
        <v>-0.98206923076923081</v>
      </c>
    </row>
    <row r="94" spans="1:26" s="24" customFormat="1" hidden="1" outlineLevel="2" x14ac:dyDescent="0.25">
      <c r="A94" s="28"/>
      <c r="B94" s="11" t="str">
        <f>CONCATENATE("          ", "6292", " - ", "TRAVEL/CONFERENCE")</f>
        <v xml:space="preserve">          6292 - TRAVEL/CONFERENCE</v>
      </c>
      <c r="C94" s="11"/>
      <c r="D94" s="7"/>
      <c r="E94" s="2"/>
      <c r="F94" s="6">
        <f t="shared" si="92"/>
        <v>0</v>
      </c>
      <c r="G94" s="2"/>
      <c r="H94" s="7">
        <v>625</v>
      </c>
      <c r="I94" s="2"/>
      <c r="J94" s="6">
        <f t="shared" si="93"/>
        <v>0</v>
      </c>
      <c r="K94" s="2"/>
      <c r="L94" s="7">
        <f t="shared" si="94"/>
        <v>-625</v>
      </c>
      <c r="M94" s="2"/>
      <c r="N94" s="6">
        <f t="shared" si="95"/>
        <v>-1</v>
      </c>
      <c r="O94" s="11"/>
      <c r="P94" s="7"/>
      <c r="Q94" s="2"/>
      <c r="R94" s="6">
        <f t="shared" si="96"/>
        <v>0</v>
      </c>
      <c r="S94" s="2"/>
      <c r="T94" s="7">
        <v>2500</v>
      </c>
      <c r="U94" s="2"/>
      <c r="V94" s="6">
        <f t="shared" si="97"/>
        <v>0</v>
      </c>
      <c r="W94" s="2"/>
      <c r="X94" s="7">
        <f t="shared" si="98"/>
        <v>-2500</v>
      </c>
      <c r="Y94" s="2"/>
      <c r="Z94" s="6">
        <f t="shared" si="99"/>
        <v>-1</v>
      </c>
    </row>
    <row r="95" spans="1:26" s="24" customFormat="1" hidden="1" outlineLevel="2" x14ac:dyDescent="0.25">
      <c r="A95" s="28"/>
      <c r="B95" s="11" t="str">
        <f>CONCATENATE("          ", "6294", " - ", "TRAVEL OPERATIONAL")</f>
        <v xml:space="preserve">          6294 - TRAVEL OPERATIONAL</v>
      </c>
      <c r="C95" s="11"/>
      <c r="D95" s="7">
        <v>29.07</v>
      </c>
      <c r="E95" s="2"/>
      <c r="F95" s="6">
        <f t="shared" si="92"/>
        <v>0</v>
      </c>
      <c r="G95" s="2"/>
      <c r="H95" s="7"/>
      <c r="I95" s="2"/>
      <c r="J95" s="6">
        <f t="shared" si="93"/>
        <v>0</v>
      </c>
      <c r="K95" s="2"/>
      <c r="L95" s="7">
        <f t="shared" si="94"/>
        <v>29.07</v>
      </c>
      <c r="M95" s="2"/>
      <c r="N95" s="6">
        <f t="shared" si="95"/>
        <v>0</v>
      </c>
      <c r="O95" s="11"/>
      <c r="P95" s="7">
        <v>46.62</v>
      </c>
      <c r="Q95" s="2"/>
      <c r="R95" s="6">
        <f t="shared" si="96"/>
        <v>0</v>
      </c>
      <c r="S95" s="2"/>
      <c r="T95" s="7">
        <v>100</v>
      </c>
      <c r="U95" s="2"/>
      <c r="V95" s="6">
        <f t="shared" si="97"/>
        <v>0</v>
      </c>
      <c r="W95" s="2"/>
      <c r="X95" s="7">
        <f t="shared" si="98"/>
        <v>-53.38</v>
      </c>
      <c r="Y95" s="2"/>
      <c r="Z95" s="6">
        <f t="shared" si="99"/>
        <v>-0.53380000000000005</v>
      </c>
    </row>
    <row r="96" spans="1:26" s="63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5" t="s">
        <v>0</v>
      </c>
      <c r="C97" s="10"/>
      <c r="D97" s="4">
        <f>SUM(OSRRefD25x_0)</f>
        <v>0</v>
      </c>
      <c r="E97" s="4"/>
      <c r="F97" s="12">
        <f t="shared" ref="F97:F100" si="100">IF(D$12=0,0,D97/D$12)</f>
        <v>0</v>
      </c>
      <c r="G97" s="4"/>
      <c r="H97" s="4">
        <f>SUM(OSRRefH25x_0)</f>
        <v>0</v>
      </c>
      <c r="I97" s="4"/>
      <c r="J97" s="12">
        <f t="shared" ref="J97:J100" si="101">IF(H$12=0,0,H97/H$12)</f>
        <v>0</v>
      </c>
      <c r="K97" s="4"/>
      <c r="L97" s="4">
        <f t="shared" ref="L97:L100" si="102">+D97-H97</f>
        <v>0</v>
      </c>
      <c r="M97" s="4"/>
      <c r="N97" s="12">
        <f t="shared" ref="N97:N100" si="103">IF(H97=0,0,L97/H97)</f>
        <v>0</v>
      </c>
      <c r="O97" s="10"/>
      <c r="P97" s="4">
        <f>SUM(OSRRefP25x_0)</f>
        <v>0</v>
      </c>
      <c r="Q97" s="4"/>
      <c r="R97" s="12">
        <f t="shared" ref="R97:R100" si="104">IF(P$12=0,0,P97/P$12)</f>
        <v>0</v>
      </c>
      <c r="S97" s="4"/>
      <c r="T97" s="4">
        <f>SUM(OSRRefT25x_0)</f>
        <v>0</v>
      </c>
      <c r="U97" s="4"/>
      <c r="V97" s="12">
        <f t="shared" ref="V97:V100" si="105">IF(T$12=0,0,T97/T$12)</f>
        <v>0</v>
      </c>
      <c r="W97" s="4"/>
      <c r="X97" s="4">
        <f t="shared" ref="X97:X100" si="106">+P97-T97</f>
        <v>0</v>
      </c>
      <c r="Y97" s="4"/>
      <c r="Z97" s="12">
        <f t="shared" ref="Z97:Z100" si="107">IF(T97=0,0,X97/T97)</f>
        <v>0</v>
      </c>
    </row>
    <row r="98" spans="1:26" s="24" customFormat="1" hidden="1" outlineLevel="1" x14ac:dyDescent="0.25">
      <c r="A98" s="51"/>
      <c r="B98" s="11" t="str">
        <f>CONCATENATE("          ", "9150", " - ", "MISC. INCOME")</f>
        <v xml:space="preserve">          9150 - MISC. INCOME</v>
      </c>
      <c r="C98" s="11"/>
      <c r="D98" s="2">
        <f t="shared" ref="D98:D100" si="108">0</f>
        <v>0</v>
      </c>
      <c r="E98" s="2"/>
      <c r="F98" s="22">
        <f t="shared" si="100"/>
        <v>0</v>
      </c>
      <c r="G98" s="2"/>
      <c r="H98" s="2"/>
      <c r="I98" s="2"/>
      <c r="J98" s="22">
        <f t="shared" si="101"/>
        <v>0</v>
      </c>
      <c r="K98" s="2"/>
      <c r="L98" s="2">
        <f t="shared" si="102"/>
        <v>0</v>
      </c>
      <c r="M98" s="2"/>
      <c r="N98" s="22">
        <f t="shared" si="103"/>
        <v>0</v>
      </c>
      <c r="O98" s="11"/>
      <c r="P98" s="2">
        <f t="shared" ref="P98:P100" si="109">0</f>
        <v>0</v>
      </c>
      <c r="Q98" s="2"/>
      <c r="R98" s="22">
        <f t="shared" si="104"/>
        <v>0</v>
      </c>
      <c r="S98" s="2"/>
      <c r="T98" s="2">
        <v>0</v>
      </c>
      <c r="U98" s="2"/>
      <c r="V98" s="22">
        <f t="shared" si="105"/>
        <v>0</v>
      </c>
      <c r="W98" s="2"/>
      <c r="X98" s="2">
        <f t="shared" si="106"/>
        <v>0</v>
      </c>
      <c r="Y98" s="2"/>
      <c r="Z98" s="22">
        <f t="shared" si="107"/>
        <v>0</v>
      </c>
    </row>
    <row r="99" spans="1:26" s="24" customFormat="1" hidden="1" outlineLevel="1" x14ac:dyDescent="0.25">
      <c r="A99" s="51"/>
      <c r="B99" s="11" t="str">
        <f>CONCATENATE("          ", "9151", " - ", "MISC. INCOME")</f>
        <v xml:space="preserve">          9151 - MISC. INCOME</v>
      </c>
      <c r="C99" s="11"/>
      <c r="D99" s="2">
        <f t="shared" si="108"/>
        <v>0</v>
      </c>
      <c r="E99" s="2"/>
      <c r="F99" s="22">
        <f t="shared" si="100"/>
        <v>0</v>
      </c>
      <c r="G99" s="2"/>
      <c r="H99" s="2"/>
      <c r="I99" s="2"/>
      <c r="J99" s="22">
        <f t="shared" si="101"/>
        <v>0</v>
      </c>
      <c r="K99" s="2"/>
      <c r="L99" s="2">
        <f t="shared" si="102"/>
        <v>0</v>
      </c>
      <c r="M99" s="2"/>
      <c r="N99" s="22">
        <f t="shared" si="103"/>
        <v>0</v>
      </c>
      <c r="O99" s="11"/>
      <c r="P99" s="2">
        <f t="shared" si="109"/>
        <v>0</v>
      </c>
      <c r="Q99" s="2"/>
      <c r="R99" s="22">
        <f t="shared" si="104"/>
        <v>0</v>
      </c>
      <c r="S99" s="2"/>
      <c r="T99" s="2">
        <v>0</v>
      </c>
      <c r="U99" s="2"/>
      <c r="V99" s="22">
        <f t="shared" si="105"/>
        <v>0</v>
      </c>
      <c r="W99" s="2"/>
      <c r="X99" s="2">
        <f t="shared" si="106"/>
        <v>0</v>
      </c>
      <c r="Y99" s="2"/>
      <c r="Z99" s="22">
        <f t="shared" si="107"/>
        <v>0</v>
      </c>
    </row>
    <row r="100" spans="1:26" s="24" customFormat="1" hidden="1" outlineLevel="1" x14ac:dyDescent="0.25">
      <c r="A100" s="51"/>
      <c r="B100" s="11" t="str">
        <f>CONCATENATE("          ", "9160", " - ", "MISC. INCOME")</f>
        <v xml:space="preserve">          9160 - MISC. INCOME</v>
      </c>
      <c r="C100" s="11"/>
      <c r="D100" s="2">
        <f t="shared" si="108"/>
        <v>0</v>
      </c>
      <c r="E100" s="2"/>
      <c r="F100" s="22">
        <f t="shared" si="100"/>
        <v>0</v>
      </c>
      <c r="G100" s="2"/>
      <c r="H100" s="2"/>
      <c r="I100" s="2"/>
      <c r="J100" s="22">
        <f t="shared" si="101"/>
        <v>0</v>
      </c>
      <c r="K100" s="2"/>
      <c r="L100" s="2">
        <f t="shared" si="102"/>
        <v>0</v>
      </c>
      <c r="M100" s="2"/>
      <c r="N100" s="22">
        <f t="shared" si="103"/>
        <v>0</v>
      </c>
      <c r="O100" s="11"/>
      <c r="P100" s="2">
        <f t="shared" si="109"/>
        <v>0</v>
      </c>
      <c r="Q100" s="2"/>
      <c r="R100" s="22">
        <f t="shared" si="104"/>
        <v>0</v>
      </c>
      <c r="S100" s="2"/>
      <c r="T100" s="2">
        <v>0</v>
      </c>
      <c r="U100" s="2"/>
      <c r="V100" s="22">
        <f t="shared" si="105"/>
        <v>0</v>
      </c>
      <c r="W100" s="2"/>
      <c r="X100" s="2">
        <f t="shared" si="106"/>
        <v>0</v>
      </c>
      <c r="Y100" s="2"/>
      <c r="Z100" s="22">
        <f t="shared" si="107"/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6" t="s">
        <v>3</v>
      </c>
      <c r="C102" s="26"/>
      <c r="D102" s="20">
        <f>+D17-D19+D97</f>
        <v>-259749.95</v>
      </c>
      <c r="E102" s="13"/>
      <c r="F102" s="19">
        <f>IF(D$12=0,0,D102/D$12)</f>
        <v>0</v>
      </c>
      <c r="G102" s="13"/>
      <c r="H102" s="20">
        <f>+H17-H19+H97</f>
        <v>-306355.42555769242</v>
      </c>
      <c r="I102" s="13"/>
      <c r="J102" s="19">
        <f>IF(H$12=0,0,H102/H$12)</f>
        <v>0</v>
      </c>
      <c r="K102" s="15"/>
      <c r="L102" s="20">
        <f>+D102-H102</f>
        <v>46605.475557692407</v>
      </c>
      <c r="M102" s="15"/>
      <c r="N102" s="19">
        <f>IF(H102=0,0,L102/H102)</f>
        <v>-0.15212877484657353</v>
      </c>
      <c r="O102" s="25"/>
      <c r="P102" s="20">
        <f>+P17-P19+P97</f>
        <v>-923647.69000000029</v>
      </c>
      <c r="Q102" s="13"/>
      <c r="R102" s="19">
        <f>IF(P$12=0,0,P102/P$12)</f>
        <v>0</v>
      </c>
      <c r="S102" s="13"/>
      <c r="T102" s="20">
        <f>+T17-T19+T97</f>
        <v>-1103295.137223077</v>
      </c>
      <c r="U102" s="13"/>
      <c r="V102" s="19">
        <f>IF(T$12=0,0,T102/T$12)</f>
        <v>0</v>
      </c>
      <c r="W102" s="15"/>
      <c r="X102" s="20">
        <f>+P102-T102</f>
        <v>179647.44722307671</v>
      </c>
      <c r="Y102" s="15"/>
      <c r="Z102" s="19">
        <f>IF(T102=0,0,X102/T102)</f>
        <v>-0.16282809663716799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/>
      <c r="E104" s="4"/>
      <c r="F104" s="12">
        <f>IF(D$12=0,0,D104/D$12)</f>
        <v>0</v>
      </c>
      <c r="G104" s="4"/>
      <c r="H104" s="4"/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/>
      <c r="Q104" s="4"/>
      <c r="R104" s="12">
        <f>IF(P$12=0,0,P104/P$12)</f>
        <v>0</v>
      </c>
      <c r="S104" s="4"/>
      <c r="T104" s="4"/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6" t="s">
        <v>4</v>
      </c>
      <c r="C106" s="26"/>
      <c r="D106" s="34">
        <f>+D102-D104</f>
        <v>-259749.95</v>
      </c>
      <c r="E106" s="13"/>
      <c r="F106" s="35">
        <f>IF(D$12=0,0,D106/D$12)</f>
        <v>0</v>
      </c>
      <c r="G106" s="13"/>
      <c r="H106" s="34">
        <f>+H102-H104</f>
        <v>-306355.42555769242</v>
      </c>
      <c r="I106" s="13"/>
      <c r="J106" s="35">
        <f>IF(H$12=0,0,H106/H$12)</f>
        <v>0</v>
      </c>
      <c r="K106" s="15"/>
      <c r="L106" s="34">
        <f>D106-H106</f>
        <v>46605.475557692407</v>
      </c>
      <c r="M106" s="15"/>
      <c r="N106" s="35">
        <f>IF(H106=0,0,L106/H106)</f>
        <v>-0.15212877484657353</v>
      </c>
      <c r="O106" s="25"/>
      <c r="P106" s="34">
        <f>+P102-P104</f>
        <v>-923647.69000000029</v>
      </c>
      <c r="Q106" s="13"/>
      <c r="R106" s="35">
        <f>IF(P$12=0,0,P106/P$12)</f>
        <v>0</v>
      </c>
      <c r="S106" s="13"/>
      <c r="T106" s="34">
        <f>+T102-T104</f>
        <v>-1103295.137223077</v>
      </c>
      <c r="U106" s="13"/>
      <c r="V106" s="35">
        <f>IF(T$12=0,0,T106/T$12)</f>
        <v>0</v>
      </c>
      <c r="W106" s="15"/>
      <c r="X106" s="34">
        <f>P106-T106</f>
        <v>179647.44722307671</v>
      </c>
      <c r="Y106" s="15"/>
      <c r="Z106" s="35">
        <f>IF(T106=0,0,X106/T106)</f>
        <v>-0.16282809663716799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6" t="s">
        <v>5</v>
      </c>
      <c r="C109" s="26"/>
      <c r="D109" s="30">
        <f>SUM(D106:D108)</f>
        <v>-259749.95</v>
      </c>
      <c r="E109" s="13"/>
      <c r="F109" s="32">
        <f>IF(D$12=0,0,D109/D$12)</f>
        <v>0</v>
      </c>
      <c r="G109" s="13"/>
      <c r="H109" s="30">
        <f>SUM(H106:H108)</f>
        <v>-306355.42555769242</v>
      </c>
      <c r="I109" s="13"/>
      <c r="J109" s="32">
        <f>IF(H$12=0,0,H109/H$12)</f>
        <v>0</v>
      </c>
      <c r="K109" s="15"/>
      <c r="L109" s="30">
        <f>+D109-H109</f>
        <v>46605.475557692407</v>
      </c>
      <c r="M109" s="15"/>
      <c r="N109" s="32">
        <f>IF(H109=0,0,L109/H109)</f>
        <v>-0.15212877484657353</v>
      </c>
      <c r="O109" s="25"/>
      <c r="P109" s="30">
        <f>SUM(P106:P108)</f>
        <v>-923647.69000000029</v>
      </c>
      <c r="Q109" s="13"/>
      <c r="R109" s="32">
        <f>IF(P$12=0,0,P109/P$12)</f>
        <v>0</v>
      </c>
      <c r="S109" s="13"/>
      <c r="T109" s="30">
        <f>SUM(T106:T108)</f>
        <v>-1103295.137223077</v>
      </c>
      <c r="U109" s="13"/>
      <c r="V109" s="32">
        <f>IF(T$12=0,0,T109/T$12)</f>
        <v>0</v>
      </c>
      <c r="W109" s="15"/>
      <c r="X109" s="30">
        <f>+P109-T109</f>
        <v>179647.44722307671</v>
      </c>
      <c r="Y109" s="15"/>
      <c r="Z109" s="32">
        <f>IF(T109=0,0,X109/T109)</f>
        <v>-0.16282809663716799</v>
      </c>
    </row>
    <row r="110" spans="1:26" ht="15.75" thickTop="1" x14ac:dyDescent="0.25">
      <c r="A110" s="9"/>
      <c r="C110" s="9"/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60">
        <v>44151.567678738429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58" t="s">
        <v>314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53"/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","200", " - ", "Corporate Expense")</f>
        <v>Department 200 - Corporate Expense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44751.53</v>
      </c>
      <c r="E18" s="21"/>
      <c r="F18" s="31">
        <f t="shared" ref="F18:F27" si="0">IF(D$12=0,0,D18/D$12)</f>
        <v>0</v>
      </c>
      <c r="G18" s="21"/>
      <c r="H18" s="21">
        <f>SUM(OSRRefH22x_0)</f>
        <v>62937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-18185.47</v>
      </c>
      <c r="M18" s="4"/>
      <c r="N18" s="31">
        <f t="shared" ref="N18:N27" si="3">IF(H18=0,0,L18/H18)</f>
        <v>-0.28894720116942341</v>
      </c>
      <c r="O18" s="10"/>
      <c r="P18" s="21">
        <f>SUM(OSRRefP22x_0)</f>
        <v>155009.11000000002</v>
      </c>
      <c r="Q18" s="21"/>
      <c r="R18" s="31">
        <f t="shared" ref="R18:R27" si="4">IF(P$12=0,0,P18/P$12)</f>
        <v>0</v>
      </c>
      <c r="S18" s="21"/>
      <c r="T18" s="21">
        <f>SUM(OSRRefT22x_0)</f>
        <v>197048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-42038.889999999985</v>
      </c>
      <c r="Y18" s="4"/>
      <c r="Z18" s="31">
        <f t="shared" ref="Z18:Z27" si="7">IF(T18=0,0,X18/T18)</f>
        <v>-0.21334339856278667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30642.670000000002</v>
      </c>
      <c r="E19" s="1"/>
      <c r="F19" s="5">
        <f t="shared" si="0"/>
        <v>0</v>
      </c>
      <c r="G19" s="1"/>
      <c r="H19" s="1">
        <f>SUM(OSRRefH22_0x_0)</f>
        <v>32000</v>
      </c>
      <c r="I19" s="1"/>
      <c r="J19" s="5">
        <f t="shared" si="1"/>
        <v>0</v>
      </c>
      <c r="K19" s="1"/>
      <c r="L19" s="1">
        <f t="shared" si="2"/>
        <v>-1357.3299999999981</v>
      </c>
      <c r="M19" s="1"/>
      <c r="N19" s="5">
        <f t="shared" si="3"/>
        <v>-4.2416562499999942E-2</v>
      </c>
      <c r="O19" s="14"/>
      <c r="P19" s="1">
        <f>SUM(OSRRefP22_0x_0)</f>
        <v>122405.68000000001</v>
      </c>
      <c r="Q19" s="1"/>
      <c r="R19" s="5">
        <f t="shared" si="4"/>
        <v>0</v>
      </c>
      <c r="S19" s="1"/>
      <c r="T19" s="1">
        <f>SUM(OSRRefT22_0x_0)</f>
        <v>128000</v>
      </c>
      <c r="U19" s="1"/>
      <c r="V19" s="5">
        <f t="shared" si="5"/>
        <v>0</v>
      </c>
      <c r="W19" s="1"/>
      <c r="X19" s="1">
        <f t="shared" si="6"/>
        <v>-5594.3199999999924</v>
      </c>
      <c r="Y19" s="1"/>
      <c r="Z19" s="5">
        <f t="shared" si="7"/>
        <v>-4.3705624999999942E-2</v>
      </c>
    </row>
    <row r="20" spans="1:26" s="24" customFormat="1" hidden="1" outlineLevel="2" x14ac:dyDescent="0.25">
      <c r="A20" s="28"/>
      <c r="B20" s="11" t="str">
        <f>CONCATENATE("          ", "6120", " - ", "RETIREES HEALTH INSURANCE")</f>
        <v xml:space="preserve">          6120 - RETIREES HEALTH INSURANCE</v>
      </c>
      <c r="C20" s="11"/>
      <c r="D20" s="7">
        <v>30642.670000000002</v>
      </c>
      <c r="E20" s="2"/>
      <c r="F20" s="6">
        <f t="shared" si="0"/>
        <v>0</v>
      </c>
      <c r="G20" s="2"/>
      <c r="H20" s="7">
        <v>32000</v>
      </c>
      <c r="I20" s="2"/>
      <c r="J20" s="6">
        <f t="shared" si="1"/>
        <v>0</v>
      </c>
      <c r="K20" s="2"/>
      <c r="L20" s="7">
        <f t="shared" si="2"/>
        <v>-1357.3299999999981</v>
      </c>
      <c r="M20" s="2"/>
      <c r="N20" s="6">
        <f t="shared" si="3"/>
        <v>-4.2416562499999942E-2</v>
      </c>
      <c r="O20" s="11"/>
      <c r="P20" s="7">
        <v>122405.68000000001</v>
      </c>
      <c r="Q20" s="2"/>
      <c r="R20" s="6">
        <f t="shared" si="4"/>
        <v>0</v>
      </c>
      <c r="S20" s="2"/>
      <c r="T20" s="7">
        <v>128000</v>
      </c>
      <c r="U20" s="2"/>
      <c r="V20" s="6">
        <f t="shared" si="5"/>
        <v>0</v>
      </c>
      <c r="W20" s="2"/>
      <c r="X20" s="7">
        <f t="shared" si="6"/>
        <v>-5594.3199999999924</v>
      </c>
      <c r="Y20" s="2"/>
      <c r="Z20" s="6">
        <f t="shared" si="7"/>
        <v>-4.3705624999999942E-2</v>
      </c>
    </row>
    <row r="21" spans="1:26" s="27" customFormat="1" outlineLevel="1" collapsed="1" x14ac:dyDescent="0.25">
      <c r="A21" s="29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1972.94</v>
      </c>
      <c r="E21" s="1"/>
      <c r="F21" s="5">
        <f t="shared" si="0"/>
        <v>0</v>
      </c>
      <c r="G21" s="1"/>
      <c r="H21" s="1">
        <f>SUM(OSRRefH22_1x_0)</f>
        <v>15000</v>
      </c>
      <c r="I21" s="1"/>
      <c r="J21" s="5">
        <f t="shared" si="1"/>
        <v>0</v>
      </c>
      <c r="K21" s="1"/>
      <c r="L21" s="1">
        <f t="shared" si="2"/>
        <v>-13027.06</v>
      </c>
      <c r="M21" s="1"/>
      <c r="N21" s="5">
        <f t="shared" si="3"/>
        <v>-0.86847066666666661</v>
      </c>
      <c r="O21" s="14"/>
      <c r="P21" s="1">
        <f>SUM(OSRRefP22_1x_0)</f>
        <v>2910.92</v>
      </c>
      <c r="Q21" s="1"/>
      <c r="R21" s="5">
        <f t="shared" si="4"/>
        <v>0</v>
      </c>
      <c r="S21" s="1"/>
      <c r="T21" s="1">
        <f>SUM(OSRRefT22_1x_0)</f>
        <v>33000</v>
      </c>
      <c r="U21" s="1"/>
      <c r="V21" s="5">
        <f t="shared" si="5"/>
        <v>0</v>
      </c>
      <c r="W21" s="1"/>
      <c r="X21" s="1">
        <f t="shared" si="6"/>
        <v>-30089.08</v>
      </c>
      <c r="Y21" s="1"/>
      <c r="Z21" s="5">
        <f t="shared" si="7"/>
        <v>-0.91179030303030306</v>
      </c>
    </row>
    <row r="22" spans="1:26" s="24" customFormat="1" hidden="1" outlineLevel="2" x14ac:dyDescent="0.25">
      <c r="A22" s="28"/>
      <c r="B22" s="11" t="str">
        <f>CONCATENATE("          ", "6381", " - ", "BANK/CREDIT CARD FEES")</f>
        <v xml:space="preserve">          6381 - BANK/CREDIT CARD FEES</v>
      </c>
      <c r="C22" s="11"/>
      <c r="D22" s="7">
        <v>1972.94</v>
      </c>
      <c r="E22" s="2"/>
      <c r="F22" s="6">
        <f t="shared" si="0"/>
        <v>0</v>
      </c>
      <c r="G22" s="2"/>
      <c r="H22" s="7">
        <v>15000</v>
      </c>
      <c r="I22" s="2"/>
      <c r="J22" s="6">
        <f t="shared" si="1"/>
        <v>0</v>
      </c>
      <c r="K22" s="2"/>
      <c r="L22" s="7">
        <f t="shared" si="2"/>
        <v>-13027.06</v>
      </c>
      <c r="M22" s="2"/>
      <c r="N22" s="6">
        <f t="shared" si="3"/>
        <v>-0.86847066666666661</v>
      </c>
      <c r="O22" s="11"/>
      <c r="P22" s="7">
        <v>2910.92</v>
      </c>
      <c r="Q22" s="2"/>
      <c r="R22" s="6">
        <f t="shared" si="4"/>
        <v>0</v>
      </c>
      <c r="S22" s="2"/>
      <c r="T22" s="7">
        <v>33000</v>
      </c>
      <c r="U22" s="2"/>
      <c r="V22" s="6">
        <f t="shared" si="5"/>
        <v>0</v>
      </c>
      <c r="W22" s="2"/>
      <c r="X22" s="7">
        <f t="shared" si="6"/>
        <v>-30089.08</v>
      </c>
      <c r="Y22" s="2"/>
      <c r="Z22" s="6">
        <f t="shared" si="7"/>
        <v>-0.91179030303030306</v>
      </c>
    </row>
    <row r="23" spans="1:26" s="27" customFormat="1" outlineLevel="1" collapsed="1" x14ac:dyDescent="0.25">
      <c r="A23" s="29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550.16999999999996</v>
      </c>
      <c r="E23" s="1"/>
      <c r="F23" s="5">
        <f t="shared" si="0"/>
        <v>0</v>
      </c>
      <c r="G23" s="1"/>
      <c r="H23" s="1">
        <f>SUM(OSRRefH22_2x_0)</f>
        <v>2437</v>
      </c>
      <c r="I23" s="1"/>
      <c r="J23" s="5">
        <f t="shared" si="1"/>
        <v>0</v>
      </c>
      <c r="K23" s="1"/>
      <c r="L23" s="1">
        <f t="shared" si="2"/>
        <v>-1886.83</v>
      </c>
      <c r="M23" s="1"/>
      <c r="N23" s="5">
        <f t="shared" si="3"/>
        <v>-0.77424292162494868</v>
      </c>
      <c r="O23" s="14"/>
      <c r="P23" s="1">
        <f>SUM(OSRRefP22_2x_0)</f>
        <v>6521.01</v>
      </c>
      <c r="Q23" s="1"/>
      <c r="R23" s="5">
        <f t="shared" si="4"/>
        <v>0</v>
      </c>
      <c r="S23" s="1"/>
      <c r="T23" s="1">
        <f>SUM(OSRRefT22_2x_0)</f>
        <v>9048</v>
      </c>
      <c r="U23" s="1"/>
      <c r="V23" s="5">
        <f t="shared" si="5"/>
        <v>0</v>
      </c>
      <c r="W23" s="1"/>
      <c r="X23" s="1">
        <f t="shared" si="6"/>
        <v>-2526.9899999999998</v>
      </c>
      <c r="Y23" s="1"/>
      <c r="Z23" s="5">
        <f t="shared" si="7"/>
        <v>-0.27928713527851456</v>
      </c>
    </row>
    <row r="24" spans="1:26" s="24" customFormat="1" hidden="1" outlineLevel="2" x14ac:dyDescent="0.25">
      <c r="A24" s="28"/>
      <c r="B24" s="11" t="str">
        <f>CONCATENATE("          ", "6397", " - ", "BOARD EXPENSES")</f>
        <v xml:space="preserve">          6397 - BOARD EXPENSES</v>
      </c>
      <c r="C24" s="11"/>
      <c r="D24" s="7">
        <v>550.16999999999996</v>
      </c>
      <c r="E24" s="2"/>
      <c r="F24" s="6">
        <f t="shared" si="0"/>
        <v>0</v>
      </c>
      <c r="G24" s="2"/>
      <c r="H24" s="7">
        <v>2437</v>
      </c>
      <c r="I24" s="2"/>
      <c r="J24" s="6">
        <f t="shared" si="1"/>
        <v>0</v>
      </c>
      <c r="K24" s="2"/>
      <c r="L24" s="7">
        <f t="shared" si="2"/>
        <v>-1886.83</v>
      </c>
      <c r="M24" s="2"/>
      <c r="N24" s="6">
        <f t="shared" si="3"/>
        <v>-0.77424292162494868</v>
      </c>
      <c r="O24" s="11"/>
      <c r="P24" s="7">
        <v>6521.01</v>
      </c>
      <c r="Q24" s="2"/>
      <c r="R24" s="6">
        <f t="shared" si="4"/>
        <v>0</v>
      </c>
      <c r="S24" s="2"/>
      <c r="T24" s="7">
        <v>9048</v>
      </c>
      <c r="U24" s="2"/>
      <c r="V24" s="6">
        <f t="shared" si="5"/>
        <v>0</v>
      </c>
      <c r="W24" s="2"/>
      <c r="X24" s="7">
        <f t="shared" si="6"/>
        <v>-2526.9899999999998</v>
      </c>
      <c r="Y24" s="2"/>
      <c r="Z24" s="6">
        <f t="shared" si="7"/>
        <v>-0.27928713527851456</v>
      </c>
    </row>
    <row r="25" spans="1:26" s="27" customFormat="1" outlineLevel="1" collapsed="1" x14ac:dyDescent="0.25">
      <c r="A25" s="29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11585.75</v>
      </c>
      <c r="E25" s="1"/>
      <c r="F25" s="5">
        <f t="shared" si="0"/>
        <v>0</v>
      </c>
      <c r="G25" s="1"/>
      <c r="H25" s="1">
        <f>SUM(OSRRefH22_3x_0)</f>
        <v>13500</v>
      </c>
      <c r="I25" s="1"/>
      <c r="J25" s="5">
        <f t="shared" si="1"/>
        <v>0</v>
      </c>
      <c r="K25" s="1"/>
      <c r="L25" s="1">
        <f t="shared" si="2"/>
        <v>-1914.25</v>
      </c>
      <c r="M25" s="1"/>
      <c r="N25" s="5">
        <f t="shared" si="3"/>
        <v>-0.14179629629629631</v>
      </c>
      <c r="O25" s="14"/>
      <c r="P25" s="1">
        <f>SUM(OSRRefP22_3x_0)</f>
        <v>23171.5</v>
      </c>
      <c r="Q25" s="1"/>
      <c r="R25" s="5">
        <f t="shared" si="4"/>
        <v>0</v>
      </c>
      <c r="S25" s="1"/>
      <c r="T25" s="1">
        <f>SUM(OSRRefT22_3x_0)</f>
        <v>27000</v>
      </c>
      <c r="U25" s="1"/>
      <c r="V25" s="5">
        <f t="shared" si="5"/>
        <v>0</v>
      </c>
      <c r="W25" s="1"/>
      <c r="X25" s="1">
        <f t="shared" si="6"/>
        <v>-3828.5</v>
      </c>
      <c r="Y25" s="1"/>
      <c r="Z25" s="5">
        <f t="shared" si="7"/>
        <v>-0.14179629629629631</v>
      </c>
    </row>
    <row r="26" spans="1:26" s="24" customFormat="1" hidden="1" outlineLevel="2" x14ac:dyDescent="0.25">
      <c r="A26" s="28"/>
      <c r="B26" s="11" t="str">
        <f>CONCATENATE("          ", "6331", " - ", "INDIRECT COSTS-AUXILIARY ORGAN")</f>
        <v xml:space="preserve">          6331 - INDIRECT COSTS-AUXILIARY ORGAN</v>
      </c>
      <c r="C26" s="11"/>
      <c r="D26" s="7">
        <v>11585.75</v>
      </c>
      <c r="E26" s="2"/>
      <c r="F26" s="6">
        <f t="shared" si="0"/>
        <v>0</v>
      </c>
      <c r="G26" s="2"/>
      <c r="H26" s="7">
        <v>13500</v>
      </c>
      <c r="I26" s="2"/>
      <c r="J26" s="6">
        <f t="shared" si="1"/>
        <v>0</v>
      </c>
      <c r="K26" s="2"/>
      <c r="L26" s="7">
        <f t="shared" si="2"/>
        <v>-1914.25</v>
      </c>
      <c r="M26" s="2"/>
      <c r="N26" s="6">
        <f t="shared" si="3"/>
        <v>-0.14179629629629631</v>
      </c>
      <c r="O26" s="11"/>
      <c r="P26" s="7">
        <v>23171.5</v>
      </c>
      <c r="Q26" s="2"/>
      <c r="R26" s="6">
        <f t="shared" si="4"/>
        <v>0</v>
      </c>
      <c r="S26" s="2"/>
      <c r="T26" s="7">
        <v>27000</v>
      </c>
      <c r="U26" s="2"/>
      <c r="V26" s="6">
        <f t="shared" si="5"/>
        <v>0</v>
      </c>
      <c r="W26" s="2"/>
      <c r="X26" s="7">
        <f t="shared" si="6"/>
        <v>-3828.5</v>
      </c>
      <c r="Y26" s="2"/>
      <c r="Z26" s="6">
        <f t="shared" si="7"/>
        <v>-0.14179629629629631</v>
      </c>
    </row>
    <row r="27" spans="1:26" s="24" customFormat="1" hidden="1" outlineLevel="2" x14ac:dyDescent="0.25">
      <c r="A27" s="28"/>
      <c r="B27" s="11" t="str">
        <f>CONCATENATE("          ", "6332", " - ", "CONSULTANT FEES")</f>
        <v xml:space="preserve">          6332 - CONSULTANT FEES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63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3</v>
      </c>
      <c r="C31" s="26"/>
      <c r="D31" s="20">
        <f>+D16-D18+D29</f>
        <v>-44751.53</v>
      </c>
      <c r="E31" s="13"/>
      <c r="F31" s="19">
        <f>IF(D$12=0,0,D31/D$12)</f>
        <v>0</v>
      </c>
      <c r="G31" s="13"/>
      <c r="H31" s="20">
        <f>+H16-H18+H29</f>
        <v>-62937</v>
      </c>
      <c r="I31" s="13"/>
      <c r="J31" s="19">
        <f>IF(H$12=0,0,H31/H$12)</f>
        <v>0</v>
      </c>
      <c r="K31" s="15"/>
      <c r="L31" s="20">
        <f>+D31-H31</f>
        <v>18185.47</v>
      </c>
      <c r="M31" s="15"/>
      <c r="N31" s="19">
        <f>IF(H31=0,0,L31/H31)</f>
        <v>-0.28894720116942341</v>
      </c>
      <c r="O31" s="25"/>
      <c r="P31" s="20">
        <f>+P16-P18+P29</f>
        <v>-155009.11000000002</v>
      </c>
      <c r="Q31" s="13"/>
      <c r="R31" s="19">
        <f>IF(P$12=0,0,P31/P$12)</f>
        <v>0</v>
      </c>
      <c r="S31" s="13"/>
      <c r="T31" s="20">
        <f>+T16-T18+T29</f>
        <v>-197048</v>
      </c>
      <c r="U31" s="13"/>
      <c r="V31" s="19">
        <f>IF(T$12=0,0,T31/T$12)</f>
        <v>0</v>
      </c>
      <c r="W31" s="15"/>
      <c r="X31" s="20">
        <f>+P31-T31</f>
        <v>42038.889999999985</v>
      </c>
      <c r="Y31" s="15"/>
      <c r="Z31" s="19">
        <f>IF(T31=0,0,X31/T31)</f>
        <v>-0.21334339856278667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14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4</v>
      </c>
      <c r="C35" s="26"/>
      <c r="D35" s="34">
        <f>+D31-D33</f>
        <v>-44751.53</v>
      </c>
      <c r="E35" s="13"/>
      <c r="F35" s="35">
        <f>IF(D$12=0,0,D35/D$12)</f>
        <v>0</v>
      </c>
      <c r="G35" s="13"/>
      <c r="H35" s="34">
        <f>+H31-H33</f>
        <v>-62937</v>
      </c>
      <c r="I35" s="13"/>
      <c r="J35" s="35">
        <f>IF(H$12=0,0,H35/H$12)</f>
        <v>0</v>
      </c>
      <c r="K35" s="15"/>
      <c r="L35" s="34">
        <f>D35-H35</f>
        <v>18185.47</v>
      </c>
      <c r="M35" s="15"/>
      <c r="N35" s="35">
        <f>IF(H35=0,0,L35/H35)</f>
        <v>-0.28894720116942341</v>
      </c>
      <c r="O35" s="25"/>
      <c r="P35" s="34">
        <f>+P31-P33</f>
        <v>-155009.11000000002</v>
      </c>
      <c r="Q35" s="13"/>
      <c r="R35" s="35">
        <f>IF(P$12=0,0,P35/P$12)</f>
        <v>0</v>
      </c>
      <c r="S35" s="13"/>
      <c r="T35" s="34">
        <f>+T31-T33</f>
        <v>-197048</v>
      </c>
      <c r="U35" s="13"/>
      <c r="V35" s="35">
        <f>IF(T$12=0,0,T35/T$12)</f>
        <v>0</v>
      </c>
      <c r="W35" s="15"/>
      <c r="X35" s="34">
        <f>P35-T35</f>
        <v>42038.889999999985</v>
      </c>
      <c r="Y35" s="15"/>
      <c r="Z35" s="35">
        <f>IF(T35=0,0,X35/T35)</f>
        <v>-0.21334339856278667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6" t="s">
        <v>5</v>
      </c>
      <c r="C38" s="26"/>
      <c r="D38" s="30">
        <f>SUM(D35:D37)</f>
        <v>-44751.53</v>
      </c>
      <c r="E38" s="13"/>
      <c r="F38" s="32">
        <f>IF(D$12=0,0,D38/D$12)</f>
        <v>0</v>
      </c>
      <c r="G38" s="13"/>
      <c r="H38" s="30">
        <f>SUM(H35:H37)</f>
        <v>-62937</v>
      </c>
      <c r="I38" s="13"/>
      <c r="J38" s="32">
        <f>IF(H$12=0,0,H38/H$12)</f>
        <v>0</v>
      </c>
      <c r="K38" s="15"/>
      <c r="L38" s="30">
        <f>+D38-H38</f>
        <v>18185.47</v>
      </c>
      <c r="M38" s="15"/>
      <c r="N38" s="32">
        <f>IF(H38=0,0,L38/H38)</f>
        <v>-0.28894720116942341</v>
      </c>
      <c r="O38" s="25"/>
      <c r="P38" s="30">
        <f>SUM(P35:P37)</f>
        <v>-155009.11000000002</v>
      </c>
      <c r="Q38" s="13"/>
      <c r="R38" s="32">
        <f>IF(P$12=0,0,P38/P$12)</f>
        <v>0</v>
      </c>
      <c r="S38" s="13"/>
      <c r="T38" s="30">
        <f>SUM(T35:T37)</f>
        <v>-197048</v>
      </c>
      <c r="U38" s="13"/>
      <c r="V38" s="32">
        <f>IF(T$12=0,0,T38/T$12)</f>
        <v>0</v>
      </c>
      <c r="W38" s="15"/>
      <c r="X38" s="30">
        <f>+P38-T38</f>
        <v>42038.889999999985</v>
      </c>
      <c r="Y38" s="15"/>
      <c r="Z38" s="32">
        <f>IF(T38=0,0,X38/T38)</f>
        <v>-0.21334339856278667</v>
      </c>
    </row>
    <row r="39" spans="1:26" ht="15.75" thickTop="1" x14ac:dyDescent="0.25">
      <c r="A39" s="9"/>
      <c r="C39" s="9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60">
        <v>44151.567985416666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58" t="s">
        <v>314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53"/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","201", " - ", "General Manager")</f>
        <v>Department 201 - General Manager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0</v>
      </c>
      <c r="E17" s="13"/>
      <c r="F17" s="19">
        <f>IF(D$12=0,0,D17/D$12)</f>
        <v>0</v>
      </c>
      <c r="G17" s="13"/>
      <c r="H17" s="20">
        <f>H12-H15</f>
        <v>0</v>
      </c>
      <c r="I17" s="13"/>
      <c r="J17" s="19">
        <f>IF(H$12=0,0,H17/H$12)</f>
        <v>0</v>
      </c>
      <c r="K17" s="15"/>
      <c r="L17" s="20">
        <f>+D17-H17</f>
        <v>0</v>
      </c>
      <c r="M17" s="15"/>
      <c r="N17" s="19">
        <f>IF(H17=0,0,L17/H17)</f>
        <v>0</v>
      </c>
      <c r="O17" s="25"/>
      <c r="P17" s="20">
        <f>P12-P15</f>
        <v>0</v>
      </c>
      <c r="Q17" s="13"/>
      <c r="R17" s="19">
        <f>IF(P$12=0,0,P17/P$12)</f>
        <v>0</v>
      </c>
      <c r="S17" s="13"/>
      <c r="T17" s="20">
        <f>T12-T15</f>
        <v>0</v>
      </c>
      <c r="U17" s="13"/>
      <c r="V17" s="19">
        <f>IF(T$12=0,0,T17/T$12)</f>
        <v>0</v>
      </c>
      <c r="W17" s="15"/>
      <c r="X17" s="20">
        <f>+P17-T17</f>
        <v>0</v>
      </c>
      <c r="Y17" s="15"/>
      <c r="Z17" s="19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1">
        <f>SUM(OSRRefD22x_0)</f>
        <v>35310.55999999999</v>
      </c>
      <c r="E19" s="21"/>
      <c r="F19" s="31">
        <f t="shared" ref="F19:F29" si="4">IF(D$12=0,0,D19/D$12)</f>
        <v>0</v>
      </c>
      <c r="G19" s="21"/>
      <c r="H19" s="21">
        <f>SUM(OSRRefH22x_0)</f>
        <v>57286.947384615363</v>
      </c>
      <c r="I19" s="21"/>
      <c r="J19" s="31">
        <f t="shared" ref="J19:J29" si="5">IF(H$12=0,0,H19/H$12)</f>
        <v>0</v>
      </c>
      <c r="K19" s="4"/>
      <c r="L19" s="21">
        <f t="shared" ref="L19:L29" si="6">+D19-H19</f>
        <v>-21976.387384615373</v>
      </c>
      <c r="M19" s="4"/>
      <c r="N19" s="31">
        <f t="shared" ref="N19:N29" si="7">IF(H19=0,0,L19/H19)</f>
        <v>-0.38361945238711076</v>
      </c>
      <c r="O19" s="10"/>
      <c r="P19" s="21">
        <f>SUM(OSRRefP22x_0)</f>
        <v>142566.81999999998</v>
      </c>
      <c r="Q19" s="21"/>
      <c r="R19" s="31">
        <f t="shared" ref="R19:R29" si="8">IF(P$12=0,0,P19/P$12)</f>
        <v>0</v>
      </c>
      <c r="S19" s="21"/>
      <c r="T19" s="21">
        <f>SUM(OSRRefT22x_0)</f>
        <v>200530.68938461528</v>
      </c>
      <c r="U19" s="21"/>
      <c r="V19" s="31">
        <f t="shared" ref="V19:V29" si="9">IF(T$12=0,0,T19/T$12)</f>
        <v>0</v>
      </c>
      <c r="W19" s="4"/>
      <c r="X19" s="21">
        <f t="shared" ref="X19:X29" si="10">+P19-T19</f>
        <v>-57963.869384615304</v>
      </c>
      <c r="Y19" s="4"/>
      <c r="Z19" s="31">
        <f t="shared" ref="Z19:Z29" si="11">IF(T19=0,0,X19/T19)</f>
        <v>-0.28905236182298932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11601.890000000001</v>
      </c>
      <c r="E20" s="1"/>
      <c r="F20" s="5">
        <f t="shared" si="4"/>
        <v>0</v>
      </c>
      <c r="G20" s="1"/>
      <c r="H20" s="1">
        <f>SUM(OSRRefH22_0x_0)</f>
        <v>9696.3320000000022</v>
      </c>
      <c r="I20" s="1"/>
      <c r="J20" s="5">
        <f t="shared" si="5"/>
        <v>0</v>
      </c>
      <c r="K20" s="1"/>
      <c r="L20" s="1">
        <f t="shared" si="6"/>
        <v>1905.5579999999991</v>
      </c>
      <c r="M20" s="1"/>
      <c r="N20" s="5">
        <f t="shared" si="7"/>
        <v>0.19652359263276037</v>
      </c>
      <c r="O20" s="14"/>
      <c r="P20" s="1">
        <f>SUM(OSRRefP22_0x_0)</f>
        <v>43094.34</v>
      </c>
      <c r="Q20" s="1"/>
      <c r="R20" s="5">
        <f t="shared" si="8"/>
        <v>0</v>
      </c>
      <c r="S20" s="1"/>
      <c r="T20" s="1">
        <f>SUM(OSRRefT22_0x_0)</f>
        <v>36032.074000000008</v>
      </c>
      <c r="U20" s="1"/>
      <c r="V20" s="5">
        <f t="shared" si="9"/>
        <v>0</v>
      </c>
      <c r="W20" s="1"/>
      <c r="X20" s="1">
        <f t="shared" si="10"/>
        <v>7062.2659999999887</v>
      </c>
      <c r="Y20" s="1"/>
      <c r="Z20" s="5">
        <f t="shared" si="11"/>
        <v>0.19599943095143474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>
        <v>1525.7</v>
      </c>
      <c r="E21" s="2"/>
      <c r="F21" s="6">
        <f t="shared" si="4"/>
        <v>0</v>
      </c>
      <c r="G21" s="2"/>
      <c r="H21" s="7">
        <v>1902.6535384615399</v>
      </c>
      <c r="I21" s="2"/>
      <c r="J21" s="6">
        <f t="shared" si="5"/>
        <v>0</v>
      </c>
      <c r="K21" s="2"/>
      <c r="L21" s="7">
        <f t="shared" si="6"/>
        <v>-376.95353846153989</v>
      </c>
      <c r="M21" s="2"/>
      <c r="N21" s="6">
        <f t="shared" si="7"/>
        <v>-0.19811990509125452</v>
      </c>
      <c r="O21" s="11"/>
      <c r="P21" s="7">
        <v>5700.4</v>
      </c>
      <c r="Q21" s="2"/>
      <c r="R21" s="6">
        <f t="shared" si="8"/>
        <v>0</v>
      </c>
      <c r="S21" s="2"/>
      <c r="T21" s="7">
        <v>6570.9835384615408</v>
      </c>
      <c r="U21" s="2"/>
      <c r="V21" s="6">
        <f t="shared" si="9"/>
        <v>0</v>
      </c>
      <c r="W21" s="2"/>
      <c r="X21" s="7">
        <f t="shared" si="10"/>
        <v>-870.58353846154114</v>
      </c>
      <c r="Y21" s="2"/>
      <c r="Z21" s="6">
        <f t="shared" si="11"/>
        <v>-0.13248907615820479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7">
        <v>62.43</v>
      </c>
      <c r="E22" s="2"/>
      <c r="F22" s="6">
        <f t="shared" si="4"/>
        <v>0</v>
      </c>
      <c r="G22" s="2"/>
      <c r="H22" s="7">
        <v>77.423076923076906</v>
      </c>
      <c r="I22" s="2"/>
      <c r="J22" s="6">
        <f t="shared" si="5"/>
        <v>0</v>
      </c>
      <c r="K22" s="2"/>
      <c r="L22" s="7">
        <f t="shared" si="6"/>
        <v>-14.993076923076906</v>
      </c>
      <c r="M22" s="2"/>
      <c r="N22" s="6">
        <f t="shared" si="7"/>
        <v>-0.19365126676602068</v>
      </c>
      <c r="O22" s="11"/>
      <c r="P22" s="7">
        <v>249.75</v>
      </c>
      <c r="Q22" s="2"/>
      <c r="R22" s="6">
        <f t="shared" si="8"/>
        <v>0</v>
      </c>
      <c r="S22" s="2"/>
      <c r="T22" s="7">
        <v>278.72307692307703</v>
      </c>
      <c r="U22" s="2"/>
      <c r="V22" s="6">
        <f t="shared" si="9"/>
        <v>0</v>
      </c>
      <c r="W22" s="2"/>
      <c r="X22" s="7">
        <f t="shared" si="10"/>
        <v>-28.973076923077031</v>
      </c>
      <c r="Y22" s="2"/>
      <c r="Z22" s="6">
        <f t="shared" si="11"/>
        <v>-0.10394932935916577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7">
        <v>4070.76</v>
      </c>
      <c r="E23" s="2"/>
      <c r="F23" s="6">
        <f t="shared" si="4"/>
        <v>0</v>
      </c>
      <c r="G23" s="2"/>
      <c r="H23" s="7">
        <v>3365</v>
      </c>
      <c r="I23" s="2"/>
      <c r="J23" s="6">
        <f t="shared" si="5"/>
        <v>0</v>
      </c>
      <c r="K23" s="2"/>
      <c r="L23" s="7">
        <f t="shared" si="6"/>
        <v>705.76000000000022</v>
      </c>
      <c r="M23" s="2"/>
      <c r="N23" s="6">
        <f t="shared" si="7"/>
        <v>0.20973551263001491</v>
      </c>
      <c r="O23" s="11"/>
      <c r="P23" s="7">
        <v>16177.72</v>
      </c>
      <c r="Q23" s="2"/>
      <c r="R23" s="6">
        <f t="shared" si="8"/>
        <v>0</v>
      </c>
      <c r="S23" s="2"/>
      <c r="T23" s="7">
        <v>13460</v>
      </c>
      <c r="U23" s="2"/>
      <c r="V23" s="6">
        <f t="shared" si="9"/>
        <v>0</v>
      </c>
      <c r="W23" s="2"/>
      <c r="X23" s="7">
        <f t="shared" si="10"/>
        <v>2717.7199999999993</v>
      </c>
      <c r="Y23" s="2"/>
      <c r="Z23" s="6">
        <f t="shared" si="11"/>
        <v>0.20191084695393755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49.19</v>
      </c>
      <c r="E24" s="2"/>
      <c r="F24" s="6">
        <f t="shared" si="4"/>
        <v>0</v>
      </c>
      <c r="G24" s="2"/>
      <c r="H24" s="7">
        <v>64.64</v>
      </c>
      <c r="I24" s="2"/>
      <c r="J24" s="6">
        <f t="shared" si="5"/>
        <v>0</v>
      </c>
      <c r="K24" s="2"/>
      <c r="L24" s="7">
        <f t="shared" si="6"/>
        <v>-15.450000000000003</v>
      </c>
      <c r="M24" s="2"/>
      <c r="N24" s="6">
        <f t="shared" si="7"/>
        <v>-0.23901608910891092</v>
      </c>
      <c r="O24" s="11"/>
      <c r="P24" s="7">
        <v>196.78</v>
      </c>
      <c r="Q24" s="2"/>
      <c r="R24" s="6">
        <f t="shared" si="8"/>
        <v>0</v>
      </c>
      <c r="S24" s="2"/>
      <c r="T24" s="7">
        <v>226.15199999999999</v>
      </c>
      <c r="U24" s="2"/>
      <c r="V24" s="6">
        <f t="shared" si="9"/>
        <v>0</v>
      </c>
      <c r="W24" s="2"/>
      <c r="X24" s="7">
        <f t="shared" si="10"/>
        <v>-29.371999999999986</v>
      </c>
      <c r="Y24" s="2"/>
      <c r="Z24" s="6">
        <f t="shared" si="11"/>
        <v>-0.12987725069864511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7">
        <v>2049.0300000000002</v>
      </c>
      <c r="E25" s="2"/>
      <c r="F25" s="6">
        <f t="shared" si="4"/>
        <v>0</v>
      </c>
      <c r="G25" s="2"/>
      <c r="H25" s="7">
        <v>2017.6923076923101</v>
      </c>
      <c r="I25" s="2"/>
      <c r="J25" s="6">
        <f t="shared" si="5"/>
        <v>0</v>
      </c>
      <c r="K25" s="2"/>
      <c r="L25" s="7">
        <f t="shared" si="6"/>
        <v>31.337692307690077</v>
      </c>
      <c r="M25" s="2"/>
      <c r="N25" s="6">
        <f t="shared" si="7"/>
        <v>1.553145253526384E-2</v>
      </c>
      <c r="O25" s="11"/>
      <c r="P25" s="7">
        <v>9220.64</v>
      </c>
      <c r="Q25" s="2"/>
      <c r="R25" s="6">
        <f t="shared" si="8"/>
        <v>0</v>
      </c>
      <c r="S25" s="2"/>
      <c r="T25" s="7">
        <v>7263.6923076923194</v>
      </c>
      <c r="U25" s="2"/>
      <c r="V25" s="6">
        <f t="shared" si="9"/>
        <v>0</v>
      </c>
      <c r="W25" s="2"/>
      <c r="X25" s="7">
        <f t="shared" si="10"/>
        <v>1956.94769230768</v>
      </c>
      <c r="Y25" s="2"/>
      <c r="Z25" s="6">
        <f t="shared" si="11"/>
        <v>0.26941500402422797</v>
      </c>
    </row>
    <row r="26" spans="1:26" s="24" customFormat="1" hidden="1" outlineLevel="2" x14ac:dyDescent="0.25">
      <c r="A26" s="28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7">
        <v>2488.4699999999998</v>
      </c>
      <c r="E27" s="2"/>
      <c r="F27" s="6">
        <f t="shared" si="4"/>
        <v>0</v>
      </c>
      <c r="G27" s="2"/>
      <c r="H27" s="7">
        <v>1173.0769230769201</v>
      </c>
      <c r="I27" s="2"/>
      <c r="J27" s="6">
        <f t="shared" si="5"/>
        <v>0</v>
      </c>
      <c r="K27" s="2"/>
      <c r="L27" s="7">
        <f t="shared" si="6"/>
        <v>1315.3930769230797</v>
      </c>
      <c r="M27" s="2"/>
      <c r="N27" s="6">
        <f t="shared" si="7"/>
        <v>1.1213186885245954</v>
      </c>
      <c r="O27" s="11"/>
      <c r="P27" s="7">
        <v>7465.41</v>
      </c>
      <c r="Q27" s="2"/>
      <c r="R27" s="6">
        <f t="shared" si="8"/>
        <v>0</v>
      </c>
      <c r="S27" s="2"/>
      <c r="T27" s="7">
        <v>4223.0769230769174</v>
      </c>
      <c r="U27" s="2"/>
      <c r="V27" s="6">
        <f t="shared" si="9"/>
        <v>0</v>
      </c>
      <c r="W27" s="2"/>
      <c r="X27" s="7">
        <f t="shared" si="10"/>
        <v>3242.3330769230824</v>
      </c>
      <c r="Y27" s="2"/>
      <c r="Z27" s="6">
        <f t="shared" si="11"/>
        <v>0.76776557377049415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7">
        <v>1285.2</v>
      </c>
      <c r="E28" s="2"/>
      <c r="F28" s="6">
        <f t="shared" si="4"/>
        <v>0</v>
      </c>
      <c r="G28" s="2"/>
      <c r="H28" s="7">
        <v>745.84615384615404</v>
      </c>
      <c r="I28" s="2"/>
      <c r="J28" s="6">
        <f t="shared" si="5"/>
        <v>0</v>
      </c>
      <c r="K28" s="2"/>
      <c r="L28" s="7">
        <f t="shared" si="6"/>
        <v>539.35384615384601</v>
      </c>
      <c r="M28" s="2"/>
      <c r="N28" s="6">
        <f t="shared" si="7"/>
        <v>0.72314356435643523</v>
      </c>
      <c r="O28" s="11"/>
      <c r="P28" s="7">
        <v>3855.6</v>
      </c>
      <c r="Q28" s="2"/>
      <c r="R28" s="6">
        <f t="shared" si="8"/>
        <v>0</v>
      </c>
      <c r="S28" s="2"/>
      <c r="T28" s="7">
        <v>2609.4461538461542</v>
      </c>
      <c r="U28" s="2"/>
      <c r="V28" s="6">
        <f t="shared" si="9"/>
        <v>0</v>
      </c>
      <c r="W28" s="2"/>
      <c r="X28" s="7">
        <f t="shared" si="10"/>
        <v>1246.1538461538457</v>
      </c>
      <c r="Y28" s="2"/>
      <c r="Z28" s="6">
        <f t="shared" si="11"/>
        <v>0.47755491881566359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7">
        <v>71.11</v>
      </c>
      <c r="E29" s="2"/>
      <c r="F29" s="6">
        <f t="shared" si="4"/>
        <v>0</v>
      </c>
      <c r="G29" s="2"/>
      <c r="H29" s="7">
        <v>350</v>
      </c>
      <c r="I29" s="2"/>
      <c r="J29" s="6">
        <f t="shared" si="5"/>
        <v>0</v>
      </c>
      <c r="K29" s="2"/>
      <c r="L29" s="7">
        <f t="shared" si="6"/>
        <v>-278.89</v>
      </c>
      <c r="M29" s="2"/>
      <c r="N29" s="6">
        <f t="shared" si="7"/>
        <v>-0.79682857142857144</v>
      </c>
      <c r="O29" s="11"/>
      <c r="P29" s="7">
        <v>228.04</v>
      </c>
      <c r="Q29" s="2"/>
      <c r="R29" s="6">
        <f t="shared" si="8"/>
        <v>0</v>
      </c>
      <c r="S29" s="2"/>
      <c r="T29" s="7">
        <v>1400</v>
      </c>
      <c r="U29" s="2"/>
      <c r="V29" s="6">
        <f t="shared" si="9"/>
        <v>0</v>
      </c>
      <c r="W29" s="2"/>
      <c r="X29" s="7">
        <f t="shared" si="10"/>
        <v>-1171.96</v>
      </c>
      <c r="Y29" s="2"/>
      <c r="Z29" s="6">
        <f t="shared" si="11"/>
        <v>-0.8371142857142857</v>
      </c>
    </row>
    <row r="30" spans="1:26" s="27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-21199.170000000002</v>
      </c>
      <c r="E30" s="1"/>
      <c r="F30" s="5">
        <f t="shared" ref="F30:F40" si="12">IF(D$12=0,0,D30/D$12)</f>
        <v>0</v>
      </c>
      <c r="G30" s="1"/>
      <c r="H30" s="1">
        <f>SUM(OSRRefH22_1x_0)</f>
        <v>22984.615384615361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-44183.785384615359</v>
      </c>
      <c r="M30" s="1"/>
      <c r="N30" s="5">
        <f t="shared" ref="N30:N40" si="15">IF(H30=0,0,L30/H30)</f>
        <v>-1.9223199799196795</v>
      </c>
      <c r="O30" s="14"/>
      <c r="P30" s="1">
        <f>SUM(OSRRefP22_1x_0)</f>
        <v>33463.049999999996</v>
      </c>
      <c r="Q30" s="1"/>
      <c r="R30" s="5">
        <f t="shared" ref="R30:R40" si="16">IF(P$12=0,0,P30/P$12)</f>
        <v>0</v>
      </c>
      <c r="S30" s="1"/>
      <c r="T30" s="1">
        <f>SUM(OSRRefT22_1x_0)</f>
        <v>80224.615384615259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-46761.565384615264</v>
      </c>
      <c r="Y30" s="1"/>
      <c r="Z30" s="5">
        <f t="shared" ref="Z30:Z40" si="19">IF(T30=0,0,X30/T30)</f>
        <v>-0.58288301116097052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7">
        <v>17790.419999999998</v>
      </c>
      <c r="E31" s="2"/>
      <c r="F31" s="6">
        <f t="shared" si="12"/>
        <v>0</v>
      </c>
      <c r="G31" s="2"/>
      <c r="H31" s="7">
        <v>15923.0769230769</v>
      </c>
      <c r="I31" s="2"/>
      <c r="J31" s="6">
        <f t="shared" si="13"/>
        <v>0</v>
      </c>
      <c r="K31" s="2"/>
      <c r="L31" s="7">
        <f t="shared" si="14"/>
        <v>1867.3430769230981</v>
      </c>
      <c r="M31" s="2"/>
      <c r="N31" s="6">
        <f t="shared" si="15"/>
        <v>0.11727275362318991</v>
      </c>
      <c r="O31" s="11"/>
      <c r="P31" s="7">
        <v>60211.570000000007</v>
      </c>
      <c r="Q31" s="2"/>
      <c r="R31" s="6">
        <f t="shared" si="16"/>
        <v>0</v>
      </c>
      <c r="S31" s="2"/>
      <c r="T31" s="7">
        <v>57323.076923076798</v>
      </c>
      <c r="U31" s="2"/>
      <c r="V31" s="6">
        <f t="shared" si="17"/>
        <v>0</v>
      </c>
      <c r="W31" s="2"/>
      <c r="X31" s="7">
        <f t="shared" si="18"/>
        <v>2888.4930769232087</v>
      </c>
      <c r="Y31" s="2"/>
      <c r="Z31" s="6">
        <f t="shared" si="19"/>
        <v>5.0389707461086682E-2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>
        <v>5967.7</v>
      </c>
      <c r="E32" s="2"/>
      <c r="F32" s="6">
        <f t="shared" si="12"/>
        <v>0</v>
      </c>
      <c r="G32" s="2"/>
      <c r="H32" s="7">
        <v>5661.5384615384601</v>
      </c>
      <c r="I32" s="2"/>
      <c r="J32" s="6">
        <f t="shared" si="13"/>
        <v>0</v>
      </c>
      <c r="K32" s="2"/>
      <c r="L32" s="7">
        <f t="shared" si="14"/>
        <v>306.16153846153975</v>
      </c>
      <c r="M32" s="2"/>
      <c r="N32" s="6">
        <f t="shared" si="15"/>
        <v>5.4077445652174157E-2</v>
      </c>
      <c r="O32" s="11"/>
      <c r="P32" s="7">
        <v>18208.769999999997</v>
      </c>
      <c r="Q32" s="2"/>
      <c r="R32" s="6">
        <f t="shared" si="16"/>
        <v>0</v>
      </c>
      <c r="S32" s="2"/>
      <c r="T32" s="7">
        <v>20381.538461538461</v>
      </c>
      <c r="U32" s="2"/>
      <c r="V32" s="6">
        <f t="shared" si="17"/>
        <v>0</v>
      </c>
      <c r="W32" s="2"/>
      <c r="X32" s="7">
        <f t="shared" si="18"/>
        <v>-2172.7684615384642</v>
      </c>
      <c r="Y32" s="2"/>
      <c r="Z32" s="6">
        <f t="shared" si="19"/>
        <v>-0.1066047327898552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7">
        <v>-44957.29</v>
      </c>
      <c r="E37" s="2"/>
      <c r="F37" s="6">
        <f t="shared" si="12"/>
        <v>0</v>
      </c>
      <c r="G37" s="2"/>
      <c r="H37" s="7">
        <v>1400</v>
      </c>
      <c r="I37" s="2"/>
      <c r="J37" s="6">
        <f t="shared" si="13"/>
        <v>0</v>
      </c>
      <c r="K37" s="2"/>
      <c r="L37" s="7">
        <f t="shared" si="14"/>
        <v>-46357.29</v>
      </c>
      <c r="M37" s="2"/>
      <c r="N37" s="6">
        <f t="shared" si="15"/>
        <v>-33.112349999999999</v>
      </c>
      <c r="O37" s="11"/>
      <c r="P37" s="7">
        <v>-44957.29</v>
      </c>
      <c r="Q37" s="2"/>
      <c r="R37" s="6">
        <f t="shared" si="16"/>
        <v>0</v>
      </c>
      <c r="S37" s="2"/>
      <c r="T37" s="7">
        <v>1400</v>
      </c>
      <c r="U37" s="2"/>
      <c r="V37" s="6">
        <f t="shared" si="17"/>
        <v>0</v>
      </c>
      <c r="W37" s="2"/>
      <c r="X37" s="7">
        <f t="shared" si="18"/>
        <v>-46357.29</v>
      </c>
      <c r="Y37" s="2"/>
      <c r="Z37" s="6">
        <f t="shared" si="19"/>
        <v>-33.112349999999999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1120</v>
      </c>
      <c r="U38" s="2"/>
      <c r="V38" s="6">
        <f t="shared" si="17"/>
        <v>0</v>
      </c>
      <c r="W38" s="2"/>
      <c r="X38" s="7">
        <f t="shared" si="18"/>
        <v>-1120</v>
      </c>
      <c r="Y38" s="2"/>
      <c r="Z38" s="6">
        <f t="shared" si="19"/>
        <v>-1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7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9" si="20">IF(D$12=0,0,D41/D$12)</f>
        <v>0</v>
      </c>
      <c r="G41" s="1"/>
      <c r="H41" s="1">
        <f>SUM(OSRRefH22_2x_0)</f>
        <v>500</v>
      </c>
      <c r="I41" s="1"/>
      <c r="J41" s="5">
        <f t="shared" ref="J41:J59" si="21">IF(H$12=0,0,H41/H$12)</f>
        <v>0</v>
      </c>
      <c r="K41" s="1"/>
      <c r="L41" s="1">
        <f t="shared" ref="L41:L59" si="22">+D41-H41</f>
        <v>-500</v>
      </c>
      <c r="M41" s="1"/>
      <c r="N41" s="5">
        <f t="shared" ref="N41:N59" si="23">IF(H41=0,0,L41/H41)</f>
        <v>-1</v>
      </c>
      <c r="O41" s="14"/>
      <c r="P41" s="1">
        <f>SUM(OSRRefP22_2x_0)</f>
        <v>66.8</v>
      </c>
      <c r="Q41" s="1"/>
      <c r="R41" s="5">
        <f t="shared" ref="R41:R59" si="24">IF(P$12=0,0,P41/P$12)</f>
        <v>0</v>
      </c>
      <c r="S41" s="1"/>
      <c r="T41" s="1">
        <f>SUM(OSRRefT22_2x_0)</f>
        <v>2000</v>
      </c>
      <c r="U41" s="1"/>
      <c r="V41" s="5">
        <f t="shared" ref="V41:V59" si="25">IF(T$12=0,0,T41/T$12)</f>
        <v>0</v>
      </c>
      <c r="W41" s="1"/>
      <c r="X41" s="1">
        <f t="shared" ref="X41:X59" si="26">+P41-T41</f>
        <v>-1933.2</v>
      </c>
      <c r="Y41" s="1"/>
      <c r="Z41" s="5">
        <f t="shared" ref="Z41:Z59" si="27">IF(T41=0,0,X41/T41)</f>
        <v>-0.96660000000000001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0"/>
        <v>0</v>
      </c>
      <c r="G42" s="2"/>
      <c r="H42" s="7">
        <v>500</v>
      </c>
      <c r="I42" s="2"/>
      <c r="J42" s="6">
        <f t="shared" si="21"/>
        <v>0</v>
      </c>
      <c r="K42" s="2"/>
      <c r="L42" s="7">
        <f t="shared" si="22"/>
        <v>-500</v>
      </c>
      <c r="M42" s="2"/>
      <c r="N42" s="6">
        <f t="shared" si="23"/>
        <v>-1</v>
      </c>
      <c r="O42" s="11"/>
      <c r="P42" s="7">
        <v>66.8</v>
      </c>
      <c r="Q42" s="2"/>
      <c r="R42" s="6">
        <f t="shared" si="24"/>
        <v>0</v>
      </c>
      <c r="S42" s="2"/>
      <c r="T42" s="7">
        <v>2000</v>
      </c>
      <c r="U42" s="2"/>
      <c r="V42" s="6">
        <f t="shared" si="25"/>
        <v>0</v>
      </c>
      <c r="W42" s="2"/>
      <c r="X42" s="7">
        <f t="shared" si="26"/>
        <v>-1933.2</v>
      </c>
      <c r="Y42" s="2"/>
      <c r="Z42" s="6">
        <f t="shared" si="27"/>
        <v>-0.96660000000000001</v>
      </c>
    </row>
    <row r="43" spans="1:26" s="27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314.87</v>
      </c>
      <c r="E43" s="1"/>
      <c r="F43" s="5">
        <f t="shared" si="20"/>
        <v>0</v>
      </c>
      <c r="G43" s="1"/>
      <c r="H43" s="1">
        <f>SUM(OSRRefH22_3x_0)</f>
        <v>315</v>
      </c>
      <c r="I43" s="1"/>
      <c r="J43" s="5">
        <f t="shared" si="21"/>
        <v>0</v>
      </c>
      <c r="K43" s="1"/>
      <c r="L43" s="1">
        <f t="shared" si="22"/>
        <v>-0.12999999999999545</v>
      </c>
      <c r="M43" s="1"/>
      <c r="N43" s="5">
        <f t="shared" si="23"/>
        <v>-4.1269841269839827E-4</v>
      </c>
      <c r="O43" s="14"/>
      <c r="P43" s="1">
        <f>SUM(OSRRefP22_3x_0)</f>
        <v>1259.48</v>
      </c>
      <c r="Q43" s="1"/>
      <c r="R43" s="5">
        <f t="shared" si="24"/>
        <v>0</v>
      </c>
      <c r="S43" s="1"/>
      <c r="T43" s="1">
        <f>SUM(OSRRefT22_3x_0)</f>
        <v>1260</v>
      </c>
      <c r="U43" s="1"/>
      <c r="V43" s="5">
        <f t="shared" si="25"/>
        <v>0</v>
      </c>
      <c r="W43" s="1"/>
      <c r="X43" s="1">
        <f t="shared" si="26"/>
        <v>-0.51999999999998181</v>
      </c>
      <c r="Y43" s="1"/>
      <c r="Z43" s="5">
        <f t="shared" si="27"/>
        <v>-4.1269841269839827E-4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314.87</v>
      </c>
      <c r="E44" s="2"/>
      <c r="F44" s="6">
        <f t="shared" si="20"/>
        <v>0</v>
      </c>
      <c r="G44" s="2"/>
      <c r="H44" s="7">
        <v>315</v>
      </c>
      <c r="I44" s="2"/>
      <c r="J44" s="6">
        <f t="shared" si="21"/>
        <v>0</v>
      </c>
      <c r="K44" s="2"/>
      <c r="L44" s="7">
        <f t="shared" si="22"/>
        <v>-0.12999999999999545</v>
      </c>
      <c r="M44" s="2"/>
      <c r="N44" s="6">
        <f t="shared" si="23"/>
        <v>-4.1269841269839827E-4</v>
      </c>
      <c r="O44" s="11"/>
      <c r="P44" s="7">
        <v>1259.48</v>
      </c>
      <c r="Q44" s="2"/>
      <c r="R44" s="6">
        <f t="shared" si="24"/>
        <v>0</v>
      </c>
      <c r="S44" s="2"/>
      <c r="T44" s="7">
        <v>1260</v>
      </c>
      <c r="U44" s="2"/>
      <c r="V44" s="6">
        <f t="shared" si="25"/>
        <v>0</v>
      </c>
      <c r="W44" s="2"/>
      <c r="X44" s="7">
        <f t="shared" si="26"/>
        <v>-0.51999999999998181</v>
      </c>
      <c r="Y44" s="2"/>
      <c r="Z44" s="6">
        <f t="shared" si="27"/>
        <v>-4.1269841269839827E-4</v>
      </c>
    </row>
    <row r="45" spans="1:26" s="27" customFormat="1" outlineLevel="1" collapsed="1" x14ac:dyDescent="0.25">
      <c r="A45" s="29"/>
      <c r="B45" s="14" t="str">
        <f>CONCATENATE("     ","Donations                                         ")</f>
        <v xml:space="preserve">     Donations                                         </v>
      </c>
      <c r="C45" s="14"/>
      <c r="D45" s="1">
        <f>SUM(OSRRefD22_4x_0)</f>
        <v>25000</v>
      </c>
      <c r="E45" s="1"/>
      <c r="F45" s="5">
        <f t="shared" si="20"/>
        <v>0</v>
      </c>
      <c r="G45" s="1"/>
      <c r="H45" s="1">
        <f>SUM(OSRRefH22_4x_0)</f>
        <v>5000</v>
      </c>
      <c r="I45" s="1"/>
      <c r="J45" s="5">
        <f t="shared" si="21"/>
        <v>0</v>
      </c>
      <c r="K45" s="1"/>
      <c r="L45" s="1">
        <f t="shared" si="22"/>
        <v>20000</v>
      </c>
      <c r="M45" s="1"/>
      <c r="N45" s="5">
        <f t="shared" si="23"/>
        <v>4</v>
      </c>
      <c r="O45" s="14"/>
      <c r="P45" s="1">
        <f>SUM(OSRRefP22_4x_0)</f>
        <v>25000</v>
      </c>
      <c r="Q45" s="1"/>
      <c r="R45" s="5">
        <f t="shared" si="24"/>
        <v>0</v>
      </c>
      <c r="S45" s="1"/>
      <c r="T45" s="1">
        <f>SUM(OSRRefT22_4x_0)</f>
        <v>31500</v>
      </c>
      <c r="U45" s="1"/>
      <c r="V45" s="5">
        <f t="shared" si="25"/>
        <v>0</v>
      </c>
      <c r="W45" s="1"/>
      <c r="X45" s="1">
        <f t="shared" si="26"/>
        <v>-6500</v>
      </c>
      <c r="Y45" s="1"/>
      <c r="Z45" s="5">
        <f t="shared" si="27"/>
        <v>-0.20634920634920634</v>
      </c>
    </row>
    <row r="46" spans="1:26" s="24" customFormat="1" hidden="1" outlineLevel="2" x14ac:dyDescent="0.25">
      <c r="A46" s="28"/>
      <c r="B46" s="11" t="str">
        <f>CONCATENATE("          ", "6399", " - ", "DONATION-ON CAMPUS")</f>
        <v xml:space="preserve">          6399 - DONATION-ON CAMPUS</v>
      </c>
      <c r="C46" s="11"/>
      <c r="D46" s="7">
        <v>25000</v>
      </c>
      <c r="E46" s="2"/>
      <c r="F46" s="6">
        <f t="shared" si="20"/>
        <v>0</v>
      </c>
      <c r="G46" s="2"/>
      <c r="H46" s="7">
        <v>5000</v>
      </c>
      <c r="I46" s="2"/>
      <c r="J46" s="6">
        <f t="shared" si="21"/>
        <v>0</v>
      </c>
      <c r="K46" s="2"/>
      <c r="L46" s="7">
        <f t="shared" si="22"/>
        <v>20000</v>
      </c>
      <c r="M46" s="2"/>
      <c r="N46" s="6">
        <f t="shared" si="23"/>
        <v>4</v>
      </c>
      <c r="O46" s="11"/>
      <c r="P46" s="7">
        <v>25000</v>
      </c>
      <c r="Q46" s="2"/>
      <c r="R46" s="6">
        <f t="shared" si="24"/>
        <v>0</v>
      </c>
      <c r="S46" s="2"/>
      <c r="T46" s="7">
        <v>31500</v>
      </c>
      <c r="U46" s="2"/>
      <c r="V46" s="6">
        <f t="shared" si="25"/>
        <v>0</v>
      </c>
      <c r="W46" s="2"/>
      <c r="X46" s="7">
        <f t="shared" si="26"/>
        <v>-6500</v>
      </c>
      <c r="Y46" s="2"/>
      <c r="Z46" s="6">
        <f t="shared" si="27"/>
        <v>-0.20634920634920634</v>
      </c>
    </row>
    <row r="47" spans="1:26" s="27" customFormat="1" outlineLevel="1" collapsed="1" x14ac:dyDescent="0.25">
      <c r="A47" s="29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0</v>
      </c>
      <c r="I47" s="1"/>
      <c r="J47" s="5">
        <f t="shared" si="21"/>
        <v>0</v>
      </c>
      <c r="K47" s="1"/>
      <c r="L47" s="1">
        <f t="shared" si="22"/>
        <v>0</v>
      </c>
      <c r="M47" s="1"/>
      <c r="N47" s="5">
        <f t="shared" si="23"/>
        <v>0</v>
      </c>
      <c r="O47" s="14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1000</v>
      </c>
      <c r="U47" s="1"/>
      <c r="V47" s="5">
        <f t="shared" si="25"/>
        <v>0</v>
      </c>
      <c r="W47" s="1"/>
      <c r="X47" s="1">
        <f t="shared" si="26"/>
        <v>-1000</v>
      </c>
      <c r="Y47" s="1"/>
      <c r="Z47" s="5">
        <f t="shared" si="27"/>
        <v>-1</v>
      </c>
    </row>
    <row r="48" spans="1:26" s="24" customFormat="1" hidden="1" outlineLevel="2" x14ac:dyDescent="0.25">
      <c r="A48" s="28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0"/>
        <v>0</v>
      </c>
      <c r="G48" s="2"/>
      <c r="H48" s="7"/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1000</v>
      </c>
      <c r="U48" s="2"/>
      <c r="V48" s="6">
        <f t="shared" si="25"/>
        <v>0</v>
      </c>
      <c r="W48" s="2"/>
      <c r="X48" s="7">
        <f t="shared" si="26"/>
        <v>-1000</v>
      </c>
      <c r="Y48" s="2"/>
      <c r="Z48" s="6">
        <f t="shared" si="27"/>
        <v>-1</v>
      </c>
    </row>
    <row r="49" spans="1:26" s="27" customFormat="1" outlineLevel="1" collapsed="1" x14ac:dyDescent="0.25">
      <c r="A49" s="29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SUM(OSRRefD22_6x_0)</f>
        <v>117.71</v>
      </c>
      <c r="E49" s="1"/>
      <c r="F49" s="5">
        <f t="shared" si="20"/>
        <v>0</v>
      </c>
      <c r="G49" s="1"/>
      <c r="H49" s="1">
        <f>SUM(OSRRefH22_6x_0)</f>
        <v>118</v>
      </c>
      <c r="I49" s="1"/>
      <c r="J49" s="5">
        <f t="shared" si="21"/>
        <v>0</v>
      </c>
      <c r="K49" s="1"/>
      <c r="L49" s="1">
        <f t="shared" si="22"/>
        <v>-0.29000000000000625</v>
      </c>
      <c r="M49" s="1"/>
      <c r="N49" s="5">
        <f t="shared" si="23"/>
        <v>-2.457627118644121E-3</v>
      </c>
      <c r="O49" s="14"/>
      <c r="P49" s="1">
        <f>SUM(OSRRefP22_6x_0)</f>
        <v>470.84</v>
      </c>
      <c r="Q49" s="1"/>
      <c r="R49" s="5">
        <f t="shared" si="24"/>
        <v>0</v>
      </c>
      <c r="S49" s="1"/>
      <c r="T49" s="1">
        <f>SUM(OSRRefT22_6x_0)</f>
        <v>472</v>
      </c>
      <c r="U49" s="1"/>
      <c r="V49" s="5">
        <f t="shared" si="25"/>
        <v>0</v>
      </c>
      <c r="W49" s="1"/>
      <c r="X49" s="1">
        <f t="shared" si="26"/>
        <v>-1.160000000000025</v>
      </c>
      <c r="Y49" s="1"/>
      <c r="Z49" s="5">
        <f t="shared" si="27"/>
        <v>-2.457627118644121E-3</v>
      </c>
    </row>
    <row r="50" spans="1:26" s="24" customFormat="1" hidden="1" outlineLevel="2" x14ac:dyDescent="0.25">
      <c r="A50" s="28"/>
      <c r="B50" s="11" t="str">
        <f>CONCATENATE("          ", "6351", " - ", "EQUIPMENT RENTAL")</f>
        <v xml:space="preserve">          6351 - EQUIPMENT RENTAL</v>
      </c>
      <c r="C50" s="11"/>
      <c r="D50" s="7">
        <v>117.71</v>
      </c>
      <c r="E50" s="2"/>
      <c r="F50" s="6">
        <f t="shared" si="20"/>
        <v>0</v>
      </c>
      <c r="G50" s="2"/>
      <c r="H50" s="7">
        <v>118</v>
      </c>
      <c r="I50" s="2"/>
      <c r="J50" s="6">
        <f t="shared" si="21"/>
        <v>0</v>
      </c>
      <c r="K50" s="2"/>
      <c r="L50" s="7">
        <f t="shared" si="22"/>
        <v>-0.29000000000000625</v>
      </c>
      <c r="M50" s="2"/>
      <c r="N50" s="6">
        <f t="shared" si="23"/>
        <v>-2.457627118644121E-3</v>
      </c>
      <c r="O50" s="11"/>
      <c r="P50" s="7">
        <v>470.84</v>
      </c>
      <c r="Q50" s="2"/>
      <c r="R50" s="6">
        <f t="shared" si="24"/>
        <v>0</v>
      </c>
      <c r="S50" s="2"/>
      <c r="T50" s="7">
        <v>472</v>
      </c>
      <c r="U50" s="2"/>
      <c r="V50" s="6">
        <f t="shared" si="25"/>
        <v>0</v>
      </c>
      <c r="W50" s="2"/>
      <c r="X50" s="7">
        <f t="shared" si="26"/>
        <v>-1.160000000000025</v>
      </c>
      <c r="Y50" s="2"/>
      <c r="Z50" s="6">
        <f t="shared" si="27"/>
        <v>-2.457627118644121E-3</v>
      </c>
    </row>
    <row r="51" spans="1:26" s="27" customFormat="1" outlineLevel="1" collapsed="1" x14ac:dyDescent="0.25">
      <c r="A51" s="29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SUM(OSRRefD22_7x_0)</f>
        <v>38.78</v>
      </c>
      <c r="E51" s="1"/>
      <c r="F51" s="5">
        <f t="shared" si="20"/>
        <v>0</v>
      </c>
      <c r="G51" s="1"/>
      <c r="H51" s="1">
        <f>SUM(OSRRefH22_7x_0)</f>
        <v>15</v>
      </c>
      <c r="I51" s="1"/>
      <c r="J51" s="5">
        <f t="shared" si="21"/>
        <v>0</v>
      </c>
      <c r="K51" s="1"/>
      <c r="L51" s="1">
        <f t="shared" si="22"/>
        <v>23.78</v>
      </c>
      <c r="M51" s="1"/>
      <c r="N51" s="5">
        <f t="shared" si="23"/>
        <v>1.5853333333333335</v>
      </c>
      <c r="O51" s="14"/>
      <c r="P51" s="1">
        <f>SUM(OSRRefP22_7x_0)</f>
        <v>63.56</v>
      </c>
      <c r="Q51" s="1"/>
      <c r="R51" s="5">
        <f t="shared" si="24"/>
        <v>0</v>
      </c>
      <c r="S51" s="1"/>
      <c r="T51" s="1">
        <f>SUM(OSRRefT22_7x_0)</f>
        <v>60</v>
      </c>
      <c r="U51" s="1"/>
      <c r="V51" s="5">
        <f t="shared" si="25"/>
        <v>0</v>
      </c>
      <c r="W51" s="1"/>
      <c r="X51" s="1">
        <f t="shared" si="26"/>
        <v>3.5600000000000023</v>
      </c>
      <c r="Y51" s="1"/>
      <c r="Z51" s="5">
        <f t="shared" si="27"/>
        <v>5.933333333333337E-2</v>
      </c>
    </row>
    <row r="52" spans="1:26" s="24" customFormat="1" hidden="1" outlineLevel="2" x14ac:dyDescent="0.25">
      <c r="A52" s="28"/>
      <c r="B52" s="11" t="str">
        <f>CONCATENATE("          ", "6307", " - ", "POSTAGE")</f>
        <v xml:space="preserve">          6307 - POSTAGE</v>
      </c>
      <c r="C52" s="11"/>
      <c r="D52" s="7">
        <v>38.78</v>
      </c>
      <c r="E52" s="2"/>
      <c r="F52" s="6">
        <f t="shared" si="20"/>
        <v>0</v>
      </c>
      <c r="G52" s="2"/>
      <c r="H52" s="7">
        <v>15</v>
      </c>
      <c r="I52" s="2"/>
      <c r="J52" s="6">
        <f t="shared" si="21"/>
        <v>0</v>
      </c>
      <c r="K52" s="2"/>
      <c r="L52" s="7">
        <f t="shared" si="22"/>
        <v>23.78</v>
      </c>
      <c r="M52" s="2"/>
      <c r="N52" s="6">
        <f t="shared" si="23"/>
        <v>1.5853333333333335</v>
      </c>
      <c r="O52" s="11"/>
      <c r="P52" s="7">
        <v>63.56</v>
      </c>
      <c r="Q52" s="2"/>
      <c r="R52" s="6">
        <f t="shared" si="24"/>
        <v>0</v>
      </c>
      <c r="S52" s="2"/>
      <c r="T52" s="7">
        <v>60</v>
      </c>
      <c r="U52" s="2"/>
      <c r="V52" s="6">
        <f t="shared" si="25"/>
        <v>0</v>
      </c>
      <c r="W52" s="2"/>
      <c r="X52" s="7">
        <f t="shared" si="26"/>
        <v>3.5600000000000023</v>
      </c>
      <c r="Y52" s="2"/>
      <c r="Z52" s="6">
        <f t="shared" si="27"/>
        <v>5.933333333333337E-2</v>
      </c>
    </row>
    <row r="53" spans="1:26" s="27" customFormat="1" outlineLevel="1" collapsed="1" x14ac:dyDescent="0.25">
      <c r="A53" s="29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0</v>
      </c>
      <c r="I53" s="1"/>
      <c r="J53" s="5">
        <f t="shared" si="21"/>
        <v>0</v>
      </c>
      <c r="K53" s="1"/>
      <c r="L53" s="1">
        <f t="shared" si="22"/>
        <v>0</v>
      </c>
      <c r="M53" s="1"/>
      <c r="N53" s="5">
        <f t="shared" si="23"/>
        <v>0</v>
      </c>
      <c r="O53" s="14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500</v>
      </c>
      <c r="U53" s="1"/>
      <c r="V53" s="5">
        <f t="shared" si="25"/>
        <v>0</v>
      </c>
      <c r="W53" s="1"/>
      <c r="X53" s="1">
        <f t="shared" si="26"/>
        <v>-500</v>
      </c>
      <c r="Y53" s="1"/>
      <c r="Z53" s="5">
        <f t="shared" si="27"/>
        <v>-1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20"/>
        <v>0</v>
      </c>
      <c r="G54" s="2"/>
      <c r="H54" s="7"/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500</v>
      </c>
      <c r="U54" s="2"/>
      <c r="V54" s="6">
        <f t="shared" si="25"/>
        <v>0</v>
      </c>
      <c r="W54" s="2"/>
      <c r="X54" s="7">
        <f t="shared" si="26"/>
        <v>-500</v>
      </c>
      <c r="Y54" s="2"/>
      <c r="Z54" s="6">
        <f t="shared" si="27"/>
        <v>-1</v>
      </c>
    </row>
    <row r="55" spans="1:26" s="27" customFormat="1" outlineLevel="1" collapsed="1" x14ac:dyDescent="0.25">
      <c r="A55" s="29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SUM(OSRRefD22_9x_0)</f>
        <v>115.13</v>
      </c>
      <c r="E55" s="1"/>
      <c r="F55" s="5">
        <f t="shared" si="20"/>
        <v>0</v>
      </c>
      <c r="G55" s="1"/>
      <c r="H55" s="1">
        <f>SUM(OSRRefH22_9x_0)</f>
        <v>126</v>
      </c>
      <c r="I55" s="1"/>
      <c r="J55" s="5">
        <f t="shared" si="21"/>
        <v>0</v>
      </c>
      <c r="K55" s="1"/>
      <c r="L55" s="1">
        <f t="shared" si="22"/>
        <v>-10.870000000000005</v>
      </c>
      <c r="M55" s="1"/>
      <c r="N55" s="5">
        <f t="shared" si="23"/>
        <v>-8.6269841269841302E-2</v>
      </c>
      <c r="O55" s="14"/>
      <c r="P55" s="1">
        <f>SUM(OSRRefP22_9x_0)</f>
        <v>460.52</v>
      </c>
      <c r="Q55" s="1"/>
      <c r="R55" s="5">
        <f t="shared" si="24"/>
        <v>0</v>
      </c>
      <c r="S55" s="1"/>
      <c r="T55" s="1">
        <f>SUM(OSRRefT22_9x_0)</f>
        <v>504</v>
      </c>
      <c r="U55" s="1"/>
      <c r="V55" s="5">
        <f t="shared" si="25"/>
        <v>0</v>
      </c>
      <c r="W55" s="1"/>
      <c r="X55" s="1">
        <f t="shared" si="26"/>
        <v>-43.480000000000018</v>
      </c>
      <c r="Y55" s="1"/>
      <c r="Z55" s="5">
        <f t="shared" si="27"/>
        <v>-8.6269841269841302E-2</v>
      </c>
    </row>
    <row r="56" spans="1:26" s="24" customFormat="1" hidden="1" outlineLevel="2" x14ac:dyDescent="0.25">
      <c r="A56" s="28"/>
      <c r="B56" s="11" t="str">
        <f>CONCATENATE("          ", "6314", " - ", "LIABILITY INSURANCE")</f>
        <v xml:space="preserve">          6314 - LIABILITY INSURANCE</v>
      </c>
      <c r="C56" s="11"/>
      <c r="D56" s="7">
        <v>115.13</v>
      </c>
      <c r="E56" s="2"/>
      <c r="F56" s="6">
        <f t="shared" si="20"/>
        <v>0</v>
      </c>
      <c r="G56" s="2"/>
      <c r="H56" s="7">
        <v>126</v>
      </c>
      <c r="I56" s="2"/>
      <c r="J56" s="6">
        <f t="shared" si="21"/>
        <v>0</v>
      </c>
      <c r="K56" s="2"/>
      <c r="L56" s="7">
        <f t="shared" si="22"/>
        <v>-10.870000000000005</v>
      </c>
      <c r="M56" s="2"/>
      <c r="N56" s="6">
        <f t="shared" si="23"/>
        <v>-8.6269841269841302E-2</v>
      </c>
      <c r="O56" s="11"/>
      <c r="P56" s="7">
        <v>460.52</v>
      </c>
      <c r="Q56" s="2"/>
      <c r="R56" s="6">
        <f t="shared" si="24"/>
        <v>0</v>
      </c>
      <c r="S56" s="2"/>
      <c r="T56" s="7">
        <v>504</v>
      </c>
      <c r="U56" s="2"/>
      <c r="V56" s="6">
        <f t="shared" si="25"/>
        <v>0</v>
      </c>
      <c r="W56" s="2"/>
      <c r="X56" s="7">
        <f t="shared" si="26"/>
        <v>-43.480000000000018</v>
      </c>
      <c r="Y56" s="2"/>
      <c r="Z56" s="6">
        <f t="shared" si="27"/>
        <v>-8.6269841269841302E-2</v>
      </c>
    </row>
    <row r="57" spans="1:26" s="27" customFormat="1" outlineLevel="1" collapsed="1" x14ac:dyDescent="0.25">
      <c r="A57" s="29"/>
      <c r="B57" s="14" t="str">
        <f>CONCATENATE("     ","Professional Services                             ")</f>
        <v xml:space="preserve">     Professional Services                             </v>
      </c>
      <c r="C57" s="14"/>
      <c r="D57" s="1">
        <f>SUM(OSRRefD22_10x_0)</f>
        <v>16280</v>
      </c>
      <c r="E57" s="1"/>
      <c r="F57" s="5">
        <f t="shared" si="20"/>
        <v>0</v>
      </c>
      <c r="G57" s="1"/>
      <c r="H57" s="1">
        <f>SUM(OSRRefH22_10x_0)</f>
        <v>15000</v>
      </c>
      <c r="I57" s="1"/>
      <c r="J57" s="5">
        <f t="shared" si="21"/>
        <v>0</v>
      </c>
      <c r="K57" s="1"/>
      <c r="L57" s="1">
        <f t="shared" si="22"/>
        <v>1280</v>
      </c>
      <c r="M57" s="1"/>
      <c r="N57" s="5">
        <f t="shared" si="23"/>
        <v>8.533333333333333E-2</v>
      </c>
      <c r="O57" s="14"/>
      <c r="P57" s="1">
        <f>SUM(OSRRefP22_10x_0)</f>
        <v>25930</v>
      </c>
      <c r="Q57" s="1"/>
      <c r="R57" s="5">
        <f t="shared" si="24"/>
        <v>0</v>
      </c>
      <c r="S57" s="1"/>
      <c r="T57" s="1">
        <f>SUM(OSRRefT22_10x_0)</f>
        <v>28500</v>
      </c>
      <c r="U57" s="1"/>
      <c r="V57" s="5">
        <f t="shared" si="25"/>
        <v>0</v>
      </c>
      <c r="W57" s="1"/>
      <c r="X57" s="1">
        <f t="shared" si="26"/>
        <v>-2570</v>
      </c>
      <c r="Y57" s="1"/>
      <c r="Z57" s="5">
        <f t="shared" si="27"/>
        <v>-9.0175438596491228E-2</v>
      </c>
    </row>
    <row r="58" spans="1:26" s="24" customFormat="1" hidden="1" outlineLevel="2" x14ac:dyDescent="0.25">
      <c r="A58" s="28"/>
      <c r="B58" s="11" t="str">
        <f>CONCATENATE("          ", "6331", " - ", "INDIRECT COSTS-AUXILIARY ORGAN")</f>
        <v xml:space="preserve">          6331 - INDIRECT COSTS-AUXILIARY ORGAN</v>
      </c>
      <c r="C58" s="11"/>
      <c r="D58" s="7">
        <v>15000</v>
      </c>
      <c r="E58" s="2"/>
      <c r="F58" s="6">
        <f t="shared" si="20"/>
        <v>0</v>
      </c>
      <c r="G58" s="2"/>
      <c r="H58" s="7">
        <v>15000</v>
      </c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>
        <v>23500</v>
      </c>
      <c r="Q58" s="2"/>
      <c r="R58" s="6">
        <f t="shared" si="24"/>
        <v>0</v>
      </c>
      <c r="S58" s="2"/>
      <c r="T58" s="7">
        <v>27000</v>
      </c>
      <c r="U58" s="2"/>
      <c r="V58" s="6">
        <f t="shared" si="25"/>
        <v>0</v>
      </c>
      <c r="W58" s="2"/>
      <c r="X58" s="7">
        <f t="shared" si="26"/>
        <v>-3500</v>
      </c>
      <c r="Y58" s="2"/>
      <c r="Z58" s="6">
        <f t="shared" si="27"/>
        <v>-0.12962962962962962</v>
      </c>
    </row>
    <row r="59" spans="1:26" s="24" customFormat="1" hidden="1" outlineLevel="2" x14ac:dyDescent="0.25">
      <c r="A59" s="28"/>
      <c r="B59" s="11" t="str">
        <f>CONCATENATE("          ", "6334", " - ", "LEGAL COUNCIL EXPENSE")</f>
        <v xml:space="preserve">          6334 - LEGAL COUNCIL EXPENSE</v>
      </c>
      <c r="C59" s="11"/>
      <c r="D59" s="7">
        <v>1280</v>
      </c>
      <c r="E59" s="2"/>
      <c r="F59" s="6">
        <f t="shared" si="20"/>
        <v>0</v>
      </c>
      <c r="G59" s="2"/>
      <c r="H59" s="7"/>
      <c r="I59" s="2"/>
      <c r="J59" s="6">
        <f t="shared" si="21"/>
        <v>0</v>
      </c>
      <c r="K59" s="2"/>
      <c r="L59" s="7">
        <f t="shared" si="22"/>
        <v>1280</v>
      </c>
      <c r="M59" s="2"/>
      <c r="N59" s="6">
        <f t="shared" si="23"/>
        <v>0</v>
      </c>
      <c r="O59" s="11"/>
      <c r="P59" s="7">
        <v>2430</v>
      </c>
      <c r="Q59" s="2"/>
      <c r="R59" s="6">
        <f t="shared" si="24"/>
        <v>0</v>
      </c>
      <c r="S59" s="2"/>
      <c r="T59" s="7">
        <v>1500</v>
      </c>
      <c r="U59" s="2"/>
      <c r="V59" s="6">
        <f t="shared" si="25"/>
        <v>0</v>
      </c>
      <c r="W59" s="2"/>
      <c r="X59" s="7">
        <f t="shared" si="26"/>
        <v>930</v>
      </c>
      <c r="Y59" s="2"/>
      <c r="Z59" s="6">
        <f t="shared" si="27"/>
        <v>0.62</v>
      </c>
    </row>
    <row r="60" spans="1:26" s="27" customFormat="1" outlineLevel="1" collapsed="1" x14ac:dyDescent="0.25">
      <c r="A60" s="29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SUM(OSRRefD22_11x_0)</f>
        <v>2580.75</v>
      </c>
      <c r="E60" s="1"/>
      <c r="F60" s="5">
        <f t="shared" ref="F60:F67" si="28">IF(D$12=0,0,D60/D$12)</f>
        <v>0</v>
      </c>
      <c r="G60" s="1"/>
      <c r="H60" s="1">
        <f>SUM(OSRRefH22_11x_0)</f>
        <v>2182</v>
      </c>
      <c r="I60" s="1"/>
      <c r="J60" s="5">
        <f t="shared" ref="J60:J67" si="29">IF(H$12=0,0,H60/H$12)</f>
        <v>0</v>
      </c>
      <c r="K60" s="1"/>
      <c r="L60" s="1">
        <f t="shared" ref="L60:L67" si="30">+D60-H60</f>
        <v>398.75</v>
      </c>
      <c r="M60" s="1"/>
      <c r="N60" s="5">
        <f t="shared" ref="N60:N67" si="31">IF(H60=0,0,L60/H60)</f>
        <v>0.18274518790100824</v>
      </c>
      <c r="O60" s="14"/>
      <c r="P60" s="1">
        <f>SUM(OSRRefP22_11x_0)</f>
        <v>9217.6299999999992</v>
      </c>
      <c r="Q60" s="1"/>
      <c r="R60" s="5">
        <f t="shared" ref="R60:R67" si="32">IF(P$12=0,0,P60/P$12)</f>
        <v>0</v>
      </c>
      <c r="S60" s="1"/>
      <c r="T60" s="1">
        <f>SUM(OSRRefT22_11x_0)</f>
        <v>8728</v>
      </c>
      <c r="U60" s="1"/>
      <c r="V60" s="5">
        <f t="shared" ref="V60:V67" si="33">IF(T$12=0,0,T60/T$12)</f>
        <v>0</v>
      </c>
      <c r="W60" s="1"/>
      <c r="X60" s="1">
        <f t="shared" ref="X60:X67" si="34">+P60-T60</f>
        <v>489.6299999999992</v>
      </c>
      <c r="Y60" s="1"/>
      <c r="Z60" s="5">
        <f t="shared" ref="Z60:Z67" si="35">IF(T60=0,0,X60/T60)</f>
        <v>5.6098762603116317E-2</v>
      </c>
    </row>
    <row r="61" spans="1:26" s="24" customFormat="1" hidden="1" outlineLevel="2" x14ac:dyDescent="0.25">
      <c r="A61" s="28"/>
      <c r="B61" s="11" t="str">
        <f>CONCATENATE("          ", "6373", " - ", "MAINTENANCE CONTRACTS")</f>
        <v xml:space="preserve">          6373 - MAINTENANCE CONTRACTS</v>
      </c>
      <c r="C61" s="11"/>
      <c r="D61" s="7">
        <v>2580.75</v>
      </c>
      <c r="E61" s="2"/>
      <c r="F61" s="6">
        <f t="shared" si="28"/>
        <v>0</v>
      </c>
      <c r="G61" s="2"/>
      <c r="H61" s="7">
        <v>2182</v>
      </c>
      <c r="I61" s="2"/>
      <c r="J61" s="6">
        <f t="shared" si="29"/>
        <v>0</v>
      </c>
      <c r="K61" s="2"/>
      <c r="L61" s="7">
        <f t="shared" si="30"/>
        <v>398.75</v>
      </c>
      <c r="M61" s="2"/>
      <c r="N61" s="6">
        <f t="shared" si="31"/>
        <v>0.18274518790100824</v>
      </c>
      <c r="O61" s="11"/>
      <c r="P61" s="7">
        <v>9217.6299999999992</v>
      </c>
      <c r="Q61" s="2"/>
      <c r="R61" s="6">
        <f t="shared" si="32"/>
        <v>0</v>
      </c>
      <c r="S61" s="2"/>
      <c r="T61" s="7">
        <v>8728</v>
      </c>
      <c r="U61" s="2"/>
      <c r="V61" s="6">
        <f t="shared" si="33"/>
        <v>0</v>
      </c>
      <c r="W61" s="2"/>
      <c r="X61" s="7">
        <f t="shared" si="34"/>
        <v>489.6299999999992</v>
      </c>
      <c r="Y61" s="2"/>
      <c r="Z61" s="6">
        <f t="shared" si="35"/>
        <v>5.6098762603116317E-2</v>
      </c>
    </row>
    <row r="62" spans="1:26" s="27" customFormat="1" outlineLevel="1" collapsed="1" x14ac:dyDescent="0.25">
      <c r="A62" s="29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SUM(OSRRefD22_12x_0)</f>
        <v>0</v>
      </c>
      <c r="E62" s="1"/>
      <c r="F62" s="5">
        <f t="shared" si="28"/>
        <v>0</v>
      </c>
      <c r="G62" s="1"/>
      <c r="H62" s="1">
        <f>SUM(OSRRefH22_12x_0)</f>
        <v>0</v>
      </c>
      <c r="I62" s="1"/>
      <c r="J62" s="5">
        <f t="shared" si="29"/>
        <v>0</v>
      </c>
      <c r="K62" s="1"/>
      <c r="L62" s="1">
        <f t="shared" si="30"/>
        <v>0</v>
      </c>
      <c r="M62" s="1"/>
      <c r="N62" s="5">
        <f t="shared" si="31"/>
        <v>0</v>
      </c>
      <c r="O62" s="14"/>
      <c r="P62" s="1">
        <f>SUM(OSRRefP22_12x_0)</f>
        <v>1725</v>
      </c>
      <c r="Q62" s="1"/>
      <c r="R62" s="5">
        <f t="shared" si="32"/>
        <v>0</v>
      </c>
      <c r="S62" s="1"/>
      <c r="T62" s="1">
        <f>SUM(OSRRefT22_12x_0)</f>
        <v>1250</v>
      </c>
      <c r="U62" s="1"/>
      <c r="V62" s="5">
        <f t="shared" si="33"/>
        <v>0</v>
      </c>
      <c r="W62" s="1"/>
      <c r="X62" s="1">
        <f t="shared" si="34"/>
        <v>475</v>
      </c>
      <c r="Y62" s="1"/>
      <c r="Z62" s="5">
        <f t="shared" si="35"/>
        <v>0.38</v>
      </c>
    </row>
    <row r="63" spans="1:26" s="24" customFormat="1" hidden="1" outlineLevel="2" x14ac:dyDescent="0.25">
      <c r="A63" s="28"/>
      <c r="B63" s="11" t="str">
        <f>CONCATENATE("          ", "6258", " - ", "MEMBERSHIP DUES")</f>
        <v xml:space="preserve">          6258 - MEMBERSHIP DUES</v>
      </c>
      <c r="C63" s="11"/>
      <c r="D63" s="7"/>
      <c r="E63" s="2"/>
      <c r="F63" s="6">
        <f t="shared" si="28"/>
        <v>0</v>
      </c>
      <c r="G63" s="2"/>
      <c r="H63" s="7"/>
      <c r="I63" s="2"/>
      <c r="J63" s="6">
        <f t="shared" si="29"/>
        <v>0</v>
      </c>
      <c r="K63" s="2"/>
      <c r="L63" s="7">
        <f t="shared" si="30"/>
        <v>0</v>
      </c>
      <c r="M63" s="2"/>
      <c r="N63" s="6">
        <f t="shared" si="31"/>
        <v>0</v>
      </c>
      <c r="O63" s="11"/>
      <c r="P63" s="7">
        <v>1725</v>
      </c>
      <c r="Q63" s="2"/>
      <c r="R63" s="6">
        <f t="shared" si="32"/>
        <v>0</v>
      </c>
      <c r="S63" s="2"/>
      <c r="T63" s="7">
        <v>1250</v>
      </c>
      <c r="U63" s="2"/>
      <c r="V63" s="6">
        <f t="shared" si="33"/>
        <v>0</v>
      </c>
      <c r="W63" s="2"/>
      <c r="X63" s="7">
        <f t="shared" si="34"/>
        <v>475</v>
      </c>
      <c r="Y63" s="2"/>
      <c r="Z63" s="6">
        <f t="shared" si="35"/>
        <v>0.38</v>
      </c>
    </row>
    <row r="64" spans="1:26" s="27" customFormat="1" outlineLevel="1" collapsed="1" x14ac:dyDescent="0.25">
      <c r="A64" s="29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SUM(OSRRefD22_13x_0)</f>
        <v>122.54</v>
      </c>
      <c r="E64" s="1"/>
      <c r="F64" s="5">
        <f t="shared" si="28"/>
        <v>0</v>
      </c>
      <c r="G64" s="1"/>
      <c r="H64" s="1">
        <f>SUM(OSRRefH22_13x_0)</f>
        <v>1000</v>
      </c>
      <c r="I64" s="1"/>
      <c r="J64" s="5">
        <f t="shared" si="29"/>
        <v>0</v>
      </c>
      <c r="K64" s="1"/>
      <c r="L64" s="1">
        <f t="shared" si="30"/>
        <v>-877.46</v>
      </c>
      <c r="M64" s="1"/>
      <c r="N64" s="5">
        <f t="shared" si="31"/>
        <v>-0.87746000000000002</v>
      </c>
      <c r="O64" s="14"/>
      <c r="P64" s="1">
        <f>SUM(OSRRefP22_13x_0)</f>
        <v>409.48</v>
      </c>
      <c r="Q64" s="1"/>
      <c r="R64" s="5">
        <f t="shared" si="32"/>
        <v>0</v>
      </c>
      <c r="S64" s="1"/>
      <c r="T64" s="1">
        <f>SUM(OSRRefT22_13x_0)</f>
        <v>7000</v>
      </c>
      <c r="U64" s="1"/>
      <c r="V64" s="5">
        <f t="shared" si="33"/>
        <v>0</v>
      </c>
      <c r="W64" s="1"/>
      <c r="X64" s="1">
        <f t="shared" si="34"/>
        <v>-6590.52</v>
      </c>
      <c r="Y64" s="1"/>
      <c r="Z64" s="5">
        <f t="shared" si="35"/>
        <v>-0.9415028571428572</v>
      </c>
    </row>
    <row r="65" spans="1:26" s="24" customFormat="1" hidden="1" outlineLevel="2" x14ac:dyDescent="0.25">
      <c r="A65" s="28"/>
      <c r="B65" s="11" t="str">
        <f>CONCATENATE("          ", "6234", " - ", "EXPENDABLE SUPPLIES &amp; EQUIPMEN")</f>
        <v xml:space="preserve">          6234 - EXPENDABLE SUPPLIES &amp; EQUIPMEN</v>
      </c>
      <c r="C65" s="11"/>
      <c r="D65" s="7"/>
      <c r="E65" s="2"/>
      <c r="F65" s="6">
        <f t="shared" si="28"/>
        <v>0</v>
      </c>
      <c r="G65" s="2"/>
      <c r="H65" s="7">
        <v>1000</v>
      </c>
      <c r="I65" s="2"/>
      <c r="J65" s="6">
        <f t="shared" si="29"/>
        <v>0</v>
      </c>
      <c r="K65" s="2"/>
      <c r="L65" s="7">
        <f t="shared" si="30"/>
        <v>-1000</v>
      </c>
      <c r="M65" s="2"/>
      <c r="N65" s="6">
        <f t="shared" si="31"/>
        <v>-1</v>
      </c>
      <c r="O65" s="11"/>
      <c r="P65" s="7"/>
      <c r="Q65" s="2"/>
      <c r="R65" s="6">
        <f t="shared" si="32"/>
        <v>0</v>
      </c>
      <c r="S65" s="2"/>
      <c r="T65" s="7">
        <v>4000</v>
      </c>
      <c r="U65" s="2"/>
      <c r="V65" s="6">
        <f t="shared" si="33"/>
        <v>0</v>
      </c>
      <c r="W65" s="2"/>
      <c r="X65" s="7">
        <f t="shared" si="34"/>
        <v>-4000</v>
      </c>
      <c r="Y65" s="2"/>
      <c r="Z65" s="6">
        <f t="shared" si="35"/>
        <v>-1</v>
      </c>
    </row>
    <row r="66" spans="1:26" s="24" customFormat="1" hidden="1" outlineLevel="2" x14ac:dyDescent="0.25">
      <c r="A66" s="28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28"/>
        <v>0</v>
      </c>
      <c r="G66" s="2"/>
      <c r="H66" s="7"/>
      <c r="I66" s="2"/>
      <c r="J66" s="6">
        <f t="shared" si="29"/>
        <v>0</v>
      </c>
      <c r="K66" s="2"/>
      <c r="L66" s="7">
        <f t="shared" si="30"/>
        <v>0</v>
      </c>
      <c r="M66" s="2"/>
      <c r="N66" s="6">
        <f t="shared" si="31"/>
        <v>0</v>
      </c>
      <c r="O66" s="11"/>
      <c r="P66" s="7">
        <v>106.94</v>
      </c>
      <c r="Q66" s="2"/>
      <c r="R66" s="6">
        <f t="shared" si="32"/>
        <v>0</v>
      </c>
      <c r="S66" s="2"/>
      <c r="T66" s="7">
        <v>500</v>
      </c>
      <c r="U66" s="2"/>
      <c r="V66" s="6">
        <f t="shared" si="33"/>
        <v>0</v>
      </c>
      <c r="W66" s="2"/>
      <c r="X66" s="7">
        <f t="shared" si="34"/>
        <v>-393.06</v>
      </c>
      <c r="Y66" s="2"/>
      <c r="Z66" s="6">
        <f t="shared" si="35"/>
        <v>-0.78612000000000004</v>
      </c>
    </row>
    <row r="67" spans="1:26" s="24" customFormat="1" hidden="1" outlineLevel="2" x14ac:dyDescent="0.25">
      <c r="A67" s="28"/>
      <c r="B67" s="11" t="str">
        <f>CONCATENATE("          ", "6241", " - ", "OFFICE EXPENSE")</f>
        <v xml:space="preserve">          6241 - OFFICE EXPENSE</v>
      </c>
      <c r="C67" s="11"/>
      <c r="D67" s="7">
        <v>122.54</v>
      </c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122.54</v>
      </c>
      <c r="M67" s="2"/>
      <c r="N67" s="6">
        <f t="shared" si="31"/>
        <v>0</v>
      </c>
      <c r="O67" s="11"/>
      <c r="P67" s="7">
        <v>302.54000000000002</v>
      </c>
      <c r="Q67" s="2"/>
      <c r="R67" s="6">
        <f t="shared" si="32"/>
        <v>0</v>
      </c>
      <c r="S67" s="2"/>
      <c r="T67" s="7">
        <v>2500</v>
      </c>
      <c r="U67" s="2"/>
      <c r="V67" s="6">
        <f t="shared" si="33"/>
        <v>0</v>
      </c>
      <c r="W67" s="2"/>
      <c r="X67" s="7">
        <f t="shared" si="34"/>
        <v>-2197.46</v>
      </c>
      <c r="Y67" s="2"/>
      <c r="Z67" s="6">
        <f t="shared" si="35"/>
        <v>-0.87898399999999999</v>
      </c>
    </row>
    <row r="68" spans="1:26" s="27" customFormat="1" outlineLevel="1" collapsed="1" x14ac:dyDescent="0.25">
      <c r="A68" s="29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SUM(OSRRefD22_14x_0)</f>
        <v>338.06</v>
      </c>
      <c r="E68" s="1"/>
      <c r="F68" s="5">
        <f t="shared" ref="F68:F71" si="36">IF(D$12=0,0,D68/D$12)</f>
        <v>0</v>
      </c>
      <c r="G68" s="1"/>
      <c r="H68" s="1">
        <f>SUM(OSRRefH22_14x_0)</f>
        <v>350</v>
      </c>
      <c r="I68" s="1"/>
      <c r="J68" s="5">
        <f t="shared" ref="J68:J71" si="37">IF(H$12=0,0,H68/H$12)</f>
        <v>0</v>
      </c>
      <c r="K68" s="1"/>
      <c r="L68" s="1">
        <f t="shared" ref="L68:L71" si="38">+D68-H68</f>
        <v>-11.939999999999998</v>
      </c>
      <c r="M68" s="1"/>
      <c r="N68" s="5">
        <f t="shared" ref="N68:N71" si="39">IF(H68=0,0,L68/H68)</f>
        <v>-3.4114285714285708E-2</v>
      </c>
      <c r="O68" s="14"/>
      <c r="P68" s="1">
        <f>SUM(OSRRefP22_14x_0)</f>
        <v>1406.12</v>
      </c>
      <c r="Q68" s="1"/>
      <c r="R68" s="5">
        <f t="shared" ref="R68:R71" si="40">IF(P$12=0,0,P68/P$12)</f>
        <v>0</v>
      </c>
      <c r="S68" s="1"/>
      <c r="T68" s="1">
        <f>SUM(OSRRefT22_14x_0)</f>
        <v>1400</v>
      </c>
      <c r="U68" s="1"/>
      <c r="V68" s="5">
        <f t="shared" ref="V68:V71" si="41">IF(T$12=0,0,T68/T$12)</f>
        <v>0</v>
      </c>
      <c r="W68" s="1"/>
      <c r="X68" s="1">
        <f t="shared" ref="X68:X71" si="42">+P68-T68</f>
        <v>6.1199999999998909</v>
      </c>
      <c r="Y68" s="1"/>
      <c r="Z68" s="5">
        <f t="shared" ref="Z68:Z71" si="43">IF(T68=0,0,X68/T68)</f>
        <v>4.3714285714284932E-3</v>
      </c>
    </row>
    <row r="69" spans="1:26" s="24" customFormat="1" hidden="1" outlineLevel="2" x14ac:dyDescent="0.25">
      <c r="A69" s="28"/>
      <c r="B69" s="11" t="str">
        <f>CONCATENATE("          ", "6309", " - ", "TELEPHONE")</f>
        <v xml:space="preserve">          6309 - TELEPHONE</v>
      </c>
      <c r="C69" s="11"/>
      <c r="D69" s="7">
        <v>338.06</v>
      </c>
      <c r="E69" s="2"/>
      <c r="F69" s="6">
        <f t="shared" si="36"/>
        <v>0</v>
      </c>
      <c r="G69" s="2"/>
      <c r="H69" s="7">
        <v>350</v>
      </c>
      <c r="I69" s="2"/>
      <c r="J69" s="6">
        <f t="shared" si="37"/>
        <v>0</v>
      </c>
      <c r="K69" s="2"/>
      <c r="L69" s="7">
        <f t="shared" si="38"/>
        <v>-11.939999999999998</v>
      </c>
      <c r="M69" s="2"/>
      <c r="N69" s="6">
        <f t="shared" si="39"/>
        <v>-3.4114285714285708E-2</v>
      </c>
      <c r="O69" s="11"/>
      <c r="P69" s="7">
        <v>1406.12</v>
      </c>
      <c r="Q69" s="2"/>
      <c r="R69" s="6">
        <f t="shared" si="40"/>
        <v>0</v>
      </c>
      <c r="S69" s="2"/>
      <c r="T69" s="7">
        <v>1400</v>
      </c>
      <c r="U69" s="2"/>
      <c r="V69" s="6">
        <f t="shared" si="41"/>
        <v>0</v>
      </c>
      <c r="W69" s="2"/>
      <c r="X69" s="7">
        <f t="shared" si="42"/>
        <v>6.1199999999998909</v>
      </c>
      <c r="Y69" s="2"/>
      <c r="Z69" s="6">
        <f t="shared" si="43"/>
        <v>4.3714285714284932E-3</v>
      </c>
    </row>
    <row r="70" spans="1:26" s="27" customFormat="1" outlineLevel="1" collapsed="1" x14ac:dyDescent="0.25">
      <c r="A70" s="29"/>
      <c r="B70" s="14" t="str">
        <f>CONCATENATE("     ","Travel                                            ")</f>
        <v xml:space="preserve">     Travel                                            </v>
      </c>
      <c r="C70" s="14"/>
      <c r="D70" s="1">
        <f>SUM(OSRRefD22_15x_0)</f>
        <v>0</v>
      </c>
      <c r="E70" s="1"/>
      <c r="F70" s="5">
        <f t="shared" si="36"/>
        <v>0</v>
      </c>
      <c r="G70" s="1"/>
      <c r="H70" s="1">
        <f>SUM(OSRRefH22_15x_0)</f>
        <v>0</v>
      </c>
      <c r="I70" s="1"/>
      <c r="J70" s="5">
        <f t="shared" si="37"/>
        <v>0</v>
      </c>
      <c r="K70" s="1"/>
      <c r="L70" s="1">
        <f t="shared" si="38"/>
        <v>0</v>
      </c>
      <c r="M70" s="1"/>
      <c r="N70" s="5">
        <f t="shared" si="39"/>
        <v>0</v>
      </c>
      <c r="O70" s="14"/>
      <c r="P70" s="1">
        <f>SUM(OSRRefP22_15x_0)</f>
        <v>0</v>
      </c>
      <c r="Q70" s="1"/>
      <c r="R70" s="5">
        <f t="shared" si="40"/>
        <v>0</v>
      </c>
      <c r="S70" s="1"/>
      <c r="T70" s="1">
        <f>SUM(OSRRefT22_15x_0)</f>
        <v>100</v>
      </c>
      <c r="U70" s="1"/>
      <c r="V70" s="5">
        <f t="shared" si="41"/>
        <v>0</v>
      </c>
      <c r="W70" s="1"/>
      <c r="X70" s="1">
        <f t="shared" si="42"/>
        <v>-100</v>
      </c>
      <c r="Y70" s="1"/>
      <c r="Z70" s="5">
        <f t="shared" si="43"/>
        <v>-1</v>
      </c>
    </row>
    <row r="71" spans="1:26" s="24" customFormat="1" hidden="1" outlineLevel="2" x14ac:dyDescent="0.25">
      <c r="A71" s="28"/>
      <c r="B71" s="11" t="str">
        <f>CONCATENATE("          ", "6294", " - ", "TRAVEL OPERATIONAL")</f>
        <v xml:space="preserve">          6294 - TRAVEL OPERATIONAL</v>
      </c>
      <c r="C71" s="11"/>
      <c r="D71" s="7"/>
      <c r="E71" s="2"/>
      <c r="F71" s="6">
        <f t="shared" si="36"/>
        <v>0</v>
      </c>
      <c r="G71" s="2"/>
      <c r="H71" s="7"/>
      <c r="I71" s="2"/>
      <c r="J71" s="6">
        <f t="shared" si="37"/>
        <v>0</v>
      </c>
      <c r="K71" s="2"/>
      <c r="L71" s="7">
        <f t="shared" si="38"/>
        <v>0</v>
      </c>
      <c r="M71" s="2"/>
      <c r="N71" s="6">
        <f t="shared" si="39"/>
        <v>0</v>
      </c>
      <c r="O71" s="11"/>
      <c r="P71" s="7"/>
      <c r="Q71" s="2"/>
      <c r="R71" s="6">
        <f t="shared" si="40"/>
        <v>0</v>
      </c>
      <c r="S71" s="2"/>
      <c r="T71" s="7">
        <v>100</v>
      </c>
      <c r="U71" s="2"/>
      <c r="V71" s="6">
        <f t="shared" si="41"/>
        <v>0</v>
      </c>
      <c r="W71" s="2"/>
      <c r="X71" s="7">
        <f t="shared" si="42"/>
        <v>-100</v>
      </c>
      <c r="Y71" s="2"/>
      <c r="Z71" s="6">
        <f t="shared" si="43"/>
        <v>-1</v>
      </c>
    </row>
    <row r="72" spans="1:26" s="63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5" t="s">
        <v>0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6" t="s">
        <v>3</v>
      </c>
      <c r="C75" s="26"/>
      <c r="D75" s="20">
        <f>+D17-D19+D73</f>
        <v>-35310.55999999999</v>
      </c>
      <c r="E75" s="13"/>
      <c r="F75" s="19">
        <f>IF(D$12=0,0,D75/D$12)</f>
        <v>0</v>
      </c>
      <c r="G75" s="13"/>
      <c r="H75" s="20">
        <f>+H17-H19+H73</f>
        <v>-57286.947384615363</v>
      </c>
      <c r="I75" s="13"/>
      <c r="J75" s="19">
        <f>IF(H$12=0,0,H75/H$12)</f>
        <v>0</v>
      </c>
      <c r="K75" s="15"/>
      <c r="L75" s="20">
        <f>+D75-H75</f>
        <v>21976.387384615373</v>
      </c>
      <c r="M75" s="15"/>
      <c r="N75" s="19">
        <f>IF(H75=0,0,L75/H75)</f>
        <v>-0.38361945238711076</v>
      </c>
      <c r="O75" s="25"/>
      <c r="P75" s="20">
        <f>+P17-P19+P73</f>
        <v>-142566.81999999998</v>
      </c>
      <c r="Q75" s="13"/>
      <c r="R75" s="19">
        <f>IF(P$12=0,0,P75/P$12)</f>
        <v>0</v>
      </c>
      <c r="S75" s="13"/>
      <c r="T75" s="20">
        <f>+T17-T19+T73</f>
        <v>-200530.68938461528</v>
      </c>
      <c r="U75" s="13"/>
      <c r="V75" s="19">
        <f>IF(T$12=0,0,T75/T$12)</f>
        <v>0</v>
      </c>
      <c r="W75" s="15"/>
      <c r="X75" s="20">
        <f>+P75-T75</f>
        <v>57963.869384615304</v>
      </c>
      <c r="Y75" s="15"/>
      <c r="Z75" s="19">
        <f>IF(T75=0,0,X75/T75)</f>
        <v>-0.28905236182298932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14</v>
      </c>
      <c r="C77" s="10"/>
      <c r="D77" s="4"/>
      <c r="E77" s="4"/>
      <c r="F77" s="12">
        <f>IF(D$12=0,0,D77/D$12)</f>
        <v>0</v>
      </c>
      <c r="G77" s="4"/>
      <c r="H77" s="4"/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/>
      <c r="Q77" s="4"/>
      <c r="R77" s="12">
        <f>IF(P$12=0,0,P77/P$12)</f>
        <v>0</v>
      </c>
      <c r="S77" s="4"/>
      <c r="T77" s="4"/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6" t="s">
        <v>4</v>
      </c>
      <c r="C79" s="26"/>
      <c r="D79" s="34">
        <f>+D75-D77</f>
        <v>-35310.55999999999</v>
      </c>
      <c r="E79" s="13"/>
      <c r="F79" s="35">
        <f>IF(D$12=0,0,D79/D$12)</f>
        <v>0</v>
      </c>
      <c r="G79" s="13"/>
      <c r="H79" s="34">
        <f>+H75-H77</f>
        <v>-57286.947384615363</v>
      </c>
      <c r="I79" s="13"/>
      <c r="J79" s="35">
        <f>IF(H$12=0,0,H79/H$12)</f>
        <v>0</v>
      </c>
      <c r="K79" s="15"/>
      <c r="L79" s="34">
        <f>D79-H79</f>
        <v>21976.387384615373</v>
      </c>
      <c r="M79" s="15"/>
      <c r="N79" s="35">
        <f>IF(H79=0,0,L79/H79)</f>
        <v>-0.38361945238711076</v>
      </c>
      <c r="O79" s="25"/>
      <c r="P79" s="34">
        <f>+P75-P77</f>
        <v>-142566.81999999998</v>
      </c>
      <c r="Q79" s="13"/>
      <c r="R79" s="35">
        <f>IF(P$12=0,0,P79/P$12)</f>
        <v>0</v>
      </c>
      <c r="S79" s="13"/>
      <c r="T79" s="34">
        <f>+T75-T77</f>
        <v>-200530.68938461528</v>
      </c>
      <c r="U79" s="13"/>
      <c r="V79" s="35">
        <f>IF(T$12=0,0,T79/T$12)</f>
        <v>0</v>
      </c>
      <c r="W79" s="15"/>
      <c r="X79" s="34">
        <f>P79-T79</f>
        <v>57963.869384615304</v>
      </c>
      <c r="Y79" s="15"/>
      <c r="Z79" s="35">
        <f>IF(T79=0,0,X79/T79)</f>
        <v>-0.28905236182298932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6" t="s">
        <v>5</v>
      </c>
      <c r="C82" s="26"/>
      <c r="D82" s="30">
        <f>SUM(D79:D81)</f>
        <v>-35310.55999999999</v>
      </c>
      <c r="E82" s="13"/>
      <c r="F82" s="32">
        <f>IF(D$12=0,0,D82/D$12)</f>
        <v>0</v>
      </c>
      <c r="G82" s="13"/>
      <c r="H82" s="30">
        <f>SUM(H79:H81)</f>
        <v>-57286.947384615363</v>
      </c>
      <c r="I82" s="13"/>
      <c r="J82" s="32">
        <f>IF(H$12=0,0,H82/H$12)</f>
        <v>0</v>
      </c>
      <c r="K82" s="15"/>
      <c r="L82" s="30">
        <f>+D82-H82</f>
        <v>21976.387384615373</v>
      </c>
      <c r="M82" s="15"/>
      <c r="N82" s="32">
        <f>IF(H82=0,0,L82/H82)</f>
        <v>-0.38361945238711076</v>
      </c>
      <c r="O82" s="25"/>
      <c r="P82" s="30">
        <f>SUM(P79:P81)</f>
        <v>-142566.81999999998</v>
      </c>
      <c r="Q82" s="13"/>
      <c r="R82" s="32">
        <f>IF(P$12=0,0,P82/P$12)</f>
        <v>0</v>
      </c>
      <c r="S82" s="13"/>
      <c r="T82" s="30">
        <f>SUM(T79:T81)</f>
        <v>-200530.68938461528</v>
      </c>
      <c r="U82" s="13"/>
      <c r="V82" s="32">
        <f>IF(T$12=0,0,T82/T$12)</f>
        <v>0</v>
      </c>
      <c r="W82" s="15"/>
      <c r="X82" s="30">
        <f>+P82-T82</f>
        <v>57963.869384615304</v>
      </c>
      <c r="Y82" s="15"/>
      <c r="Z82" s="32">
        <f>IF(T82=0,0,X82/T82)</f>
        <v>-0.28905236182298932</v>
      </c>
    </row>
    <row r="83" spans="1:26" ht="15.75" thickTop="1" x14ac:dyDescent="0.25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60">
        <v>44151.568011921299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8" t="s">
        <v>314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3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","202", " - ", "Accounting")</f>
        <v>Department 202 - Accounting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0</v>
      </c>
      <c r="E17" s="13"/>
      <c r="F17" s="19">
        <f>IF(D$12=0,0,D17/D$12)</f>
        <v>0</v>
      </c>
      <c r="G17" s="13"/>
      <c r="H17" s="20">
        <f>H12-H15</f>
        <v>0</v>
      </c>
      <c r="I17" s="13"/>
      <c r="J17" s="19">
        <f>IF(H$12=0,0,H17/H$12)</f>
        <v>0</v>
      </c>
      <c r="K17" s="15"/>
      <c r="L17" s="20">
        <f>+D17-H17</f>
        <v>0</v>
      </c>
      <c r="M17" s="15"/>
      <c r="N17" s="19">
        <f>IF(H17=0,0,L17/H17)</f>
        <v>0</v>
      </c>
      <c r="O17" s="25"/>
      <c r="P17" s="20">
        <f>P12-P15</f>
        <v>0</v>
      </c>
      <c r="Q17" s="13"/>
      <c r="R17" s="19">
        <f>IF(P$12=0,0,P17/P$12)</f>
        <v>0</v>
      </c>
      <c r="S17" s="13"/>
      <c r="T17" s="20">
        <f>T12-T15</f>
        <v>0</v>
      </c>
      <c r="U17" s="13"/>
      <c r="V17" s="19">
        <f>IF(T$12=0,0,T17/T$12)</f>
        <v>0</v>
      </c>
      <c r="W17" s="15"/>
      <c r="X17" s="20">
        <f>+P17-T17</f>
        <v>0</v>
      </c>
      <c r="Y17" s="15"/>
      <c r="Z17" s="19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1">
        <f>SUM(OSRRefD22x_0)</f>
        <v>46110.25</v>
      </c>
      <c r="E19" s="21"/>
      <c r="F19" s="31">
        <f t="shared" ref="F19:F29" si="4">IF(D$12=0,0,D19/D$12)</f>
        <v>0</v>
      </c>
      <c r="G19" s="21"/>
      <c r="H19" s="21">
        <f>SUM(OSRRefH22x_0)</f>
        <v>41972.239519230789</v>
      </c>
      <c r="I19" s="21"/>
      <c r="J19" s="31">
        <f t="shared" ref="J19:J29" si="5">IF(H$12=0,0,H19/H$12)</f>
        <v>0</v>
      </c>
      <c r="K19" s="4"/>
      <c r="L19" s="21">
        <f t="shared" ref="L19:L29" si="6">+D19-H19</f>
        <v>4138.0104807692114</v>
      </c>
      <c r="M19" s="4"/>
      <c r="N19" s="31">
        <f t="shared" ref="N19:N29" si="7">IF(H19=0,0,L19/H19)</f>
        <v>9.8589222976135524E-2</v>
      </c>
      <c r="O19" s="10"/>
      <c r="P19" s="21">
        <f>SUM(OSRRefP22x_0)</f>
        <v>156156.54000000004</v>
      </c>
      <c r="Q19" s="21"/>
      <c r="R19" s="31">
        <f t="shared" ref="R19:R29" si="8">IF(P$12=0,0,P19/P$12)</f>
        <v>0</v>
      </c>
      <c r="S19" s="21"/>
      <c r="T19" s="21">
        <f>SUM(OSRRefT22x_0)</f>
        <v>161904.39226923091</v>
      </c>
      <c r="U19" s="21"/>
      <c r="V19" s="31">
        <f t="shared" ref="V19:V29" si="9">IF(T$12=0,0,T19/T$12)</f>
        <v>0</v>
      </c>
      <c r="W19" s="4"/>
      <c r="X19" s="21">
        <f t="shared" ref="X19:X29" si="10">+P19-T19</f>
        <v>-5747.8522692308761</v>
      </c>
      <c r="Y19" s="4"/>
      <c r="Z19" s="31">
        <f t="shared" ref="Z19:Z29" si="11">IF(T19=0,0,X19/T19)</f>
        <v>-3.5501521537925726E-2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16043.710000000001</v>
      </c>
      <c r="E20" s="1"/>
      <c r="F20" s="5">
        <f t="shared" si="4"/>
        <v>0</v>
      </c>
      <c r="G20" s="1"/>
      <c r="H20" s="1">
        <f>SUM(OSRRefH22_0x_0)</f>
        <v>13248.970288461553</v>
      </c>
      <c r="I20" s="1"/>
      <c r="J20" s="5">
        <f t="shared" si="5"/>
        <v>0</v>
      </c>
      <c r="K20" s="1"/>
      <c r="L20" s="1">
        <f t="shared" si="6"/>
        <v>2794.7397115384483</v>
      </c>
      <c r="M20" s="1"/>
      <c r="N20" s="5">
        <f t="shared" si="7"/>
        <v>0.21094014483317017</v>
      </c>
      <c r="O20" s="14"/>
      <c r="P20" s="1">
        <f>SUM(OSRRefP22_0x_0)</f>
        <v>53540.729999999996</v>
      </c>
      <c r="Q20" s="1"/>
      <c r="R20" s="5">
        <f t="shared" si="8"/>
        <v>0</v>
      </c>
      <c r="S20" s="1"/>
      <c r="T20" s="1">
        <f>SUM(OSRRefT22_0x_0)</f>
        <v>49054.62303846157</v>
      </c>
      <c r="U20" s="1"/>
      <c r="V20" s="5">
        <f t="shared" si="9"/>
        <v>0</v>
      </c>
      <c r="W20" s="1"/>
      <c r="X20" s="1">
        <f t="shared" si="10"/>
        <v>4486.1069615384258</v>
      </c>
      <c r="Y20" s="1"/>
      <c r="Z20" s="5">
        <f t="shared" si="11"/>
        <v>9.1451257469068042E-2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>
        <v>3655.26</v>
      </c>
      <c r="E21" s="2"/>
      <c r="F21" s="6">
        <f t="shared" si="4"/>
        <v>0</v>
      </c>
      <c r="G21" s="2"/>
      <c r="H21" s="7">
        <v>2031.7243269230801</v>
      </c>
      <c r="I21" s="2"/>
      <c r="J21" s="6">
        <f t="shared" si="5"/>
        <v>0</v>
      </c>
      <c r="K21" s="2"/>
      <c r="L21" s="7">
        <f t="shared" si="6"/>
        <v>1623.5356730769201</v>
      </c>
      <c r="M21" s="2"/>
      <c r="N21" s="6">
        <f t="shared" si="7"/>
        <v>0.7990925006719114</v>
      </c>
      <c r="O21" s="11"/>
      <c r="P21" s="7">
        <v>8538.33</v>
      </c>
      <c r="Q21" s="2"/>
      <c r="R21" s="6">
        <f t="shared" si="8"/>
        <v>0</v>
      </c>
      <c r="S21" s="2"/>
      <c r="T21" s="7">
        <v>7314.2075769230805</v>
      </c>
      <c r="U21" s="2"/>
      <c r="V21" s="6">
        <f t="shared" si="9"/>
        <v>0</v>
      </c>
      <c r="W21" s="2"/>
      <c r="X21" s="7">
        <f t="shared" si="10"/>
        <v>1224.1224230769194</v>
      </c>
      <c r="Y21" s="2"/>
      <c r="Z21" s="6">
        <f t="shared" si="11"/>
        <v>0.16736227543488444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7">
        <v>70.040000000000006</v>
      </c>
      <c r="E22" s="2"/>
      <c r="F22" s="6">
        <f t="shared" si="4"/>
        <v>0</v>
      </c>
      <c r="G22" s="2"/>
      <c r="H22" s="7">
        <v>91.898653846153891</v>
      </c>
      <c r="I22" s="2"/>
      <c r="J22" s="6">
        <f t="shared" si="5"/>
        <v>0</v>
      </c>
      <c r="K22" s="2"/>
      <c r="L22" s="7">
        <f t="shared" si="6"/>
        <v>-21.858653846153885</v>
      </c>
      <c r="M22" s="2"/>
      <c r="N22" s="6">
        <f t="shared" si="7"/>
        <v>-0.23785608310157749</v>
      </c>
      <c r="O22" s="11"/>
      <c r="P22" s="7">
        <v>280.10000000000002</v>
      </c>
      <c r="Q22" s="2"/>
      <c r="R22" s="6">
        <f t="shared" si="8"/>
        <v>0</v>
      </c>
      <c r="S22" s="2"/>
      <c r="T22" s="7">
        <v>326.54515384615399</v>
      </c>
      <c r="U22" s="2"/>
      <c r="V22" s="6">
        <f t="shared" si="9"/>
        <v>0</v>
      </c>
      <c r="W22" s="2"/>
      <c r="X22" s="7">
        <f t="shared" si="10"/>
        <v>-46.445153846153971</v>
      </c>
      <c r="Y22" s="2"/>
      <c r="Z22" s="6">
        <f t="shared" si="11"/>
        <v>-0.14223194954543955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7">
        <v>6246.72</v>
      </c>
      <c r="E23" s="2"/>
      <c r="F23" s="6">
        <f t="shared" si="4"/>
        <v>0</v>
      </c>
      <c r="G23" s="2"/>
      <c r="H23" s="7">
        <v>5415</v>
      </c>
      <c r="I23" s="2"/>
      <c r="J23" s="6">
        <f t="shared" si="5"/>
        <v>0</v>
      </c>
      <c r="K23" s="2"/>
      <c r="L23" s="7">
        <f t="shared" si="6"/>
        <v>831.72000000000025</v>
      </c>
      <c r="M23" s="2"/>
      <c r="N23" s="6">
        <f t="shared" si="7"/>
        <v>0.15359556786703607</v>
      </c>
      <c r="O23" s="11"/>
      <c r="P23" s="7">
        <v>22947.84</v>
      </c>
      <c r="Q23" s="2"/>
      <c r="R23" s="6">
        <f t="shared" si="8"/>
        <v>0</v>
      </c>
      <c r="S23" s="2"/>
      <c r="T23" s="7">
        <v>21660</v>
      </c>
      <c r="U23" s="2"/>
      <c r="V23" s="6">
        <f t="shared" si="9"/>
        <v>0</v>
      </c>
      <c r="W23" s="2"/>
      <c r="X23" s="7">
        <f t="shared" si="10"/>
        <v>1287.8400000000001</v>
      </c>
      <c r="Y23" s="2"/>
      <c r="Z23" s="6">
        <f t="shared" si="11"/>
        <v>5.9457063711911361E-2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7">
        <v>55.18</v>
      </c>
      <c r="E24" s="2"/>
      <c r="F24" s="6">
        <f t="shared" si="4"/>
        <v>0</v>
      </c>
      <c r="G24" s="2"/>
      <c r="H24" s="7">
        <v>72.405000000000001</v>
      </c>
      <c r="I24" s="2"/>
      <c r="J24" s="6">
        <f t="shared" si="5"/>
        <v>0</v>
      </c>
      <c r="K24" s="2"/>
      <c r="L24" s="7">
        <f t="shared" si="6"/>
        <v>-17.225000000000001</v>
      </c>
      <c r="M24" s="2"/>
      <c r="N24" s="6">
        <f t="shared" si="7"/>
        <v>-0.23789793522546787</v>
      </c>
      <c r="O24" s="11"/>
      <c r="P24" s="7">
        <v>220.67</v>
      </c>
      <c r="Q24" s="2"/>
      <c r="R24" s="6">
        <f t="shared" si="8"/>
        <v>0</v>
      </c>
      <c r="S24" s="2"/>
      <c r="T24" s="7">
        <v>257.27800000000002</v>
      </c>
      <c r="U24" s="2"/>
      <c r="V24" s="6">
        <f t="shared" si="9"/>
        <v>0</v>
      </c>
      <c r="W24" s="2"/>
      <c r="X24" s="7">
        <f t="shared" si="10"/>
        <v>-36.608000000000033</v>
      </c>
      <c r="Y24" s="2"/>
      <c r="Z24" s="6">
        <f t="shared" si="11"/>
        <v>-0.14228966332138787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7">
        <v>1978.76</v>
      </c>
      <c r="E25" s="2"/>
      <c r="F25" s="6">
        <f t="shared" si="4"/>
        <v>0</v>
      </c>
      <c r="G25" s="2"/>
      <c r="H25" s="7">
        <v>2283.1346153846198</v>
      </c>
      <c r="I25" s="2"/>
      <c r="J25" s="6">
        <f t="shared" si="5"/>
        <v>0</v>
      </c>
      <c r="K25" s="2"/>
      <c r="L25" s="7">
        <f t="shared" si="6"/>
        <v>-304.3746153846198</v>
      </c>
      <c r="M25" s="2"/>
      <c r="N25" s="6">
        <f t="shared" si="7"/>
        <v>-0.13331435357934182</v>
      </c>
      <c r="O25" s="11"/>
      <c r="P25" s="7">
        <v>8904.43</v>
      </c>
      <c r="Q25" s="2"/>
      <c r="R25" s="6">
        <f t="shared" si="8"/>
        <v>0</v>
      </c>
      <c r="S25" s="2"/>
      <c r="T25" s="7">
        <v>8219.2846153846185</v>
      </c>
      <c r="U25" s="2"/>
      <c r="V25" s="6">
        <f t="shared" si="9"/>
        <v>0</v>
      </c>
      <c r="W25" s="2"/>
      <c r="X25" s="7">
        <f t="shared" si="10"/>
        <v>685.14538461538177</v>
      </c>
      <c r="Y25" s="2"/>
      <c r="Z25" s="6">
        <f t="shared" si="11"/>
        <v>8.3358274676721439E-2</v>
      </c>
    </row>
    <row r="26" spans="1:26" s="24" customFormat="1" hidden="1" outlineLevel="2" x14ac:dyDescent="0.25">
      <c r="A26" s="28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7">
        <v>2300.4699999999998</v>
      </c>
      <c r="E27" s="2"/>
      <c r="F27" s="6">
        <f t="shared" si="4"/>
        <v>0</v>
      </c>
      <c r="G27" s="2"/>
      <c r="H27" s="7">
        <v>1327.4038461538501</v>
      </c>
      <c r="I27" s="2"/>
      <c r="J27" s="6">
        <f t="shared" si="5"/>
        <v>0</v>
      </c>
      <c r="K27" s="2"/>
      <c r="L27" s="7">
        <f t="shared" si="6"/>
        <v>973.06615384614975</v>
      </c>
      <c r="M27" s="2"/>
      <c r="N27" s="6">
        <f t="shared" si="7"/>
        <v>0.7330596160811248</v>
      </c>
      <c r="O27" s="11"/>
      <c r="P27" s="7">
        <v>6978.79</v>
      </c>
      <c r="Q27" s="2"/>
      <c r="R27" s="6">
        <f t="shared" si="8"/>
        <v>0</v>
      </c>
      <c r="S27" s="2"/>
      <c r="T27" s="7">
        <v>4778.6538461538603</v>
      </c>
      <c r="U27" s="2"/>
      <c r="V27" s="6">
        <f t="shared" si="9"/>
        <v>0</v>
      </c>
      <c r="W27" s="2"/>
      <c r="X27" s="7">
        <f t="shared" si="10"/>
        <v>2200.1361538461397</v>
      </c>
      <c r="Y27" s="2"/>
      <c r="Z27" s="6">
        <f t="shared" si="11"/>
        <v>0.46040919151675691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7">
        <v>1469.13</v>
      </c>
      <c r="E28" s="2"/>
      <c r="F28" s="6">
        <f t="shared" si="4"/>
        <v>0</v>
      </c>
      <c r="G28" s="2"/>
      <c r="H28" s="7">
        <v>1327.4038461538501</v>
      </c>
      <c r="I28" s="2"/>
      <c r="J28" s="6">
        <f t="shared" si="5"/>
        <v>0</v>
      </c>
      <c r="K28" s="2"/>
      <c r="L28" s="7">
        <f t="shared" si="6"/>
        <v>141.72615384615005</v>
      </c>
      <c r="M28" s="2"/>
      <c r="N28" s="6">
        <f t="shared" si="7"/>
        <v>0.10676943136544413</v>
      </c>
      <c r="O28" s="11"/>
      <c r="P28" s="7">
        <v>4407.3900000000003</v>
      </c>
      <c r="Q28" s="2"/>
      <c r="R28" s="6">
        <f t="shared" si="8"/>
        <v>0</v>
      </c>
      <c r="S28" s="2"/>
      <c r="T28" s="7">
        <v>4778.6538461538603</v>
      </c>
      <c r="U28" s="2"/>
      <c r="V28" s="6">
        <f t="shared" si="9"/>
        <v>0</v>
      </c>
      <c r="W28" s="2"/>
      <c r="X28" s="7">
        <f t="shared" si="10"/>
        <v>-371.26384615385996</v>
      </c>
      <c r="Y28" s="2"/>
      <c r="Z28" s="6">
        <f t="shared" si="11"/>
        <v>-7.7692140528796569E-2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7">
        <v>268.14999999999998</v>
      </c>
      <c r="E29" s="2"/>
      <c r="F29" s="6">
        <f t="shared" si="4"/>
        <v>0</v>
      </c>
      <c r="G29" s="2"/>
      <c r="H29" s="7">
        <v>700</v>
      </c>
      <c r="I29" s="2"/>
      <c r="J29" s="6">
        <f t="shared" si="5"/>
        <v>0</v>
      </c>
      <c r="K29" s="2"/>
      <c r="L29" s="7">
        <f t="shared" si="6"/>
        <v>-431.85</v>
      </c>
      <c r="M29" s="2"/>
      <c r="N29" s="6">
        <f t="shared" si="7"/>
        <v>-0.61692857142857149</v>
      </c>
      <c r="O29" s="11"/>
      <c r="P29" s="7">
        <v>1263.18</v>
      </c>
      <c r="Q29" s="2"/>
      <c r="R29" s="6">
        <f t="shared" si="8"/>
        <v>0</v>
      </c>
      <c r="S29" s="2"/>
      <c r="T29" s="7">
        <v>1720</v>
      </c>
      <c r="U29" s="2"/>
      <c r="V29" s="6">
        <f t="shared" si="9"/>
        <v>0</v>
      </c>
      <c r="W29" s="2"/>
      <c r="X29" s="7">
        <f t="shared" si="10"/>
        <v>-456.81999999999994</v>
      </c>
      <c r="Y29" s="2"/>
      <c r="Z29" s="6">
        <f t="shared" si="11"/>
        <v>-0.26559302325581391</v>
      </c>
    </row>
    <row r="30" spans="1:26" s="27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26165.710000000003</v>
      </c>
      <c r="E30" s="1"/>
      <c r="F30" s="5">
        <f t="shared" ref="F30:F40" si="12">IF(D$12=0,0,D30/D$12)</f>
        <v>0</v>
      </c>
      <c r="G30" s="1"/>
      <c r="H30" s="1">
        <f>SUM(OSRRefH22_1x_0)</f>
        <v>25193.269230769238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972.440769230765</v>
      </c>
      <c r="M30" s="1"/>
      <c r="N30" s="5">
        <f t="shared" ref="N30:N40" si="15">IF(H30=0,0,L30/H30)</f>
        <v>3.8599229037059472E-2</v>
      </c>
      <c r="O30" s="14"/>
      <c r="P30" s="1">
        <f>SUM(OSRRefP22_1x_0)</f>
        <v>89472.79</v>
      </c>
      <c r="Q30" s="1"/>
      <c r="R30" s="5">
        <f t="shared" ref="R30:R40" si="16">IF(P$12=0,0,P30/P$12)</f>
        <v>0</v>
      </c>
      <c r="S30" s="1"/>
      <c r="T30" s="1">
        <f>SUM(OSRRefT22_1x_0)</f>
        <v>89395.769230769336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77.020769230657606</v>
      </c>
      <c r="Y30" s="1"/>
      <c r="Z30" s="5">
        <f t="shared" ref="Z30:Z40" si="19">IF(T30=0,0,X30/T30)</f>
        <v>8.6157063016968421E-4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6775.9615384615399</v>
      </c>
      <c r="I31" s="2"/>
      <c r="J31" s="6">
        <f t="shared" si="13"/>
        <v>0</v>
      </c>
      <c r="K31" s="2"/>
      <c r="L31" s="7">
        <f t="shared" si="14"/>
        <v>-6775.9615384615399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24393.461538461539</v>
      </c>
      <c r="U31" s="2"/>
      <c r="V31" s="6">
        <f t="shared" si="17"/>
        <v>0</v>
      </c>
      <c r="W31" s="2"/>
      <c r="X31" s="7">
        <f t="shared" si="18"/>
        <v>-24393.461538461539</v>
      </c>
      <c r="Y31" s="2"/>
      <c r="Z31" s="6">
        <f t="shared" si="19"/>
        <v>-1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>
        <v>26031.72</v>
      </c>
      <c r="E32" s="2"/>
      <c r="F32" s="6">
        <f t="shared" si="12"/>
        <v>0</v>
      </c>
      <c r="G32" s="2"/>
      <c r="H32" s="7">
        <v>17117.307692307699</v>
      </c>
      <c r="I32" s="2"/>
      <c r="J32" s="6">
        <f t="shared" si="13"/>
        <v>0</v>
      </c>
      <c r="K32" s="2"/>
      <c r="L32" s="7">
        <f t="shared" si="14"/>
        <v>8914.4123076923024</v>
      </c>
      <c r="M32" s="2"/>
      <c r="N32" s="6">
        <f t="shared" si="15"/>
        <v>0.52078355240984109</v>
      </c>
      <c r="O32" s="11"/>
      <c r="P32" s="7">
        <v>89091.03</v>
      </c>
      <c r="Q32" s="2"/>
      <c r="R32" s="6">
        <f t="shared" si="16"/>
        <v>0</v>
      </c>
      <c r="S32" s="2"/>
      <c r="T32" s="7">
        <v>61622.307692307797</v>
      </c>
      <c r="U32" s="2"/>
      <c r="V32" s="6">
        <f t="shared" si="17"/>
        <v>0</v>
      </c>
      <c r="W32" s="2"/>
      <c r="X32" s="7">
        <f t="shared" si="18"/>
        <v>27468.722307692202</v>
      </c>
      <c r="Y32" s="2"/>
      <c r="Z32" s="6">
        <f t="shared" si="19"/>
        <v>0.44575939033067197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>
        <v>175.99</v>
      </c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175.99</v>
      </c>
      <c r="M35" s="2"/>
      <c r="N35" s="6">
        <f t="shared" si="15"/>
        <v>0</v>
      </c>
      <c r="O35" s="11"/>
      <c r="P35" s="7">
        <v>265.48</v>
      </c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265.48</v>
      </c>
      <c r="Y35" s="2"/>
      <c r="Z35" s="6">
        <f t="shared" si="19"/>
        <v>0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7">
        <v>-42</v>
      </c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-42</v>
      </c>
      <c r="M37" s="2"/>
      <c r="N37" s="6">
        <f t="shared" si="15"/>
        <v>0</v>
      </c>
      <c r="O37" s="11"/>
      <c r="P37" s="7">
        <v>116.28</v>
      </c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116.28</v>
      </c>
      <c r="Y37" s="2"/>
      <c r="Z37" s="6">
        <f t="shared" si="19"/>
        <v>0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1300</v>
      </c>
      <c r="I38" s="2"/>
      <c r="J38" s="6">
        <f t="shared" si="13"/>
        <v>0</v>
      </c>
      <c r="K38" s="2"/>
      <c r="L38" s="7">
        <f t="shared" si="14"/>
        <v>-1300</v>
      </c>
      <c r="M38" s="2"/>
      <c r="N38" s="6">
        <f t="shared" si="15"/>
        <v>-1</v>
      </c>
      <c r="O38" s="11"/>
      <c r="P38" s="7"/>
      <c r="Q38" s="2"/>
      <c r="R38" s="6">
        <f t="shared" si="16"/>
        <v>0</v>
      </c>
      <c r="S38" s="2"/>
      <c r="T38" s="7">
        <v>3380</v>
      </c>
      <c r="U38" s="2"/>
      <c r="V38" s="6">
        <f t="shared" si="17"/>
        <v>0</v>
      </c>
      <c r="W38" s="2"/>
      <c r="X38" s="7">
        <f t="shared" si="18"/>
        <v>-3380</v>
      </c>
      <c r="Y38" s="2"/>
      <c r="Z38" s="6">
        <f t="shared" si="19"/>
        <v>-1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7" customFormat="1" outlineLevel="1" collapsed="1" x14ac:dyDescent="0.25">
      <c r="A41" s="29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SUM(OSRRefD22_2x_0)</f>
        <v>1558.88</v>
      </c>
      <c r="E41" s="1"/>
      <c r="F41" s="5">
        <f t="shared" ref="F41:F47" si="20">IF(D$12=0,0,D41/D$12)</f>
        <v>0</v>
      </c>
      <c r="G41" s="1"/>
      <c r="H41" s="1">
        <f>SUM(OSRRefH22_2x_0)</f>
        <v>1559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-0.11999999999989086</v>
      </c>
      <c r="M41" s="1"/>
      <c r="N41" s="5">
        <f t="shared" ref="N41:N47" si="23">IF(H41=0,0,L41/H41)</f>
        <v>-7.6972418216735637E-5</v>
      </c>
      <c r="O41" s="14"/>
      <c r="P41" s="1">
        <f>SUM(OSRRefP22_2x_0)</f>
        <v>6235.52</v>
      </c>
      <c r="Q41" s="1"/>
      <c r="R41" s="5">
        <f t="shared" ref="R41:R47" si="24">IF(P$12=0,0,P41/P$12)</f>
        <v>0</v>
      </c>
      <c r="S41" s="1"/>
      <c r="T41" s="1">
        <f>SUM(OSRRefT22_2x_0)</f>
        <v>6236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-0.47999999999956344</v>
      </c>
      <c r="Y41" s="1"/>
      <c r="Z41" s="5">
        <f t="shared" ref="Z41:Z47" si="27">IF(T41=0,0,X41/T41)</f>
        <v>-7.6972418216735637E-5</v>
      </c>
    </row>
    <row r="42" spans="1:26" s="24" customFormat="1" hidden="1" outlineLevel="2" x14ac:dyDescent="0.25">
      <c r="A42" s="28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1558.88</v>
      </c>
      <c r="E42" s="2"/>
      <c r="F42" s="6">
        <f t="shared" si="20"/>
        <v>0</v>
      </c>
      <c r="G42" s="2"/>
      <c r="H42" s="7">
        <v>1559</v>
      </c>
      <c r="I42" s="2"/>
      <c r="J42" s="6">
        <f t="shared" si="21"/>
        <v>0</v>
      </c>
      <c r="K42" s="2"/>
      <c r="L42" s="7">
        <f t="shared" si="22"/>
        <v>-0.11999999999989086</v>
      </c>
      <c r="M42" s="2"/>
      <c r="N42" s="6">
        <f t="shared" si="23"/>
        <v>-7.6972418216735637E-5</v>
      </c>
      <c r="O42" s="11"/>
      <c r="P42" s="7">
        <v>6235.52</v>
      </c>
      <c r="Q42" s="2"/>
      <c r="R42" s="6">
        <f t="shared" si="24"/>
        <v>0</v>
      </c>
      <c r="S42" s="2"/>
      <c r="T42" s="7">
        <v>6236</v>
      </c>
      <c r="U42" s="2"/>
      <c r="V42" s="6">
        <f t="shared" si="25"/>
        <v>0</v>
      </c>
      <c r="W42" s="2"/>
      <c r="X42" s="7">
        <f t="shared" si="26"/>
        <v>-0.47999999999956344</v>
      </c>
      <c r="Y42" s="2"/>
      <c r="Z42" s="6">
        <f t="shared" si="27"/>
        <v>-7.6972418216735637E-5</v>
      </c>
    </row>
    <row r="43" spans="1:26" s="27" customFormat="1" outlineLevel="1" collapsed="1" x14ac:dyDescent="0.25">
      <c r="A43" s="29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4"/>
      <c r="P43" s="1">
        <f>SUM(OSRRefP22_3x_0)</f>
        <v>365.04</v>
      </c>
      <c r="Q43" s="1"/>
      <c r="R43" s="5">
        <f t="shared" si="24"/>
        <v>0</v>
      </c>
      <c r="S43" s="1"/>
      <c r="T43" s="1">
        <f>SUM(OSRRefT22_3x_0)</f>
        <v>364</v>
      </c>
      <c r="U43" s="1"/>
      <c r="V43" s="5">
        <f t="shared" si="25"/>
        <v>0</v>
      </c>
      <c r="W43" s="1"/>
      <c r="X43" s="1">
        <f t="shared" si="26"/>
        <v>1.0400000000000205</v>
      </c>
      <c r="Y43" s="1"/>
      <c r="Z43" s="5">
        <f t="shared" si="27"/>
        <v>2.8571428571429135E-3</v>
      </c>
    </row>
    <row r="44" spans="1:26" s="24" customFormat="1" hidden="1" outlineLevel="2" x14ac:dyDescent="0.25">
      <c r="A44" s="28"/>
      <c r="B44" s="11" t="str">
        <f>CONCATENATE("          ", "6351", " - ", "EQUIPMENT RENTAL")</f>
        <v xml:space="preserve">          6351 - EQUIPMENT RENTAL</v>
      </c>
      <c r="C44" s="11"/>
      <c r="D44" s="7">
        <v>91.26</v>
      </c>
      <c r="E44" s="2"/>
      <c r="F44" s="6">
        <f t="shared" si="20"/>
        <v>0</v>
      </c>
      <c r="G44" s="2"/>
      <c r="H44" s="7">
        <v>91</v>
      </c>
      <c r="I44" s="2"/>
      <c r="J44" s="6">
        <f t="shared" si="21"/>
        <v>0</v>
      </c>
      <c r="K44" s="2"/>
      <c r="L44" s="7">
        <f t="shared" si="22"/>
        <v>0.26000000000000512</v>
      </c>
      <c r="M44" s="2"/>
      <c r="N44" s="6">
        <f t="shared" si="23"/>
        <v>2.8571428571429135E-3</v>
      </c>
      <c r="O44" s="11"/>
      <c r="P44" s="7">
        <v>365.04</v>
      </c>
      <c r="Q44" s="2"/>
      <c r="R44" s="6">
        <f t="shared" si="24"/>
        <v>0</v>
      </c>
      <c r="S44" s="2"/>
      <c r="T44" s="7">
        <v>364</v>
      </c>
      <c r="U44" s="2"/>
      <c r="V44" s="6">
        <f t="shared" si="25"/>
        <v>0</v>
      </c>
      <c r="W44" s="2"/>
      <c r="X44" s="7">
        <f t="shared" si="26"/>
        <v>1.0400000000000205</v>
      </c>
      <c r="Y44" s="2"/>
      <c r="Z44" s="6">
        <f t="shared" si="27"/>
        <v>2.8571428571429135E-3</v>
      </c>
    </row>
    <row r="45" spans="1:26" s="27" customFormat="1" outlineLevel="1" collapsed="1" x14ac:dyDescent="0.25">
      <c r="A45" s="29"/>
      <c r="B45" s="14" t="str">
        <f>CONCATENATE("     ","Freight out/Postage                               ")</f>
        <v xml:space="preserve">     Freight out/Postage                               </v>
      </c>
      <c r="C45" s="14"/>
      <c r="D45" s="1">
        <f>SUM(OSRRefD22_4x_0)</f>
        <v>137.5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37.5</v>
      </c>
      <c r="M45" s="1"/>
      <c r="N45" s="5">
        <f t="shared" si="23"/>
        <v>0.375</v>
      </c>
      <c r="O45" s="14"/>
      <c r="P45" s="1">
        <f>SUM(OSRRefP22_4x_0)</f>
        <v>459.86</v>
      </c>
      <c r="Q45" s="1"/>
      <c r="R45" s="5">
        <f t="shared" si="24"/>
        <v>0</v>
      </c>
      <c r="S45" s="1"/>
      <c r="T45" s="1">
        <f>SUM(OSRRefT22_4x_0)</f>
        <v>400</v>
      </c>
      <c r="U45" s="1"/>
      <c r="V45" s="5">
        <f t="shared" si="25"/>
        <v>0</v>
      </c>
      <c r="W45" s="1"/>
      <c r="X45" s="1">
        <f t="shared" si="26"/>
        <v>59.860000000000014</v>
      </c>
      <c r="Y45" s="1"/>
      <c r="Z45" s="5">
        <f t="shared" si="27"/>
        <v>0.14965000000000003</v>
      </c>
    </row>
    <row r="46" spans="1:26" s="24" customFormat="1" hidden="1" outlineLevel="2" x14ac:dyDescent="0.25">
      <c r="A46" s="28"/>
      <c r="B46" s="11" t="str">
        <f>CONCATENATE("          ", "6305", " - ", "FREIGHT OUT")</f>
        <v xml:space="preserve">          6305 - FREIGHT OUT</v>
      </c>
      <c r="C46" s="11"/>
      <c r="D46" s="7"/>
      <c r="E46" s="2"/>
      <c r="F46" s="6">
        <f t="shared" si="20"/>
        <v>0</v>
      </c>
      <c r="G46" s="2"/>
      <c r="H46" s="7"/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>
        <v>5.41</v>
      </c>
      <c r="Q46" s="2"/>
      <c r="R46" s="6">
        <f t="shared" si="24"/>
        <v>0</v>
      </c>
      <c r="S46" s="2"/>
      <c r="T46" s="7"/>
      <c r="U46" s="2"/>
      <c r="V46" s="6">
        <f t="shared" si="25"/>
        <v>0</v>
      </c>
      <c r="W46" s="2"/>
      <c r="X46" s="7">
        <f t="shared" si="26"/>
        <v>5.41</v>
      </c>
      <c r="Y46" s="2"/>
      <c r="Z46" s="6">
        <f t="shared" si="27"/>
        <v>0</v>
      </c>
    </row>
    <row r="47" spans="1:26" s="24" customFormat="1" hidden="1" outlineLevel="2" x14ac:dyDescent="0.25">
      <c r="A47" s="28"/>
      <c r="B47" s="11" t="str">
        <f>CONCATENATE("          ", "6307", " - ", "POSTAGE")</f>
        <v xml:space="preserve">          6307 - POSTAGE</v>
      </c>
      <c r="C47" s="11"/>
      <c r="D47" s="7">
        <v>137.5</v>
      </c>
      <c r="E47" s="2"/>
      <c r="F47" s="6">
        <f t="shared" si="20"/>
        <v>0</v>
      </c>
      <c r="G47" s="2"/>
      <c r="H47" s="7">
        <v>100</v>
      </c>
      <c r="I47" s="2"/>
      <c r="J47" s="6">
        <f t="shared" si="21"/>
        <v>0</v>
      </c>
      <c r="K47" s="2"/>
      <c r="L47" s="7">
        <f t="shared" si="22"/>
        <v>37.5</v>
      </c>
      <c r="M47" s="2"/>
      <c r="N47" s="6">
        <f t="shared" si="23"/>
        <v>0.375</v>
      </c>
      <c r="O47" s="11"/>
      <c r="P47" s="7">
        <v>454.45</v>
      </c>
      <c r="Q47" s="2"/>
      <c r="R47" s="6">
        <f t="shared" si="24"/>
        <v>0</v>
      </c>
      <c r="S47" s="2"/>
      <c r="T47" s="7">
        <v>400</v>
      </c>
      <c r="U47" s="2"/>
      <c r="V47" s="6">
        <f t="shared" si="25"/>
        <v>0</v>
      </c>
      <c r="W47" s="2"/>
      <c r="X47" s="7">
        <f t="shared" si="26"/>
        <v>54.449999999999989</v>
      </c>
      <c r="Y47" s="2"/>
      <c r="Z47" s="6">
        <f t="shared" si="27"/>
        <v>0.13612499999999997</v>
      </c>
    </row>
    <row r="48" spans="1:26" s="27" customFormat="1" outlineLevel="1" collapsed="1" x14ac:dyDescent="0.25">
      <c r="A48" s="29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SUM(OSRRefD22_5x_0)</f>
        <v>132.16999999999999</v>
      </c>
      <c r="E48" s="1"/>
      <c r="F48" s="5">
        <f t="shared" ref="F48:F54" si="28">IF(D$12=0,0,D48/D$12)</f>
        <v>0</v>
      </c>
      <c r="G48" s="1"/>
      <c r="H48" s="1">
        <f>SUM(OSRRefH22_5x_0)</f>
        <v>145</v>
      </c>
      <c r="I48" s="1"/>
      <c r="J48" s="5">
        <f t="shared" ref="J48:J54" si="29">IF(H$12=0,0,H48/H$12)</f>
        <v>0</v>
      </c>
      <c r="K48" s="1"/>
      <c r="L48" s="1">
        <f t="shared" ref="L48:L54" si="30">+D48-H48</f>
        <v>-12.830000000000013</v>
      </c>
      <c r="M48" s="1"/>
      <c r="N48" s="5">
        <f t="shared" ref="N48:N54" si="31">IF(H48=0,0,L48/H48)</f>
        <v>-8.8482758620689744E-2</v>
      </c>
      <c r="O48" s="14"/>
      <c r="P48" s="1">
        <f>SUM(OSRRefP22_5x_0)</f>
        <v>528.67999999999995</v>
      </c>
      <c r="Q48" s="1"/>
      <c r="R48" s="5">
        <f t="shared" ref="R48:R54" si="32">IF(P$12=0,0,P48/P$12)</f>
        <v>0</v>
      </c>
      <c r="S48" s="1"/>
      <c r="T48" s="1">
        <f>SUM(OSRRefT22_5x_0)</f>
        <v>580</v>
      </c>
      <c r="U48" s="1"/>
      <c r="V48" s="5">
        <f t="shared" ref="V48:V54" si="33">IF(T$12=0,0,T48/T$12)</f>
        <v>0</v>
      </c>
      <c r="W48" s="1"/>
      <c r="X48" s="1">
        <f t="shared" ref="X48:X54" si="34">+P48-T48</f>
        <v>-51.32000000000005</v>
      </c>
      <c r="Y48" s="1"/>
      <c r="Z48" s="5">
        <f t="shared" ref="Z48:Z54" si="35">IF(T48=0,0,X48/T48)</f>
        <v>-8.8482758620689744E-2</v>
      </c>
    </row>
    <row r="49" spans="1:26" s="24" customFormat="1" hidden="1" outlineLevel="2" x14ac:dyDescent="0.25">
      <c r="A49" s="28"/>
      <c r="B49" s="11" t="str">
        <f>CONCATENATE("          ", "6314", " - ", "LIABILITY INSURANCE")</f>
        <v xml:space="preserve">          6314 - LIABILITY INSURANCE</v>
      </c>
      <c r="C49" s="11"/>
      <c r="D49" s="7">
        <v>132.16999999999999</v>
      </c>
      <c r="E49" s="2"/>
      <c r="F49" s="6">
        <f t="shared" si="28"/>
        <v>0</v>
      </c>
      <c r="G49" s="2"/>
      <c r="H49" s="7">
        <v>145</v>
      </c>
      <c r="I49" s="2"/>
      <c r="J49" s="6">
        <f t="shared" si="29"/>
        <v>0</v>
      </c>
      <c r="K49" s="2"/>
      <c r="L49" s="7">
        <f t="shared" si="30"/>
        <v>-12.830000000000013</v>
      </c>
      <c r="M49" s="2"/>
      <c r="N49" s="6">
        <f t="shared" si="31"/>
        <v>-8.8482758620689744E-2</v>
      </c>
      <c r="O49" s="11"/>
      <c r="P49" s="7">
        <v>528.67999999999995</v>
      </c>
      <c r="Q49" s="2"/>
      <c r="R49" s="6">
        <f t="shared" si="32"/>
        <v>0</v>
      </c>
      <c r="S49" s="2"/>
      <c r="T49" s="7">
        <v>580</v>
      </c>
      <c r="U49" s="2"/>
      <c r="V49" s="6">
        <f t="shared" si="33"/>
        <v>0</v>
      </c>
      <c r="W49" s="2"/>
      <c r="X49" s="7">
        <f t="shared" si="34"/>
        <v>-51.32000000000005</v>
      </c>
      <c r="Y49" s="2"/>
      <c r="Z49" s="6">
        <f t="shared" si="35"/>
        <v>-8.8482758620689744E-2</v>
      </c>
    </row>
    <row r="50" spans="1:26" s="27" customFormat="1" outlineLevel="1" collapsed="1" x14ac:dyDescent="0.25">
      <c r="A50" s="29"/>
      <c r="B50" s="14" t="str">
        <f>CONCATENATE("     ","Professional Services                             ")</f>
        <v xml:space="preserve">     Professional Services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1000</v>
      </c>
      <c r="U50" s="1"/>
      <c r="V50" s="5">
        <f t="shared" si="33"/>
        <v>0</v>
      </c>
      <c r="W50" s="1"/>
      <c r="X50" s="1">
        <f t="shared" si="34"/>
        <v>-1000</v>
      </c>
      <c r="Y50" s="1"/>
      <c r="Z50" s="5">
        <f t="shared" si="35"/>
        <v>-1</v>
      </c>
    </row>
    <row r="51" spans="1:26" s="24" customFormat="1" hidden="1" outlineLevel="2" x14ac:dyDescent="0.25">
      <c r="A51" s="28"/>
      <c r="B51" s="11" t="str">
        <f>CONCATENATE("          ", "6332", " - ", "CONSULTANT FEES")</f>
        <v xml:space="preserve">          6332 - CONSULTANT FEES</v>
      </c>
      <c r="C51" s="11"/>
      <c r="D51" s="7"/>
      <c r="E51" s="2"/>
      <c r="F51" s="6">
        <f t="shared" si="28"/>
        <v>0</v>
      </c>
      <c r="G51" s="2"/>
      <c r="H51" s="7">
        <v>250</v>
      </c>
      <c r="I51" s="2"/>
      <c r="J51" s="6">
        <f t="shared" si="29"/>
        <v>0</v>
      </c>
      <c r="K51" s="2"/>
      <c r="L51" s="7">
        <f t="shared" si="30"/>
        <v>-250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1000</v>
      </c>
      <c r="U51" s="2"/>
      <c r="V51" s="6">
        <f t="shared" si="33"/>
        <v>0</v>
      </c>
      <c r="W51" s="2"/>
      <c r="X51" s="7">
        <f t="shared" si="34"/>
        <v>-1000</v>
      </c>
      <c r="Y51" s="2"/>
      <c r="Z51" s="6">
        <f t="shared" si="35"/>
        <v>-1</v>
      </c>
    </row>
    <row r="52" spans="1:26" s="27" customFormat="1" outlineLevel="1" collapsed="1" x14ac:dyDescent="0.25">
      <c r="A52" s="29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235.60999999999999</v>
      </c>
      <c r="E52" s="1"/>
      <c r="F52" s="5">
        <f t="shared" si="28"/>
        <v>0</v>
      </c>
      <c r="G52" s="1"/>
      <c r="H52" s="1">
        <f>SUM(OSRRefH22_7x_0)</f>
        <v>60</v>
      </c>
      <c r="I52" s="1"/>
      <c r="J52" s="5">
        <f t="shared" si="29"/>
        <v>0</v>
      </c>
      <c r="K52" s="1"/>
      <c r="L52" s="1">
        <f t="shared" si="30"/>
        <v>175.60999999999999</v>
      </c>
      <c r="M52" s="1"/>
      <c r="N52" s="5">
        <f t="shared" si="31"/>
        <v>2.9268333333333332</v>
      </c>
      <c r="O52" s="14"/>
      <c r="P52" s="1">
        <f>SUM(OSRRefP22_7x_0)</f>
        <v>653.08999999999992</v>
      </c>
      <c r="Q52" s="1"/>
      <c r="R52" s="5">
        <f t="shared" si="32"/>
        <v>0</v>
      </c>
      <c r="S52" s="1"/>
      <c r="T52" s="1">
        <f>SUM(OSRRefT22_7x_0)</f>
        <v>240</v>
      </c>
      <c r="U52" s="1"/>
      <c r="V52" s="5">
        <f t="shared" si="33"/>
        <v>0</v>
      </c>
      <c r="W52" s="1"/>
      <c r="X52" s="1">
        <f t="shared" si="34"/>
        <v>413.08999999999992</v>
      </c>
      <c r="Y52" s="1"/>
      <c r="Z52" s="5">
        <f t="shared" si="35"/>
        <v>1.721208333333333</v>
      </c>
    </row>
    <row r="53" spans="1:26" s="24" customFormat="1" hidden="1" outlineLevel="2" x14ac:dyDescent="0.25">
      <c r="A53" s="28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224.95</v>
      </c>
      <c r="E53" s="2"/>
      <c r="F53" s="6">
        <f t="shared" si="28"/>
        <v>0</v>
      </c>
      <c r="G53" s="2"/>
      <c r="H53" s="7">
        <v>60</v>
      </c>
      <c r="I53" s="2"/>
      <c r="J53" s="6">
        <f t="shared" si="29"/>
        <v>0</v>
      </c>
      <c r="K53" s="2"/>
      <c r="L53" s="7">
        <f t="shared" si="30"/>
        <v>164.95</v>
      </c>
      <c r="M53" s="2"/>
      <c r="N53" s="6">
        <f t="shared" si="31"/>
        <v>2.7491666666666665</v>
      </c>
      <c r="O53" s="11"/>
      <c r="P53" s="7">
        <v>611.04999999999995</v>
      </c>
      <c r="Q53" s="2"/>
      <c r="R53" s="6">
        <f t="shared" si="32"/>
        <v>0</v>
      </c>
      <c r="S53" s="2"/>
      <c r="T53" s="7">
        <v>240</v>
      </c>
      <c r="U53" s="2"/>
      <c r="V53" s="6">
        <f t="shared" si="33"/>
        <v>0</v>
      </c>
      <c r="W53" s="2"/>
      <c r="X53" s="7">
        <f t="shared" si="34"/>
        <v>371.04999999999995</v>
      </c>
      <c r="Y53" s="2"/>
      <c r="Z53" s="6">
        <f t="shared" si="35"/>
        <v>1.5460416666666665</v>
      </c>
    </row>
    <row r="54" spans="1:26" s="24" customFormat="1" hidden="1" outlineLevel="2" x14ac:dyDescent="0.25">
      <c r="A54" s="28"/>
      <c r="B54" s="11" t="str">
        <f>CONCATENATE("          ", "6373", " - ", "MAINTENANCE CONTRACTS")</f>
        <v xml:space="preserve">          6373 - MAINTENANCE CONTRACTS</v>
      </c>
      <c r="C54" s="11"/>
      <c r="D54" s="7">
        <v>10.66</v>
      </c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10.66</v>
      </c>
      <c r="M54" s="2"/>
      <c r="N54" s="6">
        <f t="shared" si="31"/>
        <v>0</v>
      </c>
      <c r="O54" s="11"/>
      <c r="P54" s="7">
        <v>42.04</v>
      </c>
      <c r="Q54" s="2"/>
      <c r="R54" s="6">
        <f t="shared" si="32"/>
        <v>0</v>
      </c>
      <c r="S54" s="2"/>
      <c r="T54" s="7"/>
      <c r="U54" s="2"/>
      <c r="V54" s="6">
        <f t="shared" si="33"/>
        <v>0</v>
      </c>
      <c r="W54" s="2"/>
      <c r="X54" s="7">
        <f t="shared" si="34"/>
        <v>42.04</v>
      </c>
      <c r="Y54" s="2"/>
      <c r="Z54" s="6">
        <f t="shared" si="35"/>
        <v>0</v>
      </c>
    </row>
    <row r="55" spans="1:26" s="27" customFormat="1" outlineLevel="1" collapsed="1" x14ac:dyDescent="0.25">
      <c r="A55" s="29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1024.96</v>
      </c>
      <c r="E55" s="1"/>
      <c r="F55" s="5">
        <f t="shared" ref="F55:F60" si="36">IF(D$12=0,0,D55/D$12)</f>
        <v>0</v>
      </c>
      <c r="G55" s="1"/>
      <c r="H55" s="1">
        <f>SUM(OSRRefH22_8x_0)</f>
        <v>500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524.96</v>
      </c>
      <c r="M55" s="1"/>
      <c r="N55" s="5">
        <f t="shared" ref="N55:N60" si="39">IF(H55=0,0,L55/H55)</f>
        <v>1.04992</v>
      </c>
      <c r="O55" s="14"/>
      <c r="P55" s="1">
        <f>SUM(OSRRefP22_8x_0)</f>
        <v>2049.92</v>
      </c>
      <c r="Q55" s="1"/>
      <c r="R55" s="5">
        <f t="shared" ref="R55:R60" si="40">IF(P$12=0,0,P55/P$12)</f>
        <v>0</v>
      </c>
      <c r="S55" s="1"/>
      <c r="T55" s="1">
        <f>SUM(OSRRefT22_8x_0)</f>
        <v>2000</v>
      </c>
      <c r="U55" s="1"/>
      <c r="V55" s="5">
        <f t="shared" ref="V55:V60" si="41">IF(T$12=0,0,T55/T$12)</f>
        <v>0</v>
      </c>
      <c r="W55" s="1"/>
      <c r="X55" s="1">
        <f t="shared" ref="X55:X60" si="42">+P55-T55</f>
        <v>49.920000000000073</v>
      </c>
      <c r="Y55" s="1"/>
      <c r="Z55" s="5">
        <f t="shared" ref="Z55:Z60" si="43">IF(T55=0,0,X55/T55)</f>
        <v>2.4960000000000038E-2</v>
      </c>
    </row>
    <row r="56" spans="1:26" s="24" customFormat="1" hidden="1" outlineLevel="2" x14ac:dyDescent="0.25">
      <c r="A56" s="28"/>
      <c r="B56" s="11" t="str">
        <f>CONCATENATE("          ", "6281", " - ", "STORAGE FEE")</f>
        <v xml:space="preserve">          6281 - STORAGE FEE</v>
      </c>
      <c r="C56" s="11"/>
      <c r="D56" s="7">
        <v>1024.96</v>
      </c>
      <c r="E56" s="2"/>
      <c r="F56" s="6">
        <f t="shared" si="36"/>
        <v>0</v>
      </c>
      <c r="G56" s="2"/>
      <c r="H56" s="7">
        <v>500</v>
      </c>
      <c r="I56" s="2"/>
      <c r="J56" s="6">
        <f t="shared" si="37"/>
        <v>0</v>
      </c>
      <c r="K56" s="2"/>
      <c r="L56" s="7">
        <f t="shared" si="38"/>
        <v>524.96</v>
      </c>
      <c r="M56" s="2"/>
      <c r="N56" s="6">
        <f t="shared" si="39"/>
        <v>1.04992</v>
      </c>
      <c r="O56" s="11"/>
      <c r="P56" s="7">
        <v>2049.92</v>
      </c>
      <c r="Q56" s="2"/>
      <c r="R56" s="6">
        <f t="shared" si="40"/>
        <v>0</v>
      </c>
      <c r="S56" s="2"/>
      <c r="T56" s="7">
        <v>2000</v>
      </c>
      <c r="U56" s="2"/>
      <c r="V56" s="6">
        <f t="shared" si="41"/>
        <v>0</v>
      </c>
      <c r="W56" s="2"/>
      <c r="X56" s="7">
        <f t="shared" si="42"/>
        <v>49.920000000000073</v>
      </c>
      <c r="Y56" s="2"/>
      <c r="Z56" s="6">
        <f t="shared" si="43"/>
        <v>2.4960000000000038E-2</v>
      </c>
    </row>
    <row r="57" spans="1:26" s="27" customFormat="1" outlineLevel="1" collapsed="1" x14ac:dyDescent="0.25">
      <c r="A57" s="29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66.58</v>
      </c>
      <c r="E57" s="1"/>
      <c r="F57" s="5">
        <f t="shared" si="36"/>
        <v>0</v>
      </c>
      <c r="G57" s="1"/>
      <c r="H57" s="1">
        <f>SUM(OSRRefH22_9x_0)</f>
        <v>200</v>
      </c>
      <c r="I57" s="1"/>
      <c r="J57" s="5">
        <f t="shared" si="37"/>
        <v>0</v>
      </c>
      <c r="K57" s="1"/>
      <c r="L57" s="1">
        <f t="shared" si="38"/>
        <v>-133.42000000000002</v>
      </c>
      <c r="M57" s="1"/>
      <c r="N57" s="5">
        <f t="shared" si="39"/>
        <v>-0.66710000000000003</v>
      </c>
      <c r="O57" s="14"/>
      <c r="P57" s="1">
        <f>SUM(OSRRefP22_9x_0)</f>
        <v>714.04</v>
      </c>
      <c r="Q57" s="1"/>
      <c r="R57" s="5">
        <f t="shared" si="40"/>
        <v>0</v>
      </c>
      <c r="S57" s="1"/>
      <c r="T57" s="1">
        <f>SUM(OSRRefT22_9x_0)</f>
        <v>10384</v>
      </c>
      <c r="U57" s="1"/>
      <c r="V57" s="5">
        <f t="shared" si="41"/>
        <v>0</v>
      </c>
      <c r="W57" s="1"/>
      <c r="X57" s="1">
        <f t="shared" si="42"/>
        <v>-9669.9599999999991</v>
      </c>
      <c r="Y57" s="1"/>
      <c r="Z57" s="5">
        <f t="shared" si="43"/>
        <v>-0.9312365177195685</v>
      </c>
    </row>
    <row r="58" spans="1:26" s="24" customFormat="1" hidden="1" outlineLevel="2" x14ac:dyDescent="0.25">
      <c r="A58" s="28"/>
      <c r="B58" s="11" t="str">
        <f>CONCATENATE("          ", "6234", " - ", "EXPENDABLE SUPPLIES &amp; EQUIPMEN")</f>
        <v xml:space="preserve">          6234 - EXPENDABLE SUPPLIES &amp; EQUIPMEN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/>
      <c r="Q58" s="2"/>
      <c r="R58" s="6">
        <f t="shared" si="40"/>
        <v>0</v>
      </c>
      <c r="S58" s="2"/>
      <c r="T58" s="7">
        <v>9584</v>
      </c>
      <c r="U58" s="2"/>
      <c r="V58" s="6">
        <f t="shared" si="41"/>
        <v>0</v>
      </c>
      <c r="W58" s="2"/>
      <c r="X58" s="7">
        <f t="shared" si="42"/>
        <v>-9584</v>
      </c>
      <c r="Y58" s="2"/>
      <c r="Z58" s="6">
        <f t="shared" si="43"/>
        <v>-1</v>
      </c>
    </row>
    <row r="59" spans="1:26" s="24" customFormat="1" hidden="1" outlineLevel="2" x14ac:dyDescent="0.25">
      <c r="A59" s="28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426.66</v>
      </c>
      <c r="Q59" s="2"/>
      <c r="R59" s="6">
        <f t="shared" si="40"/>
        <v>0</v>
      </c>
      <c r="S59" s="2"/>
      <c r="T59" s="7"/>
      <c r="U59" s="2"/>
      <c r="V59" s="6">
        <f t="shared" si="41"/>
        <v>0</v>
      </c>
      <c r="W59" s="2"/>
      <c r="X59" s="7">
        <f t="shared" si="42"/>
        <v>426.66</v>
      </c>
      <c r="Y59" s="2"/>
      <c r="Z59" s="6">
        <f t="shared" si="43"/>
        <v>0</v>
      </c>
    </row>
    <row r="60" spans="1:26" s="24" customFormat="1" hidden="1" outlineLevel="2" x14ac:dyDescent="0.25">
      <c r="A60" s="28"/>
      <c r="B60" s="11" t="str">
        <f>CONCATENATE("          ", "6241", " - ", "OFFICE EXPENSE")</f>
        <v xml:space="preserve">          6241 - OFFICE EXPENSE</v>
      </c>
      <c r="C60" s="11"/>
      <c r="D60" s="7">
        <v>66.58</v>
      </c>
      <c r="E60" s="2"/>
      <c r="F60" s="6">
        <f t="shared" si="36"/>
        <v>0</v>
      </c>
      <c r="G60" s="2"/>
      <c r="H60" s="7">
        <v>200</v>
      </c>
      <c r="I60" s="2"/>
      <c r="J60" s="6">
        <f t="shared" si="37"/>
        <v>0</v>
      </c>
      <c r="K60" s="2"/>
      <c r="L60" s="7">
        <f t="shared" si="38"/>
        <v>-133.42000000000002</v>
      </c>
      <c r="M60" s="2"/>
      <c r="N60" s="6">
        <f t="shared" si="39"/>
        <v>-0.66710000000000003</v>
      </c>
      <c r="O60" s="11"/>
      <c r="P60" s="7">
        <v>287.38</v>
      </c>
      <c r="Q60" s="2"/>
      <c r="R60" s="6">
        <f t="shared" si="40"/>
        <v>0</v>
      </c>
      <c r="S60" s="2"/>
      <c r="T60" s="7">
        <v>800</v>
      </c>
      <c r="U60" s="2"/>
      <c r="V60" s="6">
        <f t="shared" si="41"/>
        <v>0</v>
      </c>
      <c r="W60" s="2"/>
      <c r="X60" s="7">
        <f t="shared" si="42"/>
        <v>-512.62</v>
      </c>
      <c r="Y60" s="2"/>
      <c r="Z60" s="6">
        <f t="shared" si="43"/>
        <v>-0.64077499999999998</v>
      </c>
    </row>
    <row r="61" spans="1:26" s="27" customFormat="1" outlineLevel="1" collapsed="1" x14ac:dyDescent="0.25">
      <c r="A61" s="29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425.8</v>
      </c>
      <c r="E61" s="1"/>
      <c r="F61" s="5">
        <f t="shared" ref="F61:F66" si="44">IF(D$12=0,0,D61/D$12)</f>
        <v>0</v>
      </c>
      <c r="G61" s="1"/>
      <c r="H61" s="1">
        <f>SUM(OSRRefH22_10x_0)</f>
        <v>375</v>
      </c>
      <c r="I61" s="1"/>
      <c r="J61" s="5">
        <f t="shared" ref="J61:J66" si="45">IF(H$12=0,0,H61/H$12)</f>
        <v>0</v>
      </c>
      <c r="K61" s="1"/>
      <c r="L61" s="1">
        <f t="shared" ref="L61:L66" si="46">+D61-H61</f>
        <v>50.800000000000011</v>
      </c>
      <c r="M61" s="1"/>
      <c r="N61" s="5">
        <f t="shared" ref="N61:N66" si="47">IF(H61=0,0,L61/H61)</f>
        <v>0.13546666666666671</v>
      </c>
      <c r="O61" s="14"/>
      <c r="P61" s="1">
        <f>SUM(OSRRefP22_10x_0)</f>
        <v>1692.25</v>
      </c>
      <c r="Q61" s="1"/>
      <c r="R61" s="5">
        <f t="shared" ref="R61:R66" si="48">IF(P$12=0,0,P61/P$12)</f>
        <v>0</v>
      </c>
      <c r="S61" s="1"/>
      <c r="T61" s="1">
        <f>SUM(OSRRefT22_10x_0)</f>
        <v>1500</v>
      </c>
      <c r="U61" s="1"/>
      <c r="V61" s="5">
        <f t="shared" ref="V61:V66" si="49">IF(T$12=0,0,T61/T$12)</f>
        <v>0</v>
      </c>
      <c r="W61" s="1"/>
      <c r="X61" s="1">
        <f t="shared" ref="X61:X66" si="50">+P61-T61</f>
        <v>192.25</v>
      </c>
      <c r="Y61" s="1"/>
      <c r="Z61" s="5">
        <f t="shared" ref="Z61:Z66" si="51">IF(T61=0,0,X61/T61)</f>
        <v>0.12816666666666668</v>
      </c>
    </row>
    <row r="62" spans="1:26" s="24" customFormat="1" hidden="1" outlineLevel="2" x14ac:dyDescent="0.25">
      <c r="A62" s="28"/>
      <c r="B62" s="11" t="str">
        <f>CONCATENATE("          ", "6309", " - ", "TELEPHONE")</f>
        <v xml:space="preserve">          6309 - TELEPHONE</v>
      </c>
      <c r="C62" s="11"/>
      <c r="D62" s="7">
        <v>425.8</v>
      </c>
      <c r="E62" s="2"/>
      <c r="F62" s="6">
        <f t="shared" si="44"/>
        <v>0</v>
      </c>
      <c r="G62" s="2"/>
      <c r="H62" s="7">
        <v>375</v>
      </c>
      <c r="I62" s="2"/>
      <c r="J62" s="6">
        <f t="shared" si="45"/>
        <v>0</v>
      </c>
      <c r="K62" s="2"/>
      <c r="L62" s="7">
        <f t="shared" si="46"/>
        <v>50.800000000000011</v>
      </c>
      <c r="M62" s="2"/>
      <c r="N62" s="6">
        <f t="shared" si="47"/>
        <v>0.13546666666666671</v>
      </c>
      <c r="O62" s="11"/>
      <c r="P62" s="7">
        <v>1692.25</v>
      </c>
      <c r="Q62" s="2"/>
      <c r="R62" s="6">
        <f t="shared" si="48"/>
        <v>0</v>
      </c>
      <c r="S62" s="2"/>
      <c r="T62" s="7">
        <v>1500</v>
      </c>
      <c r="U62" s="2"/>
      <c r="V62" s="6">
        <f t="shared" si="49"/>
        <v>0</v>
      </c>
      <c r="W62" s="2"/>
      <c r="X62" s="7">
        <f t="shared" si="50"/>
        <v>192.25</v>
      </c>
      <c r="Y62" s="2"/>
      <c r="Z62" s="6">
        <f t="shared" si="51"/>
        <v>0.12816666666666668</v>
      </c>
    </row>
    <row r="63" spans="1:26" s="27" customFormat="1" outlineLevel="1" collapsed="1" x14ac:dyDescent="0.25">
      <c r="A63" s="29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SUM(OSRRefD22_11x_0)</f>
        <v>199</v>
      </c>
      <c r="E63" s="1"/>
      <c r="F63" s="5">
        <f t="shared" si="44"/>
        <v>0</v>
      </c>
      <c r="G63" s="1"/>
      <c r="H63" s="1">
        <f>SUM(OSRRefH22_11x_0)</f>
        <v>250</v>
      </c>
      <c r="I63" s="1"/>
      <c r="J63" s="5">
        <f t="shared" si="45"/>
        <v>0</v>
      </c>
      <c r="K63" s="1"/>
      <c r="L63" s="1">
        <f t="shared" si="46"/>
        <v>-51</v>
      </c>
      <c r="M63" s="1"/>
      <c r="N63" s="5">
        <f t="shared" si="47"/>
        <v>-0.20399999999999999</v>
      </c>
      <c r="O63" s="14"/>
      <c r="P63" s="1">
        <f>SUM(OSRRefP22_11x_0)</f>
        <v>398</v>
      </c>
      <c r="Q63" s="1"/>
      <c r="R63" s="5">
        <f t="shared" si="48"/>
        <v>0</v>
      </c>
      <c r="S63" s="1"/>
      <c r="T63" s="1">
        <f>SUM(OSRRefT22_11x_0)</f>
        <v>750</v>
      </c>
      <c r="U63" s="1"/>
      <c r="V63" s="5">
        <f t="shared" si="49"/>
        <v>0</v>
      </c>
      <c r="W63" s="1"/>
      <c r="X63" s="1">
        <f t="shared" si="50"/>
        <v>-352</v>
      </c>
      <c r="Y63" s="1"/>
      <c r="Z63" s="5">
        <f t="shared" si="51"/>
        <v>-0.46933333333333332</v>
      </c>
    </row>
    <row r="64" spans="1:26" s="24" customFormat="1" hidden="1" outlineLevel="2" x14ac:dyDescent="0.25">
      <c r="A64" s="28"/>
      <c r="B64" s="11" t="str">
        <f>CONCATENATE("          ", "6376", " - ", "TRAINING")</f>
        <v xml:space="preserve">          6376 - TRAINING</v>
      </c>
      <c r="C64" s="11"/>
      <c r="D64" s="7">
        <v>199</v>
      </c>
      <c r="E64" s="2"/>
      <c r="F64" s="6">
        <f t="shared" si="44"/>
        <v>0</v>
      </c>
      <c r="G64" s="2"/>
      <c r="H64" s="7">
        <v>250</v>
      </c>
      <c r="I64" s="2"/>
      <c r="J64" s="6">
        <f t="shared" si="45"/>
        <v>0</v>
      </c>
      <c r="K64" s="2"/>
      <c r="L64" s="7">
        <f t="shared" si="46"/>
        <v>-51</v>
      </c>
      <c r="M64" s="2"/>
      <c r="N64" s="6">
        <f t="shared" si="47"/>
        <v>-0.20399999999999999</v>
      </c>
      <c r="O64" s="11"/>
      <c r="P64" s="7">
        <v>398</v>
      </c>
      <c r="Q64" s="2"/>
      <c r="R64" s="6">
        <f t="shared" si="48"/>
        <v>0</v>
      </c>
      <c r="S64" s="2"/>
      <c r="T64" s="7">
        <v>750</v>
      </c>
      <c r="U64" s="2"/>
      <c r="V64" s="6">
        <f t="shared" si="49"/>
        <v>0</v>
      </c>
      <c r="W64" s="2"/>
      <c r="X64" s="7">
        <f t="shared" si="50"/>
        <v>-352</v>
      </c>
      <c r="Y64" s="2"/>
      <c r="Z64" s="6">
        <f t="shared" si="51"/>
        <v>-0.46933333333333332</v>
      </c>
    </row>
    <row r="65" spans="1:26" s="27" customFormat="1" outlineLevel="1" collapsed="1" x14ac:dyDescent="0.25">
      <c r="A65" s="29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SUM(OSRRefD22_12x_0)</f>
        <v>29.07</v>
      </c>
      <c r="E65" s="1"/>
      <c r="F65" s="5">
        <f t="shared" si="44"/>
        <v>0</v>
      </c>
      <c r="G65" s="1"/>
      <c r="H65" s="1">
        <f>SUM(OSRRefH22_12x_0)</f>
        <v>0</v>
      </c>
      <c r="I65" s="1"/>
      <c r="J65" s="5">
        <f t="shared" si="45"/>
        <v>0</v>
      </c>
      <c r="K65" s="1"/>
      <c r="L65" s="1">
        <f t="shared" si="46"/>
        <v>29.07</v>
      </c>
      <c r="M65" s="1"/>
      <c r="N65" s="5">
        <f t="shared" si="47"/>
        <v>0</v>
      </c>
      <c r="O65" s="14"/>
      <c r="P65" s="1">
        <f>SUM(OSRRefP22_12x_0)</f>
        <v>46.62</v>
      </c>
      <c r="Q65" s="1"/>
      <c r="R65" s="5">
        <f t="shared" si="48"/>
        <v>0</v>
      </c>
      <c r="S65" s="1"/>
      <c r="T65" s="1">
        <f>SUM(OSRRefT22_12x_0)</f>
        <v>0</v>
      </c>
      <c r="U65" s="1"/>
      <c r="V65" s="5">
        <f t="shared" si="49"/>
        <v>0</v>
      </c>
      <c r="W65" s="1"/>
      <c r="X65" s="1">
        <f t="shared" si="50"/>
        <v>46.62</v>
      </c>
      <c r="Y65" s="1"/>
      <c r="Z65" s="5">
        <f t="shared" si="51"/>
        <v>0</v>
      </c>
    </row>
    <row r="66" spans="1:26" s="24" customFormat="1" hidden="1" outlineLevel="2" x14ac:dyDescent="0.25">
      <c r="A66" s="28"/>
      <c r="B66" s="11" t="str">
        <f>CONCATENATE("          ", "6294", " - ", "TRAVEL OPERATIONAL")</f>
        <v xml:space="preserve">          6294 - TRAVEL OPERATIONAL</v>
      </c>
      <c r="C66" s="11"/>
      <c r="D66" s="7">
        <v>29.07</v>
      </c>
      <c r="E66" s="2"/>
      <c r="F66" s="6">
        <f t="shared" si="44"/>
        <v>0</v>
      </c>
      <c r="G66" s="2"/>
      <c r="H66" s="7"/>
      <c r="I66" s="2"/>
      <c r="J66" s="6">
        <f t="shared" si="45"/>
        <v>0</v>
      </c>
      <c r="K66" s="2"/>
      <c r="L66" s="7">
        <f t="shared" si="46"/>
        <v>29.07</v>
      </c>
      <c r="M66" s="2"/>
      <c r="N66" s="6">
        <f t="shared" si="47"/>
        <v>0</v>
      </c>
      <c r="O66" s="11"/>
      <c r="P66" s="7">
        <v>46.62</v>
      </c>
      <c r="Q66" s="2"/>
      <c r="R66" s="6">
        <f t="shared" si="48"/>
        <v>0</v>
      </c>
      <c r="S66" s="2"/>
      <c r="T66" s="7"/>
      <c r="U66" s="2"/>
      <c r="V66" s="6">
        <f t="shared" si="49"/>
        <v>0</v>
      </c>
      <c r="W66" s="2"/>
      <c r="X66" s="7">
        <f t="shared" si="50"/>
        <v>46.62</v>
      </c>
      <c r="Y66" s="2"/>
      <c r="Z66" s="6">
        <f t="shared" si="51"/>
        <v>0</v>
      </c>
    </row>
    <row r="67" spans="1:26" s="63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5" t="s">
        <v>0</v>
      </c>
      <c r="C68" s="10"/>
      <c r="D68" s="4">
        <f>SUM(OSRRefD25x_0)</f>
        <v>0</v>
      </c>
      <c r="E68" s="4"/>
      <c r="F68" s="12">
        <f t="shared" ref="F68:F71" si="52">IF(D$12=0,0,D68/D$12)</f>
        <v>0</v>
      </c>
      <c r="G68" s="4"/>
      <c r="H68" s="4">
        <f>SUM(OSRRefH25x_0)</f>
        <v>0</v>
      </c>
      <c r="I68" s="4"/>
      <c r="J68" s="12">
        <f t="shared" ref="J68:J71" si="53">IF(H$12=0,0,H68/H$12)</f>
        <v>0</v>
      </c>
      <c r="K68" s="4"/>
      <c r="L68" s="4">
        <f t="shared" ref="L68:L71" si="54">+D68-H68</f>
        <v>0</v>
      </c>
      <c r="M68" s="4"/>
      <c r="N68" s="12">
        <f t="shared" ref="N68:N71" si="55">IF(H68=0,0,L68/H68)</f>
        <v>0</v>
      </c>
      <c r="O68" s="10"/>
      <c r="P68" s="4">
        <f>SUM(OSRRefP25x_0)</f>
        <v>0</v>
      </c>
      <c r="Q68" s="4"/>
      <c r="R68" s="12">
        <f t="shared" ref="R68:R71" si="56">IF(P$12=0,0,P68/P$12)</f>
        <v>0</v>
      </c>
      <c r="S68" s="4"/>
      <c r="T68" s="4">
        <f>SUM(OSRRefT25x_0)</f>
        <v>0</v>
      </c>
      <c r="U68" s="4"/>
      <c r="V68" s="12">
        <f t="shared" ref="V68:V71" si="57">IF(T$12=0,0,T68/T$12)</f>
        <v>0</v>
      </c>
      <c r="W68" s="4"/>
      <c r="X68" s="4">
        <f t="shared" ref="X68:X71" si="58">+P68-T68</f>
        <v>0</v>
      </c>
      <c r="Y68" s="4"/>
      <c r="Z68" s="12">
        <f t="shared" ref="Z68:Z71" si="59">IF(T68=0,0,X68/T68)</f>
        <v>0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 t="shared" ref="D69:D71" si="60">0</f>
        <v>0</v>
      </c>
      <c r="E69" s="2"/>
      <c r="F69" s="22">
        <f t="shared" si="52"/>
        <v>0</v>
      </c>
      <c r="G69" s="2"/>
      <c r="H69" s="2"/>
      <c r="I69" s="2"/>
      <c r="J69" s="22">
        <f t="shared" si="53"/>
        <v>0</v>
      </c>
      <c r="K69" s="2"/>
      <c r="L69" s="2">
        <f t="shared" si="54"/>
        <v>0</v>
      </c>
      <c r="M69" s="2"/>
      <c r="N69" s="22">
        <f t="shared" si="55"/>
        <v>0</v>
      </c>
      <c r="O69" s="11"/>
      <c r="P69" s="2">
        <f t="shared" ref="P69:P71" si="61">0</f>
        <v>0</v>
      </c>
      <c r="Q69" s="2"/>
      <c r="R69" s="22">
        <f t="shared" si="56"/>
        <v>0</v>
      </c>
      <c r="S69" s="2"/>
      <c r="T69" s="2">
        <v>0</v>
      </c>
      <c r="U69" s="2"/>
      <c r="V69" s="22">
        <f t="shared" si="57"/>
        <v>0</v>
      </c>
      <c r="W69" s="2"/>
      <c r="X69" s="2">
        <f t="shared" si="58"/>
        <v>0</v>
      </c>
      <c r="Y69" s="2"/>
      <c r="Z69" s="22">
        <f t="shared" si="59"/>
        <v>0</v>
      </c>
    </row>
    <row r="70" spans="1:26" s="24" customFormat="1" hidden="1" outlineLevel="1" x14ac:dyDescent="0.25">
      <c r="A70" s="51"/>
      <c r="B70" s="11" t="str">
        <f>CONCATENATE("          ", "9151", " - ", "MISC. INCOME")</f>
        <v xml:space="preserve">          9151 - MISC. INCOME</v>
      </c>
      <c r="C70" s="11"/>
      <c r="D70" s="2">
        <f t="shared" si="60"/>
        <v>0</v>
      </c>
      <c r="E70" s="2"/>
      <c r="F70" s="22">
        <f t="shared" si="52"/>
        <v>0</v>
      </c>
      <c r="G70" s="2"/>
      <c r="H70" s="2"/>
      <c r="I70" s="2"/>
      <c r="J70" s="22">
        <f t="shared" si="53"/>
        <v>0</v>
      </c>
      <c r="K70" s="2"/>
      <c r="L70" s="2">
        <f t="shared" si="54"/>
        <v>0</v>
      </c>
      <c r="M70" s="2"/>
      <c r="N70" s="22">
        <f t="shared" si="55"/>
        <v>0</v>
      </c>
      <c r="O70" s="11"/>
      <c r="P70" s="2">
        <f t="shared" si="61"/>
        <v>0</v>
      </c>
      <c r="Q70" s="2"/>
      <c r="R70" s="22">
        <f t="shared" si="56"/>
        <v>0</v>
      </c>
      <c r="S70" s="2"/>
      <c r="T70" s="2">
        <v>0</v>
      </c>
      <c r="U70" s="2"/>
      <c r="V70" s="22">
        <f t="shared" si="57"/>
        <v>0</v>
      </c>
      <c r="W70" s="2"/>
      <c r="X70" s="2">
        <f t="shared" si="58"/>
        <v>0</v>
      </c>
      <c r="Y70" s="2"/>
      <c r="Z70" s="22">
        <f t="shared" si="59"/>
        <v>0</v>
      </c>
    </row>
    <row r="71" spans="1:26" s="24" customFormat="1" hidden="1" outlineLevel="1" x14ac:dyDescent="0.25">
      <c r="A71" s="51"/>
      <c r="B71" s="11" t="str">
        <f>CONCATENATE("          ", "9160", " - ", "MISC. INCOME")</f>
        <v xml:space="preserve">          9160 - MISC. INCOME</v>
      </c>
      <c r="C71" s="11"/>
      <c r="D71" s="2">
        <f t="shared" si="60"/>
        <v>0</v>
      </c>
      <c r="E71" s="2"/>
      <c r="F71" s="22">
        <f t="shared" si="52"/>
        <v>0</v>
      </c>
      <c r="G71" s="2"/>
      <c r="H71" s="2"/>
      <c r="I71" s="2"/>
      <c r="J71" s="22">
        <f t="shared" si="53"/>
        <v>0</v>
      </c>
      <c r="K71" s="2"/>
      <c r="L71" s="2">
        <f t="shared" si="54"/>
        <v>0</v>
      </c>
      <c r="M71" s="2"/>
      <c r="N71" s="22">
        <f t="shared" si="55"/>
        <v>0</v>
      </c>
      <c r="O71" s="11"/>
      <c r="P71" s="2">
        <f t="shared" si="61"/>
        <v>0</v>
      </c>
      <c r="Q71" s="2"/>
      <c r="R71" s="22">
        <f t="shared" si="56"/>
        <v>0</v>
      </c>
      <c r="S71" s="2"/>
      <c r="T71" s="2">
        <v>0</v>
      </c>
      <c r="U71" s="2"/>
      <c r="V71" s="22">
        <f t="shared" si="57"/>
        <v>0</v>
      </c>
      <c r="W71" s="2"/>
      <c r="X71" s="2">
        <f t="shared" si="58"/>
        <v>0</v>
      </c>
      <c r="Y71" s="2"/>
      <c r="Z71" s="22">
        <f t="shared" si="59"/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3</v>
      </c>
      <c r="C73" s="26"/>
      <c r="D73" s="20">
        <f>+D17-D19+D68</f>
        <v>-46110.25</v>
      </c>
      <c r="E73" s="13"/>
      <c r="F73" s="19">
        <f>IF(D$12=0,0,D73/D$12)</f>
        <v>0</v>
      </c>
      <c r="G73" s="13"/>
      <c r="H73" s="20">
        <f>+H17-H19+H68</f>
        <v>-41972.239519230789</v>
      </c>
      <c r="I73" s="13"/>
      <c r="J73" s="19">
        <f>IF(H$12=0,0,H73/H$12)</f>
        <v>0</v>
      </c>
      <c r="K73" s="15"/>
      <c r="L73" s="20">
        <f>+D73-H73</f>
        <v>-4138.0104807692114</v>
      </c>
      <c r="M73" s="15"/>
      <c r="N73" s="19">
        <f>IF(H73=0,0,L73/H73)</f>
        <v>9.8589222976135524E-2</v>
      </c>
      <c r="O73" s="25"/>
      <c r="P73" s="20">
        <f>+P17-P19+P68</f>
        <v>-156156.54000000004</v>
      </c>
      <c r="Q73" s="13"/>
      <c r="R73" s="19">
        <f>IF(P$12=0,0,P73/P$12)</f>
        <v>0</v>
      </c>
      <c r="S73" s="13"/>
      <c r="T73" s="20">
        <f>+T17-T19+T68</f>
        <v>-161904.39226923091</v>
      </c>
      <c r="U73" s="13"/>
      <c r="V73" s="19">
        <f>IF(T$12=0,0,T73/T$12)</f>
        <v>0</v>
      </c>
      <c r="W73" s="15"/>
      <c r="X73" s="20">
        <f>+P73-T73</f>
        <v>5747.8522692308761</v>
      </c>
      <c r="Y73" s="15"/>
      <c r="Z73" s="19">
        <f>IF(T73=0,0,X73/T73)</f>
        <v>-3.5501521537925726E-2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4</v>
      </c>
      <c r="C77" s="26"/>
      <c r="D77" s="34">
        <f>+D73-D75</f>
        <v>-46110.25</v>
      </c>
      <c r="E77" s="13"/>
      <c r="F77" s="35">
        <f>IF(D$12=0,0,D77/D$12)</f>
        <v>0</v>
      </c>
      <c r="G77" s="13"/>
      <c r="H77" s="34">
        <f>+H73-H75</f>
        <v>-41972.239519230789</v>
      </c>
      <c r="I77" s="13"/>
      <c r="J77" s="35">
        <f>IF(H$12=0,0,H77/H$12)</f>
        <v>0</v>
      </c>
      <c r="K77" s="15"/>
      <c r="L77" s="34">
        <f>D77-H77</f>
        <v>-4138.0104807692114</v>
      </c>
      <c r="M77" s="15"/>
      <c r="N77" s="35">
        <f>IF(H77=0,0,L77/H77)</f>
        <v>9.8589222976135524E-2</v>
      </c>
      <c r="O77" s="25"/>
      <c r="P77" s="34">
        <f>+P73-P75</f>
        <v>-156156.54000000004</v>
      </c>
      <c r="Q77" s="13"/>
      <c r="R77" s="35">
        <f>IF(P$12=0,0,P77/P$12)</f>
        <v>0</v>
      </c>
      <c r="S77" s="13"/>
      <c r="T77" s="34">
        <f>+T73-T75</f>
        <v>-161904.39226923091</v>
      </c>
      <c r="U77" s="13"/>
      <c r="V77" s="35">
        <f>IF(T$12=0,0,T77/T$12)</f>
        <v>0</v>
      </c>
      <c r="W77" s="15"/>
      <c r="X77" s="34">
        <f>P77-T77</f>
        <v>5747.8522692308761</v>
      </c>
      <c r="Y77" s="15"/>
      <c r="Z77" s="35">
        <f>IF(T77=0,0,X77/T77)</f>
        <v>-3.5501521537925726E-2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5</v>
      </c>
      <c r="C80" s="26"/>
      <c r="D80" s="30">
        <f>SUM(D77:D79)</f>
        <v>-46110.25</v>
      </c>
      <c r="E80" s="13"/>
      <c r="F80" s="32">
        <f>IF(D$12=0,0,D80/D$12)</f>
        <v>0</v>
      </c>
      <c r="G80" s="13"/>
      <c r="H80" s="30">
        <f>SUM(H77:H79)</f>
        <v>-41972.239519230789</v>
      </c>
      <c r="I80" s="13"/>
      <c r="J80" s="32">
        <f>IF(H$12=0,0,H80/H$12)</f>
        <v>0</v>
      </c>
      <c r="K80" s="15"/>
      <c r="L80" s="30">
        <f>+D80-H80</f>
        <v>-4138.0104807692114</v>
      </c>
      <c r="M80" s="15"/>
      <c r="N80" s="32">
        <f>IF(H80=0,0,L80/H80)</f>
        <v>9.8589222976135524E-2</v>
      </c>
      <c r="O80" s="25"/>
      <c r="P80" s="30">
        <f>SUM(P77:P79)</f>
        <v>-156156.54000000004</v>
      </c>
      <c r="Q80" s="13"/>
      <c r="R80" s="32">
        <f>IF(P$12=0,0,P80/P$12)</f>
        <v>0</v>
      </c>
      <c r="S80" s="13"/>
      <c r="T80" s="30">
        <f>SUM(T77:T79)</f>
        <v>-161904.39226923091</v>
      </c>
      <c r="U80" s="13"/>
      <c r="V80" s="32">
        <f>IF(T$12=0,0,T80/T$12)</f>
        <v>0</v>
      </c>
      <c r="W80" s="15"/>
      <c r="X80" s="30">
        <f>+P80-T80</f>
        <v>5747.8522692308761</v>
      </c>
      <c r="Y80" s="15"/>
      <c r="Z80" s="32">
        <f>IF(T80=0,0,X80/T80)</f>
        <v>-3.5501521537925726E-2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0">
        <v>44151.568035381948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8" t="s">
        <v>314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3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","203", " - ", "Human Resources")</f>
        <v>Department 203 - Human Resources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53720.339999999989</v>
      </c>
      <c r="E18" s="21"/>
      <c r="F18" s="31">
        <f t="shared" ref="F18:F29" si="0">IF(D$12=0,0,D18/D$12)</f>
        <v>0</v>
      </c>
      <c r="G18" s="21"/>
      <c r="H18" s="21">
        <f>SUM(OSRRefH22x_0)</f>
        <v>58415.15723076927</v>
      </c>
      <c r="I18" s="21"/>
      <c r="J18" s="31">
        <f t="shared" ref="J18:J29" si="1">IF(H$12=0,0,H18/H$12)</f>
        <v>0</v>
      </c>
      <c r="K18" s="4"/>
      <c r="L18" s="21">
        <f t="shared" ref="L18:L29" si="2">+D18-H18</f>
        <v>-4694.8172307692803</v>
      </c>
      <c r="M18" s="4"/>
      <c r="N18" s="31">
        <f t="shared" ref="N18:N29" si="3">IF(H18=0,0,L18/H18)</f>
        <v>-8.0369846685893351E-2</v>
      </c>
      <c r="O18" s="10"/>
      <c r="P18" s="21">
        <f>SUM(OSRRefP22x_0)</f>
        <v>188699.37999999998</v>
      </c>
      <c r="Q18" s="21"/>
      <c r="R18" s="31">
        <f t="shared" ref="R18:R29" si="4">IF(P$12=0,0,P18/P$12)</f>
        <v>0</v>
      </c>
      <c r="S18" s="21"/>
      <c r="T18" s="21">
        <f>SUM(OSRRefT22x_0)</f>
        <v>217339.36603076931</v>
      </c>
      <c r="U18" s="21"/>
      <c r="V18" s="31">
        <f t="shared" ref="V18:V29" si="5">IF(T$12=0,0,T18/T$12)</f>
        <v>0</v>
      </c>
      <c r="W18" s="4"/>
      <c r="X18" s="21">
        <f t="shared" ref="X18:X29" si="6">+P18-T18</f>
        <v>-28639.986030769331</v>
      </c>
      <c r="Y18" s="4"/>
      <c r="Z18" s="31">
        <f t="shared" ref="Z18:Z29" si="7">IF(T18=0,0,X18/T18)</f>
        <v>-0.13177541903161111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15219.369999999999</v>
      </c>
      <c r="E19" s="1"/>
      <c r="F19" s="5">
        <f t="shared" si="0"/>
        <v>0</v>
      </c>
      <c r="G19" s="1"/>
      <c r="H19" s="1">
        <f>SUM(OSRRefH22_0x_0)</f>
        <v>12518.618769230772</v>
      </c>
      <c r="I19" s="1"/>
      <c r="J19" s="5">
        <f t="shared" si="1"/>
        <v>0</v>
      </c>
      <c r="K19" s="1"/>
      <c r="L19" s="1">
        <f t="shared" si="2"/>
        <v>2700.7512307692268</v>
      </c>
      <c r="M19" s="1"/>
      <c r="N19" s="5">
        <f t="shared" si="3"/>
        <v>0.21573875525368197</v>
      </c>
      <c r="O19" s="14"/>
      <c r="P19" s="1">
        <f>SUM(OSRRefP22_0x_0)</f>
        <v>52001.250000000007</v>
      </c>
      <c r="Q19" s="1"/>
      <c r="R19" s="5">
        <f t="shared" si="4"/>
        <v>0</v>
      </c>
      <c r="S19" s="1"/>
      <c r="T19" s="1">
        <f>SUM(OSRRefT22_0x_0)</f>
        <v>46069.027569230784</v>
      </c>
      <c r="U19" s="1"/>
      <c r="V19" s="5">
        <f t="shared" si="5"/>
        <v>0</v>
      </c>
      <c r="W19" s="1"/>
      <c r="X19" s="1">
        <f t="shared" si="6"/>
        <v>5932.2224307692231</v>
      </c>
      <c r="Y19" s="1"/>
      <c r="Z19" s="5">
        <f t="shared" si="7"/>
        <v>0.12876812782415484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3822.22</v>
      </c>
      <c r="E20" s="2"/>
      <c r="F20" s="6">
        <f t="shared" si="0"/>
        <v>0</v>
      </c>
      <c r="G20" s="2"/>
      <c r="H20" s="7">
        <v>1898.23834615385</v>
      </c>
      <c r="I20" s="2"/>
      <c r="J20" s="6">
        <f t="shared" si="1"/>
        <v>0</v>
      </c>
      <c r="K20" s="2"/>
      <c r="L20" s="7">
        <f t="shared" si="2"/>
        <v>1923.9816538461498</v>
      </c>
      <c r="M20" s="2"/>
      <c r="N20" s="6">
        <f t="shared" si="3"/>
        <v>1.0135616835180157</v>
      </c>
      <c r="O20" s="11"/>
      <c r="P20" s="7">
        <v>9796.26</v>
      </c>
      <c r="Q20" s="2"/>
      <c r="R20" s="6">
        <f t="shared" si="4"/>
        <v>0</v>
      </c>
      <c r="S20" s="2"/>
      <c r="T20" s="7">
        <v>6833.6580461538597</v>
      </c>
      <c r="U20" s="2"/>
      <c r="V20" s="6">
        <f t="shared" si="5"/>
        <v>0</v>
      </c>
      <c r="W20" s="2"/>
      <c r="X20" s="7">
        <f t="shared" si="6"/>
        <v>2962.6019538461405</v>
      </c>
      <c r="Y20" s="2"/>
      <c r="Z20" s="6">
        <f t="shared" si="7"/>
        <v>0.43353090450780768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84.73</v>
      </c>
      <c r="E21" s="2"/>
      <c r="F21" s="6">
        <f t="shared" si="0"/>
        <v>0</v>
      </c>
      <c r="G21" s="2"/>
      <c r="H21" s="7">
        <v>113.91219230769201</v>
      </c>
      <c r="I21" s="2"/>
      <c r="J21" s="6">
        <f t="shared" si="1"/>
        <v>0</v>
      </c>
      <c r="K21" s="2"/>
      <c r="L21" s="7">
        <f t="shared" si="2"/>
        <v>-29.182192307692006</v>
      </c>
      <c r="M21" s="2"/>
      <c r="N21" s="6">
        <f t="shared" si="3"/>
        <v>-0.2561814650083023</v>
      </c>
      <c r="O21" s="11"/>
      <c r="P21" s="7">
        <v>340.44</v>
      </c>
      <c r="Q21" s="2"/>
      <c r="R21" s="6">
        <f t="shared" si="4"/>
        <v>0</v>
      </c>
      <c r="S21" s="2"/>
      <c r="T21" s="7">
        <v>410.08389230769177</v>
      </c>
      <c r="U21" s="2"/>
      <c r="V21" s="6">
        <f t="shared" si="5"/>
        <v>0</v>
      </c>
      <c r="W21" s="2"/>
      <c r="X21" s="7">
        <f t="shared" si="6"/>
        <v>-69.643892307691772</v>
      </c>
      <c r="Y21" s="2"/>
      <c r="Z21" s="6">
        <f t="shared" si="7"/>
        <v>-0.16982840246609093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6091.67</v>
      </c>
      <c r="E22" s="2"/>
      <c r="F22" s="6">
        <f t="shared" si="0"/>
        <v>0</v>
      </c>
      <c r="G22" s="2"/>
      <c r="H22" s="7">
        <v>6549.2307692307704</v>
      </c>
      <c r="I22" s="2"/>
      <c r="J22" s="6">
        <f t="shared" si="1"/>
        <v>0</v>
      </c>
      <c r="K22" s="2"/>
      <c r="L22" s="7">
        <f t="shared" si="2"/>
        <v>-457.56076923077035</v>
      </c>
      <c r="M22" s="2"/>
      <c r="N22" s="6">
        <f t="shared" si="3"/>
        <v>-6.9864810899694776E-2</v>
      </c>
      <c r="O22" s="11"/>
      <c r="P22" s="7">
        <v>24366.68</v>
      </c>
      <c r="Q22" s="2"/>
      <c r="R22" s="6">
        <f t="shared" si="4"/>
        <v>0</v>
      </c>
      <c r="S22" s="2"/>
      <c r="T22" s="7">
        <v>24369.23076923078</v>
      </c>
      <c r="U22" s="2"/>
      <c r="V22" s="6">
        <f t="shared" si="5"/>
        <v>0</v>
      </c>
      <c r="W22" s="2"/>
      <c r="X22" s="7">
        <f t="shared" si="6"/>
        <v>-2.5507692307801335</v>
      </c>
      <c r="Y22" s="2"/>
      <c r="Z22" s="6">
        <f t="shared" si="7"/>
        <v>-1.0467171717216452E-4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66.760000000000005</v>
      </c>
      <c r="E23" s="2"/>
      <c r="F23" s="6">
        <f t="shared" si="0"/>
        <v>0</v>
      </c>
      <c r="G23" s="2"/>
      <c r="H23" s="7">
        <v>89.748999999999995</v>
      </c>
      <c r="I23" s="2"/>
      <c r="J23" s="6">
        <f t="shared" si="1"/>
        <v>0</v>
      </c>
      <c r="K23" s="2"/>
      <c r="L23" s="7">
        <f t="shared" si="2"/>
        <v>-22.98899999999999</v>
      </c>
      <c r="M23" s="2"/>
      <c r="N23" s="6">
        <f t="shared" si="3"/>
        <v>-0.25614770081003679</v>
      </c>
      <c r="O23" s="11"/>
      <c r="P23" s="7">
        <v>268.23</v>
      </c>
      <c r="Q23" s="2"/>
      <c r="R23" s="6">
        <f t="shared" si="4"/>
        <v>0</v>
      </c>
      <c r="S23" s="2"/>
      <c r="T23" s="7">
        <v>323.09640000000002</v>
      </c>
      <c r="U23" s="2"/>
      <c r="V23" s="6">
        <f t="shared" si="5"/>
        <v>0</v>
      </c>
      <c r="W23" s="2"/>
      <c r="X23" s="7">
        <f t="shared" si="6"/>
        <v>-54.866399999999999</v>
      </c>
      <c r="Y23" s="2"/>
      <c r="Z23" s="6">
        <f t="shared" si="7"/>
        <v>-0.16981433405014726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1091.48</v>
      </c>
      <c r="E24" s="2"/>
      <c r="F24" s="6">
        <f t="shared" si="0"/>
        <v>0</v>
      </c>
      <c r="G24" s="2"/>
      <c r="H24" s="7">
        <v>1066.73076923077</v>
      </c>
      <c r="I24" s="2"/>
      <c r="J24" s="6">
        <f t="shared" si="1"/>
        <v>0</v>
      </c>
      <c r="K24" s="2"/>
      <c r="L24" s="7">
        <f t="shared" si="2"/>
        <v>24.749230769230053</v>
      </c>
      <c r="M24" s="2"/>
      <c r="N24" s="6">
        <f t="shared" si="3"/>
        <v>2.3201009554713572E-2</v>
      </c>
      <c r="O24" s="11"/>
      <c r="P24" s="7">
        <v>4911.66</v>
      </c>
      <c r="Q24" s="2"/>
      <c r="R24" s="6">
        <f t="shared" si="4"/>
        <v>0</v>
      </c>
      <c r="S24" s="2"/>
      <c r="T24" s="7">
        <v>3840.23076923077</v>
      </c>
      <c r="U24" s="2"/>
      <c r="V24" s="6">
        <f t="shared" si="5"/>
        <v>0</v>
      </c>
      <c r="W24" s="2"/>
      <c r="X24" s="7">
        <f t="shared" si="6"/>
        <v>1071.4292307692299</v>
      </c>
      <c r="Y24" s="2"/>
      <c r="Z24" s="6">
        <f t="shared" si="7"/>
        <v>0.27900126194339253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7">
        <v>592.51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592.51</v>
      </c>
      <c r="M26" s="2"/>
      <c r="N26" s="6">
        <f t="shared" si="3"/>
        <v>0</v>
      </c>
      <c r="O26" s="11"/>
      <c r="P26" s="7">
        <v>2669.64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2669.64</v>
      </c>
      <c r="Y26" s="2"/>
      <c r="Z26" s="6">
        <f t="shared" si="7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7">
        <v>2089.0500000000002</v>
      </c>
      <c r="E27" s="2"/>
      <c r="F27" s="6">
        <f t="shared" si="0"/>
        <v>0</v>
      </c>
      <c r="G27" s="2"/>
      <c r="H27" s="7">
        <v>1240.1923076923101</v>
      </c>
      <c r="I27" s="2"/>
      <c r="J27" s="6">
        <f t="shared" si="1"/>
        <v>0</v>
      </c>
      <c r="K27" s="2"/>
      <c r="L27" s="7">
        <f t="shared" si="2"/>
        <v>848.85769230769006</v>
      </c>
      <c r="M27" s="2"/>
      <c r="N27" s="6">
        <f t="shared" si="3"/>
        <v>0.68445650488447507</v>
      </c>
      <c r="O27" s="11"/>
      <c r="P27" s="7">
        <v>5428.58</v>
      </c>
      <c r="Q27" s="2"/>
      <c r="R27" s="6">
        <f t="shared" si="4"/>
        <v>0</v>
      </c>
      <c r="S27" s="2"/>
      <c r="T27" s="7">
        <v>4464.6923076923122</v>
      </c>
      <c r="U27" s="2"/>
      <c r="V27" s="6">
        <f t="shared" si="5"/>
        <v>0</v>
      </c>
      <c r="W27" s="2"/>
      <c r="X27" s="7">
        <f t="shared" si="6"/>
        <v>963.88769230768776</v>
      </c>
      <c r="Y27" s="2"/>
      <c r="Z27" s="6">
        <f t="shared" si="7"/>
        <v>0.21589118037249408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7">
        <v>1362.18</v>
      </c>
      <c r="E28" s="2"/>
      <c r="F28" s="6">
        <f t="shared" si="0"/>
        <v>0</v>
      </c>
      <c r="G28" s="2"/>
      <c r="H28" s="7">
        <v>1035.56538461538</v>
      </c>
      <c r="I28" s="2"/>
      <c r="J28" s="6">
        <f t="shared" si="1"/>
        <v>0</v>
      </c>
      <c r="K28" s="2"/>
      <c r="L28" s="7">
        <f t="shared" si="2"/>
        <v>326.61461538462004</v>
      </c>
      <c r="M28" s="2"/>
      <c r="N28" s="6">
        <f t="shared" si="3"/>
        <v>0.31539738604330442</v>
      </c>
      <c r="O28" s="11"/>
      <c r="P28" s="7">
        <v>4086.54</v>
      </c>
      <c r="Q28" s="2"/>
      <c r="R28" s="6">
        <f t="shared" si="4"/>
        <v>0</v>
      </c>
      <c r="S28" s="2"/>
      <c r="T28" s="7">
        <v>3728.0353846153757</v>
      </c>
      <c r="U28" s="2"/>
      <c r="V28" s="6">
        <f t="shared" si="5"/>
        <v>0</v>
      </c>
      <c r="W28" s="2"/>
      <c r="X28" s="7">
        <f t="shared" si="6"/>
        <v>358.50461538462423</v>
      </c>
      <c r="Y28" s="2"/>
      <c r="Z28" s="6">
        <f t="shared" si="7"/>
        <v>9.6164488369418044E-2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7">
        <v>18.77</v>
      </c>
      <c r="E29" s="2"/>
      <c r="F29" s="6">
        <f t="shared" si="0"/>
        <v>0</v>
      </c>
      <c r="G29" s="2"/>
      <c r="H29" s="7">
        <v>525</v>
      </c>
      <c r="I29" s="2"/>
      <c r="J29" s="6">
        <f t="shared" si="1"/>
        <v>0</v>
      </c>
      <c r="K29" s="2"/>
      <c r="L29" s="7">
        <f t="shared" si="2"/>
        <v>-506.23</v>
      </c>
      <c r="M29" s="2"/>
      <c r="N29" s="6">
        <f t="shared" si="3"/>
        <v>-0.96424761904761913</v>
      </c>
      <c r="O29" s="11"/>
      <c r="P29" s="7">
        <v>133.22</v>
      </c>
      <c r="Q29" s="2"/>
      <c r="R29" s="6">
        <f t="shared" si="4"/>
        <v>0</v>
      </c>
      <c r="S29" s="2"/>
      <c r="T29" s="7">
        <v>2100</v>
      </c>
      <c r="U29" s="2"/>
      <c r="V29" s="6">
        <f t="shared" si="5"/>
        <v>0</v>
      </c>
      <c r="W29" s="2"/>
      <c r="X29" s="7">
        <f t="shared" si="6"/>
        <v>-1966.78</v>
      </c>
      <c r="Y29" s="2"/>
      <c r="Z29" s="6">
        <f t="shared" si="7"/>
        <v>-0.93656190476190471</v>
      </c>
    </row>
    <row r="30" spans="1:26" s="27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31051.64</v>
      </c>
      <c r="E30" s="1"/>
      <c r="F30" s="5">
        <f t="shared" ref="F30:F40" si="8">IF(D$12=0,0,D30/D$12)</f>
        <v>0</v>
      </c>
      <c r="G30" s="1"/>
      <c r="H30" s="1">
        <f>SUM(OSRRefH22_1x_0)</f>
        <v>32534.538461538501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-1482.8984615385016</v>
      </c>
      <c r="M30" s="1"/>
      <c r="N30" s="5">
        <f t="shared" ref="N30:N40" si="11">IF(H30=0,0,L30/H30)</f>
        <v>-4.5579206949302391E-2</v>
      </c>
      <c r="O30" s="14"/>
      <c r="P30" s="1">
        <f>SUM(OSRRefP22_1x_0)</f>
        <v>112402.71</v>
      </c>
      <c r="Q30" s="1"/>
      <c r="R30" s="5">
        <f t="shared" ref="R30:R40" si="12">IF(P$12=0,0,P30/P$12)</f>
        <v>0</v>
      </c>
      <c r="S30" s="1"/>
      <c r="T30" s="1">
        <f>SUM(OSRRefT22_1x_0)</f>
        <v>117124.33846153854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-4721.6284615385375</v>
      </c>
      <c r="Y30" s="1"/>
      <c r="Z30" s="5">
        <f t="shared" ref="Z30:Z40" si="15">IF(T30=0,0,X30/T30)</f>
        <v>-4.0312957354196988E-2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7">
        <v>11378.56</v>
      </c>
      <c r="E31" s="2"/>
      <c r="F31" s="6">
        <f t="shared" si="8"/>
        <v>0</v>
      </c>
      <c r="G31" s="2"/>
      <c r="H31" s="7">
        <v>11411.538461538501</v>
      </c>
      <c r="I31" s="2"/>
      <c r="J31" s="6">
        <f t="shared" si="9"/>
        <v>0</v>
      </c>
      <c r="K31" s="2"/>
      <c r="L31" s="7">
        <f t="shared" si="10"/>
        <v>-32.978461538501506</v>
      </c>
      <c r="M31" s="2"/>
      <c r="N31" s="6">
        <f t="shared" si="11"/>
        <v>-2.8899224806236473E-3</v>
      </c>
      <c r="O31" s="11"/>
      <c r="P31" s="7">
        <v>41062.94</v>
      </c>
      <c r="Q31" s="2"/>
      <c r="R31" s="6">
        <f t="shared" si="12"/>
        <v>0</v>
      </c>
      <c r="S31" s="2"/>
      <c r="T31" s="7">
        <v>41081.538461538541</v>
      </c>
      <c r="U31" s="2"/>
      <c r="V31" s="6">
        <f t="shared" si="13"/>
        <v>0</v>
      </c>
      <c r="W31" s="2"/>
      <c r="X31" s="7">
        <f t="shared" si="14"/>
        <v>-18.598461538538686</v>
      </c>
      <c r="Y31" s="2"/>
      <c r="Z31" s="6">
        <f t="shared" si="15"/>
        <v>-4.5272066809160476E-4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>
        <v>14614.27</v>
      </c>
      <c r="E34" s="2"/>
      <c r="F34" s="6">
        <f t="shared" si="8"/>
        <v>0</v>
      </c>
      <c r="G34" s="2"/>
      <c r="H34" s="7">
        <v>11408</v>
      </c>
      <c r="I34" s="2"/>
      <c r="J34" s="6">
        <f t="shared" si="9"/>
        <v>0</v>
      </c>
      <c r="K34" s="2"/>
      <c r="L34" s="7">
        <f t="shared" si="10"/>
        <v>3206.2700000000004</v>
      </c>
      <c r="M34" s="2"/>
      <c r="N34" s="6">
        <f t="shared" si="11"/>
        <v>0.28105452314165502</v>
      </c>
      <c r="O34" s="11"/>
      <c r="P34" s="7">
        <v>44949.760000000002</v>
      </c>
      <c r="Q34" s="2"/>
      <c r="R34" s="6">
        <f t="shared" si="12"/>
        <v>0</v>
      </c>
      <c r="S34" s="2"/>
      <c r="T34" s="7">
        <v>41068.800000000003</v>
      </c>
      <c r="U34" s="2"/>
      <c r="V34" s="6">
        <f t="shared" si="13"/>
        <v>0</v>
      </c>
      <c r="W34" s="2"/>
      <c r="X34" s="7">
        <f t="shared" si="14"/>
        <v>3880.9599999999991</v>
      </c>
      <c r="Y34" s="2"/>
      <c r="Z34" s="6">
        <f t="shared" si="15"/>
        <v>9.4498987065606957E-2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>
        <v>8764.81</v>
      </c>
      <c r="E35" s="2"/>
      <c r="F35" s="6">
        <f t="shared" si="8"/>
        <v>0</v>
      </c>
      <c r="G35" s="2"/>
      <c r="H35" s="7">
        <v>9715</v>
      </c>
      <c r="I35" s="2"/>
      <c r="J35" s="6">
        <f t="shared" si="9"/>
        <v>0</v>
      </c>
      <c r="K35" s="2"/>
      <c r="L35" s="7">
        <f t="shared" si="10"/>
        <v>-950.19000000000051</v>
      </c>
      <c r="M35" s="2"/>
      <c r="N35" s="6">
        <f t="shared" si="11"/>
        <v>-9.7806484817292899E-2</v>
      </c>
      <c r="O35" s="11"/>
      <c r="P35" s="7">
        <v>26390.01</v>
      </c>
      <c r="Q35" s="2"/>
      <c r="R35" s="6">
        <f t="shared" si="12"/>
        <v>0</v>
      </c>
      <c r="S35" s="2"/>
      <c r="T35" s="7">
        <v>34974</v>
      </c>
      <c r="U35" s="2"/>
      <c r="V35" s="6">
        <f t="shared" si="13"/>
        <v>0</v>
      </c>
      <c r="W35" s="2"/>
      <c r="X35" s="7">
        <f t="shared" si="14"/>
        <v>-8583.9900000000016</v>
      </c>
      <c r="Y35" s="2"/>
      <c r="Z35" s="6">
        <f t="shared" si="15"/>
        <v>-0.24543918339337797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7">
        <v>-3706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-3706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7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3" si="16">IF(D$12=0,0,D41/D$12)</f>
        <v>0</v>
      </c>
      <c r="G41" s="1"/>
      <c r="H41" s="1">
        <f>SUM(OSRRefH22_2x_0)</f>
        <v>250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-250</v>
      </c>
      <c r="M41" s="1"/>
      <c r="N41" s="5">
        <f t="shared" ref="N41:N53" si="19">IF(H41=0,0,L41/H41)</f>
        <v>-1</v>
      </c>
      <c r="O41" s="14"/>
      <c r="P41" s="1">
        <f>SUM(OSRRefP22_2x_0)</f>
        <v>0</v>
      </c>
      <c r="Q41" s="1"/>
      <c r="R41" s="5">
        <f t="shared" ref="R41:R53" si="20">IF(P$12=0,0,P41/P$12)</f>
        <v>0</v>
      </c>
      <c r="S41" s="1"/>
      <c r="T41" s="1">
        <f>SUM(OSRRefT22_2x_0)</f>
        <v>1000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-1000</v>
      </c>
      <c r="Y41" s="1"/>
      <c r="Z41" s="5">
        <f t="shared" ref="Z41:Z53" si="23">IF(T41=0,0,X41/T41)</f>
        <v>-1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>
        <v>250</v>
      </c>
      <c r="I42" s="2"/>
      <c r="J42" s="6">
        <f t="shared" si="17"/>
        <v>0</v>
      </c>
      <c r="K42" s="2"/>
      <c r="L42" s="7">
        <f t="shared" si="18"/>
        <v>-250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1000</v>
      </c>
      <c r="U42" s="2"/>
      <c r="V42" s="6">
        <f t="shared" si="21"/>
        <v>0</v>
      </c>
      <c r="W42" s="2"/>
      <c r="X42" s="7">
        <f t="shared" si="22"/>
        <v>-1000</v>
      </c>
      <c r="Y42" s="2"/>
      <c r="Z42" s="6">
        <f t="shared" si="23"/>
        <v>-1</v>
      </c>
    </row>
    <row r="43" spans="1:26" s="27" customFormat="1" outlineLevel="1" collapsed="1" x14ac:dyDescent="0.25">
      <c r="A43" s="29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SUM(OSRRefP22_3x_0)</f>
        <v>81.56</v>
      </c>
      <c r="Q43" s="1"/>
      <c r="R43" s="5">
        <f t="shared" si="20"/>
        <v>0</v>
      </c>
      <c r="S43" s="1"/>
      <c r="T43" s="1">
        <f>SUM(OSRRefT22_3x_0)</f>
        <v>0</v>
      </c>
      <c r="U43" s="1"/>
      <c r="V43" s="5">
        <f t="shared" si="21"/>
        <v>0</v>
      </c>
      <c r="W43" s="1"/>
      <c r="X43" s="1">
        <f t="shared" si="22"/>
        <v>81.56</v>
      </c>
      <c r="Y43" s="1"/>
      <c r="Z43" s="5">
        <f t="shared" si="23"/>
        <v>0</v>
      </c>
    </row>
    <row r="44" spans="1:26" s="24" customFormat="1" hidden="1" outlineLevel="2" x14ac:dyDescent="0.25">
      <c r="A44" s="28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16"/>
        <v>0</v>
      </c>
      <c r="G44" s="2"/>
      <c r="H44" s="7">
        <v>0</v>
      </c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81.56</v>
      </c>
      <c r="Q44" s="2"/>
      <c r="R44" s="6">
        <f t="shared" si="20"/>
        <v>0</v>
      </c>
      <c r="S44" s="2"/>
      <c r="T44" s="7">
        <v>0</v>
      </c>
      <c r="U44" s="2"/>
      <c r="V44" s="6">
        <f t="shared" si="21"/>
        <v>0</v>
      </c>
      <c r="W44" s="2"/>
      <c r="X44" s="7">
        <f t="shared" si="22"/>
        <v>81.56</v>
      </c>
      <c r="Y44" s="2"/>
      <c r="Z44" s="6">
        <f t="shared" si="23"/>
        <v>0</v>
      </c>
    </row>
    <row r="45" spans="1:26" s="27" customFormat="1" outlineLevel="1" collapsed="1" x14ac:dyDescent="0.25">
      <c r="A45" s="29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82</v>
      </c>
      <c r="I45" s="1"/>
      <c r="J45" s="5">
        <f t="shared" si="17"/>
        <v>0</v>
      </c>
      <c r="K45" s="1"/>
      <c r="L45" s="1">
        <f t="shared" si="18"/>
        <v>-82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246</v>
      </c>
      <c r="U45" s="1"/>
      <c r="V45" s="5">
        <f t="shared" si="21"/>
        <v>0</v>
      </c>
      <c r="W45" s="1"/>
      <c r="X45" s="1">
        <f t="shared" si="22"/>
        <v>-246</v>
      </c>
      <c r="Y45" s="1"/>
      <c r="Z45" s="5">
        <f t="shared" si="23"/>
        <v>-1</v>
      </c>
    </row>
    <row r="46" spans="1:26" s="24" customFormat="1" hidden="1" outlineLevel="2" x14ac:dyDescent="0.25">
      <c r="A46" s="28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16"/>
        <v>0</v>
      </c>
      <c r="G46" s="2"/>
      <c r="H46" s="7">
        <v>82</v>
      </c>
      <c r="I46" s="2"/>
      <c r="J46" s="6">
        <f t="shared" si="17"/>
        <v>0</v>
      </c>
      <c r="K46" s="2"/>
      <c r="L46" s="7">
        <f t="shared" si="18"/>
        <v>-82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246</v>
      </c>
      <c r="U46" s="2"/>
      <c r="V46" s="6">
        <f t="shared" si="21"/>
        <v>0</v>
      </c>
      <c r="W46" s="2"/>
      <c r="X46" s="7">
        <f t="shared" si="22"/>
        <v>-246</v>
      </c>
      <c r="Y46" s="2"/>
      <c r="Z46" s="6">
        <f t="shared" si="23"/>
        <v>-1</v>
      </c>
    </row>
    <row r="47" spans="1:26" s="27" customFormat="1" outlineLevel="1" collapsed="1" x14ac:dyDescent="0.25">
      <c r="A47" s="29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21.75</v>
      </c>
      <c r="E47" s="1"/>
      <c r="F47" s="5">
        <f t="shared" si="16"/>
        <v>0</v>
      </c>
      <c r="G47" s="1"/>
      <c r="H47" s="1">
        <f>SUM(OSRRefH22_5x_0)</f>
        <v>83</v>
      </c>
      <c r="I47" s="1"/>
      <c r="J47" s="5">
        <f t="shared" si="17"/>
        <v>0</v>
      </c>
      <c r="K47" s="1"/>
      <c r="L47" s="1">
        <f t="shared" si="18"/>
        <v>-61.25</v>
      </c>
      <c r="M47" s="1"/>
      <c r="N47" s="5">
        <f t="shared" si="19"/>
        <v>-0.73795180722891562</v>
      </c>
      <c r="O47" s="14"/>
      <c r="P47" s="1">
        <f>SUM(OSRRefP22_5x_0)</f>
        <v>73.55</v>
      </c>
      <c r="Q47" s="1"/>
      <c r="R47" s="5">
        <f t="shared" si="20"/>
        <v>0</v>
      </c>
      <c r="S47" s="1"/>
      <c r="T47" s="1">
        <f>SUM(OSRRefT22_5x_0)</f>
        <v>332</v>
      </c>
      <c r="U47" s="1"/>
      <c r="V47" s="5">
        <f t="shared" si="21"/>
        <v>0</v>
      </c>
      <c r="W47" s="1"/>
      <c r="X47" s="1">
        <f t="shared" si="22"/>
        <v>-258.45</v>
      </c>
      <c r="Y47" s="1"/>
      <c r="Z47" s="5">
        <f t="shared" si="23"/>
        <v>-0.77846385542168672</v>
      </c>
    </row>
    <row r="48" spans="1:26" s="24" customFormat="1" hidden="1" outlineLevel="2" x14ac:dyDescent="0.25">
      <c r="A48" s="28"/>
      <c r="B48" s="11" t="str">
        <f>CONCATENATE("          ", "6307", " - ", "POSTAGE")</f>
        <v xml:space="preserve">          6307 - POSTAGE</v>
      </c>
      <c r="C48" s="11"/>
      <c r="D48" s="7">
        <v>21.75</v>
      </c>
      <c r="E48" s="2"/>
      <c r="F48" s="6">
        <f t="shared" si="16"/>
        <v>0</v>
      </c>
      <c r="G48" s="2"/>
      <c r="H48" s="7">
        <v>83</v>
      </c>
      <c r="I48" s="2"/>
      <c r="J48" s="6">
        <f t="shared" si="17"/>
        <v>0</v>
      </c>
      <c r="K48" s="2"/>
      <c r="L48" s="7">
        <f t="shared" si="18"/>
        <v>-61.25</v>
      </c>
      <c r="M48" s="2"/>
      <c r="N48" s="6">
        <f t="shared" si="19"/>
        <v>-0.73795180722891562</v>
      </c>
      <c r="O48" s="11"/>
      <c r="P48" s="7">
        <v>73.55</v>
      </c>
      <c r="Q48" s="2"/>
      <c r="R48" s="6">
        <f t="shared" si="20"/>
        <v>0</v>
      </c>
      <c r="S48" s="2"/>
      <c r="T48" s="7">
        <v>332</v>
      </c>
      <c r="U48" s="2"/>
      <c r="V48" s="6">
        <f t="shared" si="21"/>
        <v>0</v>
      </c>
      <c r="W48" s="2"/>
      <c r="X48" s="7">
        <f t="shared" si="22"/>
        <v>-258.45</v>
      </c>
      <c r="Y48" s="2"/>
      <c r="Z48" s="6">
        <f t="shared" si="23"/>
        <v>-0.77846385542168672</v>
      </c>
    </row>
    <row r="49" spans="1:26" s="27" customFormat="1" outlineLevel="1" collapsed="1" x14ac:dyDescent="0.25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16"/>
        <v>0</v>
      </c>
      <c r="G49" s="1"/>
      <c r="H49" s="1">
        <f>SUM(OSRRefH22_6x_0)</f>
        <v>333</v>
      </c>
      <c r="I49" s="1"/>
      <c r="J49" s="5">
        <f t="shared" si="17"/>
        <v>0</v>
      </c>
      <c r="K49" s="1"/>
      <c r="L49" s="1">
        <f t="shared" si="18"/>
        <v>-333</v>
      </c>
      <c r="M49" s="1"/>
      <c r="N49" s="5">
        <f t="shared" si="19"/>
        <v>-1</v>
      </c>
      <c r="O49" s="14"/>
      <c r="P49" s="1">
        <f>SUM(OSRRefP22_6x_0)</f>
        <v>166.54</v>
      </c>
      <c r="Q49" s="1"/>
      <c r="R49" s="5">
        <f t="shared" si="20"/>
        <v>0</v>
      </c>
      <c r="S49" s="1"/>
      <c r="T49" s="1">
        <f>SUM(OSRRefT22_6x_0)</f>
        <v>1332</v>
      </c>
      <c r="U49" s="1"/>
      <c r="V49" s="5">
        <f t="shared" si="21"/>
        <v>0</v>
      </c>
      <c r="W49" s="1"/>
      <c r="X49" s="1">
        <f t="shared" si="22"/>
        <v>-1165.46</v>
      </c>
      <c r="Y49" s="1"/>
      <c r="Z49" s="5">
        <f t="shared" si="23"/>
        <v>-0.87496996996997001</v>
      </c>
    </row>
    <row r="50" spans="1:26" s="24" customFormat="1" hidden="1" outlineLevel="2" x14ac:dyDescent="0.25">
      <c r="A50" s="28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16"/>
        <v>0</v>
      </c>
      <c r="G50" s="2"/>
      <c r="H50" s="7">
        <v>333</v>
      </c>
      <c r="I50" s="2"/>
      <c r="J50" s="6">
        <f t="shared" si="17"/>
        <v>0</v>
      </c>
      <c r="K50" s="2"/>
      <c r="L50" s="7">
        <f t="shared" si="18"/>
        <v>-333</v>
      </c>
      <c r="M50" s="2"/>
      <c r="N50" s="6">
        <f t="shared" si="19"/>
        <v>-1</v>
      </c>
      <c r="O50" s="11"/>
      <c r="P50" s="7">
        <v>166.54</v>
      </c>
      <c r="Q50" s="2"/>
      <c r="R50" s="6">
        <f t="shared" si="20"/>
        <v>0</v>
      </c>
      <c r="S50" s="2"/>
      <c r="T50" s="7">
        <v>1332</v>
      </c>
      <c r="U50" s="2"/>
      <c r="V50" s="6">
        <f t="shared" si="21"/>
        <v>0</v>
      </c>
      <c r="W50" s="2"/>
      <c r="X50" s="7">
        <f t="shared" si="22"/>
        <v>-1165.46</v>
      </c>
      <c r="Y50" s="2"/>
      <c r="Z50" s="6">
        <f t="shared" si="23"/>
        <v>-0.87496996996997001</v>
      </c>
    </row>
    <row r="51" spans="1:26" s="27" customFormat="1" outlineLevel="1" collapsed="1" x14ac:dyDescent="0.25">
      <c r="A51" s="29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65.47</v>
      </c>
      <c r="E51" s="1"/>
      <c r="F51" s="5">
        <f t="shared" si="16"/>
        <v>0</v>
      </c>
      <c r="G51" s="1"/>
      <c r="H51" s="1">
        <f>SUM(OSRRefH22_7x_0)</f>
        <v>73</v>
      </c>
      <c r="I51" s="1"/>
      <c r="J51" s="5">
        <f t="shared" si="17"/>
        <v>0</v>
      </c>
      <c r="K51" s="1"/>
      <c r="L51" s="1">
        <f t="shared" si="18"/>
        <v>-7.5300000000000011</v>
      </c>
      <c r="M51" s="1"/>
      <c r="N51" s="5">
        <f t="shared" si="19"/>
        <v>-0.10315068493150686</v>
      </c>
      <c r="O51" s="14"/>
      <c r="P51" s="1">
        <f>SUM(OSRRefP22_7x_0)</f>
        <v>261.88</v>
      </c>
      <c r="Q51" s="1"/>
      <c r="R51" s="5">
        <f t="shared" si="20"/>
        <v>0</v>
      </c>
      <c r="S51" s="1"/>
      <c r="T51" s="1">
        <f>SUM(OSRRefT22_7x_0)</f>
        <v>1072</v>
      </c>
      <c r="U51" s="1"/>
      <c r="V51" s="5">
        <f t="shared" si="21"/>
        <v>0</v>
      </c>
      <c r="W51" s="1"/>
      <c r="X51" s="1">
        <f t="shared" si="22"/>
        <v>-810.12</v>
      </c>
      <c r="Y51" s="1"/>
      <c r="Z51" s="5">
        <f t="shared" si="23"/>
        <v>-0.7557089552238806</v>
      </c>
    </row>
    <row r="52" spans="1:26" s="24" customFormat="1" hidden="1" outlineLevel="2" x14ac:dyDescent="0.25">
      <c r="A52" s="28"/>
      <c r="B52" s="11" t="str">
        <f>CONCATENATE("          ", "6312", " - ", "FIRE &amp; THEFT INSURANCE")</f>
        <v xml:space="preserve">          6312 - FIRE &amp; THEFT INSURANCE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/>
      <c r="Q52" s="2"/>
      <c r="R52" s="6">
        <f t="shared" si="20"/>
        <v>0</v>
      </c>
      <c r="S52" s="2"/>
      <c r="T52" s="7">
        <v>780</v>
      </c>
      <c r="U52" s="2"/>
      <c r="V52" s="6">
        <f t="shared" si="21"/>
        <v>0</v>
      </c>
      <c r="W52" s="2"/>
      <c r="X52" s="7">
        <f t="shared" si="22"/>
        <v>-780</v>
      </c>
      <c r="Y52" s="2"/>
      <c r="Z52" s="6">
        <f t="shared" si="23"/>
        <v>-1</v>
      </c>
    </row>
    <row r="53" spans="1:26" s="24" customFormat="1" hidden="1" outlineLevel="2" x14ac:dyDescent="0.25">
      <c r="A53" s="28"/>
      <c r="B53" s="11" t="str">
        <f>CONCATENATE("          ", "6314", " - ", "LIABILITY INSURANCE")</f>
        <v xml:space="preserve">          6314 - LIABILITY INSURANCE</v>
      </c>
      <c r="C53" s="11"/>
      <c r="D53" s="7">
        <v>65.47</v>
      </c>
      <c r="E53" s="2"/>
      <c r="F53" s="6">
        <f t="shared" si="16"/>
        <v>0</v>
      </c>
      <c r="G53" s="2"/>
      <c r="H53" s="7">
        <v>73</v>
      </c>
      <c r="I53" s="2"/>
      <c r="J53" s="6">
        <f t="shared" si="17"/>
        <v>0</v>
      </c>
      <c r="K53" s="2"/>
      <c r="L53" s="7">
        <f t="shared" si="18"/>
        <v>-7.5300000000000011</v>
      </c>
      <c r="M53" s="2"/>
      <c r="N53" s="6">
        <f t="shared" si="19"/>
        <v>-0.10315068493150686</v>
      </c>
      <c r="O53" s="11"/>
      <c r="P53" s="7">
        <v>261.88</v>
      </c>
      <c r="Q53" s="2"/>
      <c r="R53" s="6">
        <f t="shared" si="20"/>
        <v>0</v>
      </c>
      <c r="S53" s="2"/>
      <c r="T53" s="7">
        <v>292</v>
      </c>
      <c r="U53" s="2"/>
      <c r="V53" s="6">
        <f t="shared" si="21"/>
        <v>0</v>
      </c>
      <c r="W53" s="2"/>
      <c r="X53" s="7">
        <f t="shared" si="22"/>
        <v>-30.120000000000005</v>
      </c>
      <c r="Y53" s="2"/>
      <c r="Z53" s="6">
        <f t="shared" si="23"/>
        <v>-0.10315068493150686</v>
      </c>
    </row>
    <row r="54" spans="1:26" s="27" customFormat="1" outlineLevel="1" collapsed="1" x14ac:dyDescent="0.25">
      <c r="A54" s="29"/>
      <c r="B54" s="14" t="str">
        <f>CONCATENATE("     ","Professional Services                             ")</f>
        <v xml:space="preserve">     Professional Services                             </v>
      </c>
      <c r="C54" s="14"/>
      <c r="D54" s="1">
        <f>SUM(OSRRefD22_8x_0)</f>
        <v>2089.9499999999998</v>
      </c>
      <c r="E54" s="1"/>
      <c r="F54" s="5">
        <f t="shared" ref="F54:F57" si="24">IF(D$12=0,0,D54/D$12)</f>
        <v>0</v>
      </c>
      <c r="G54" s="1"/>
      <c r="H54" s="1">
        <f>SUM(OSRRefH22_8x_0)</f>
        <v>2083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6.9499999999998181</v>
      </c>
      <c r="M54" s="1"/>
      <c r="N54" s="5">
        <f t="shared" ref="N54:N57" si="27">IF(H54=0,0,L54/H54)</f>
        <v>3.3365338454151793E-3</v>
      </c>
      <c r="O54" s="14"/>
      <c r="P54" s="1">
        <f>SUM(OSRRefP22_8x_0)</f>
        <v>4671.21</v>
      </c>
      <c r="Q54" s="1"/>
      <c r="R54" s="5">
        <f t="shared" ref="R54:R57" si="28">IF(P$12=0,0,P54/P$12)</f>
        <v>0</v>
      </c>
      <c r="S54" s="1"/>
      <c r="T54" s="1">
        <f>SUM(OSRRefT22_8x_0)</f>
        <v>8332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-3660.79</v>
      </c>
      <c r="Y54" s="1"/>
      <c r="Z54" s="5">
        <f t="shared" ref="Z54:Z57" si="31">IF(T54=0,0,X54/T54)</f>
        <v>-0.4393650984157465</v>
      </c>
    </row>
    <row r="55" spans="1:26" s="24" customFormat="1" hidden="1" outlineLevel="2" x14ac:dyDescent="0.25">
      <c r="A55" s="28"/>
      <c r="B55" s="11" t="str">
        <f>CONCATENATE("          ", "6332", " - ", "CONSULTANT FEES")</f>
        <v xml:space="preserve">          6332 - CONSULTANT FEES</v>
      </c>
      <c r="C55" s="11"/>
      <c r="D55" s="7"/>
      <c r="E55" s="2"/>
      <c r="F55" s="6">
        <f t="shared" si="24"/>
        <v>0</v>
      </c>
      <c r="G55" s="2"/>
      <c r="H55" s="7">
        <v>0</v>
      </c>
      <c r="I55" s="2"/>
      <c r="J55" s="6">
        <f t="shared" si="25"/>
        <v>0</v>
      </c>
      <c r="K55" s="2"/>
      <c r="L55" s="7">
        <f t="shared" si="26"/>
        <v>0</v>
      </c>
      <c r="M55" s="2"/>
      <c r="N55" s="6">
        <f t="shared" si="27"/>
        <v>0</v>
      </c>
      <c r="O55" s="11"/>
      <c r="P55" s="7"/>
      <c r="Q55" s="2"/>
      <c r="R55" s="6">
        <f t="shared" si="28"/>
        <v>0</v>
      </c>
      <c r="S55" s="2"/>
      <c r="T55" s="7">
        <v>0</v>
      </c>
      <c r="U55" s="2"/>
      <c r="V55" s="6">
        <f t="shared" si="29"/>
        <v>0</v>
      </c>
      <c r="W55" s="2"/>
      <c r="X55" s="7">
        <f t="shared" si="30"/>
        <v>0</v>
      </c>
      <c r="Y55" s="2"/>
      <c r="Z55" s="6">
        <f t="shared" si="31"/>
        <v>0</v>
      </c>
    </row>
    <row r="56" spans="1:26" s="24" customFormat="1" hidden="1" outlineLevel="2" x14ac:dyDescent="0.25">
      <c r="A56" s="28"/>
      <c r="B56" s="11" t="str">
        <f>CONCATENATE("          ", "6334", " - ", "LEGAL COUNCIL EXPENSE")</f>
        <v xml:space="preserve">          6334 - LEGAL COUNCIL EXPENSE</v>
      </c>
      <c r="C56" s="11"/>
      <c r="D56" s="7">
        <v>385</v>
      </c>
      <c r="E56" s="2"/>
      <c r="F56" s="6">
        <f t="shared" si="24"/>
        <v>0</v>
      </c>
      <c r="G56" s="2"/>
      <c r="H56" s="7">
        <v>833</v>
      </c>
      <c r="I56" s="2"/>
      <c r="J56" s="6">
        <f t="shared" si="25"/>
        <v>0</v>
      </c>
      <c r="K56" s="2"/>
      <c r="L56" s="7">
        <f t="shared" si="26"/>
        <v>-448</v>
      </c>
      <c r="M56" s="2"/>
      <c r="N56" s="6">
        <f t="shared" si="27"/>
        <v>-0.53781512605042014</v>
      </c>
      <c r="O56" s="11"/>
      <c r="P56" s="7">
        <v>385</v>
      </c>
      <c r="Q56" s="2"/>
      <c r="R56" s="6">
        <f t="shared" si="28"/>
        <v>0</v>
      </c>
      <c r="S56" s="2"/>
      <c r="T56" s="7">
        <v>3332</v>
      </c>
      <c r="U56" s="2"/>
      <c r="V56" s="6">
        <f t="shared" si="29"/>
        <v>0</v>
      </c>
      <c r="W56" s="2"/>
      <c r="X56" s="7">
        <f t="shared" si="30"/>
        <v>-2947</v>
      </c>
      <c r="Y56" s="2"/>
      <c r="Z56" s="6">
        <f t="shared" si="31"/>
        <v>-0.88445378151260501</v>
      </c>
    </row>
    <row r="57" spans="1:26" s="24" customFormat="1" hidden="1" outlineLevel="2" x14ac:dyDescent="0.25">
      <c r="A57" s="28"/>
      <c r="B57" s="11" t="str">
        <f>CONCATENATE("          ", "6336", " - ", "PROFESSIONAL SERVICES")</f>
        <v xml:space="preserve">          6336 - PROFESSIONAL SERVICES</v>
      </c>
      <c r="C57" s="11"/>
      <c r="D57" s="7">
        <v>1704.95</v>
      </c>
      <c r="E57" s="2"/>
      <c r="F57" s="6">
        <f t="shared" si="24"/>
        <v>0</v>
      </c>
      <c r="G57" s="2"/>
      <c r="H57" s="7">
        <v>1250</v>
      </c>
      <c r="I57" s="2"/>
      <c r="J57" s="6">
        <f t="shared" si="25"/>
        <v>0</v>
      </c>
      <c r="K57" s="2"/>
      <c r="L57" s="7">
        <f t="shared" si="26"/>
        <v>454.95000000000005</v>
      </c>
      <c r="M57" s="2"/>
      <c r="N57" s="6">
        <f t="shared" si="27"/>
        <v>0.36396000000000006</v>
      </c>
      <c r="O57" s="11"/>
      <c r="P57" s="7">
        <v>4286.21</v>
      </c>
      <c r="Q57" s="2"/>
      <c r="R57" s="6">
        <f t="shared" si="28"/>
        <v>0</v>
      </c>
      <c r="S57" s="2"/>
      <c r="T57" s="7">
        <v>5000</v>
      </c>
      <c r="U57" s="2"/>
      <c r="V57" s="6">
        <f t="shared" si="29"/>
        <v>0</v>
      </c>
      <c r="W57" s="2"/>
      <c r="X57" s="7">
        <f t="shared" si="30"/>
        <v>-713.79</v>
      </c>
      <c r="Y57" s="2"/>
      <c r="Z57" s="6">
        <f t="shared" si="31"/>
        <v>-0.142758</v>
      </c>
    </row>
    <row r="58" spans="1:26" s="27" customFormat="1" outlineLevel="1" collapsed="1" x14ac:dyDescent="0.25">
      <c r="A58" s="29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SUM(OSRRefD22_9x_0)</f>
        <v>4183.1499999999996</v>
      </c>
      <c r="E58" s="1"/>
      <c r="F58" s="5">
        <f t="shared" ref="F58:F65" si="32">IF(D$12=0,0,D58/D$12)</f>
        <v>0</v>
      </c>
      <c r="G58" s="1"/>
      <c r="H58" s="1">
        <f>SUM(OSRRefH22_9x_0)</f>
        <v>7083</v>
      </c>
      <c r="I58" s="1"/>
      <c r="J58" s="5">
        <f t="shared" ref="J58:J65" si="33">IF(H$12=0,0,H58/H$12)</f>
        <v>0</v>
      </c>
      <c r="K58" s="1"/>
      <c r="L58" s="1">
        <f t="shared" ref="L58:L65" si="34">+D58-H58</f>
        <v>-2899.8500000000004</v>
      </c>
      <c r="M58" s="1"/>
      <c r="N58" s="5">
        <f t="shared" ref="N58:N65" si="35">IF(H58=0,0,L58/H58)</f>
        <v>-0.40940985458139212</v>
      </c>
      <c r="O58" s="14"/>
      <c r="P58" s="1">
        <f>SUM(OSRRefP22_9x_0)</f>
        <v>15938.06</v>
      </c>
      <c r="Q58" s="1"/>
      <c r="R58" s="5">
        <f t="shared" ref="R58:R65" si="36">IF(P$12=0,0,P58/P$12)</f>
        <v>0</v>
      </c>
      <c r="S58" s="1"/>
      <c r="T58" s="1">
        <f>SUM(OSRRefT22_9x_0)</f>
        <v>28332</v>
      </c>
      <c r="U58" s="1"/>
      <c r="V58" s="5">
        <f t="shared" ref="V58:V65" si="37">IF(T$12=0,0,T58/T$12)</f>
        <v>0</v>
      </c>
      <c r="W58" s="1"/>
      <c r="X58" s="1">
        <f t="shared" ref="X58:X65" si="38">+P58-T58</f>
        <v>-12393.94</v>
      </c>
      <c r="Y58" s="1"/>
      <c r="Z58" s="5">
        <f t="shared" ref="Z58:Z65" si="39">IF(T58=0,0,X58/T58)</f>
        <v>-0.43745376253000146</v>
      </c>
    </row>
    <row r="59" spans="1:26" s="24" customFormat="1" hidden="1" outlineLevel="2" x14ac:dyDescent="0.25">
      <c r="A59" s="28"/>
      <c r="B59" s="11" t="str">
        <f>CONCATENATE("          ", "6371", " - ", "COMPUTER SOFTWARE MAINTENANCE")</f>
        <v xml:space="preserve">          6371 - COMPUTER SOFTWARE MAINTENANCE</v>
      </c>
      <c r="C59" s="11"/>
      <c r="D59" s="7">
        <v>4183.1499999999996</v>
      </c>
      <c r="E59" s="2"/>
      <c r="F59" s="6">
        <f t="shared" si="32"/>
        <v>0</v>
      </c>
      <c r="G59" s="2"/>
      <c r="H59" s="7">
        <v>7083</v>
      </c>
      <c r="I59" s="2"/>
      <c r="J59" s="6">
        <f t="shared" si="33"/>
        <v>0</v>
      </c>
      <c r="K59" s="2"/>
      <c r="L59" s="7">
        <f t="shared" si="34"/>
        <v>-2899.8500000000004</v>
      </c>
      <c r="M59" s="2"/>
      <c r="N59" s="6">
        <f t="shared" si="35"/>
        <v>-0.40940985458139212</v>
      </c>
      <c r="O59" s="11"/>
      <c r="P59" s="7">
        <v>15938.06</v>
      </c>
      <c r="Q59" s="2"/>
      <c r="R59" s="6">
        <f t="shared" si="36"/>
        <v>0</v>
      </c>
      <c r="S59" s="2"/>
      <c r="T59" s="7">
        <v>28332</v>
      </c>
      <c r="U59" s="2"/>
      <c r="V59" s="6">
        <f t="shared" si="37"/>
        <v>0</v>
      </c>
      <c r="W59" s="2"/>
      <c r="X59" s="7">
        <f t="shared" si="38"/>
        <v>-12393.94</v>
      </c>
      <c r="Y59" s="2"/>
      <c r="Z59" s="6">
        <f t="shared" si="39"/>
        <v>-0.43745376253000146</v>
      </c>
    </row>
    <row r="60" spans="1:26" s="27" customFormat="1" outlineLevel="1" collapsed="1" x14ac:dyDescent="0.25">
      <c r="A60" s="29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534.99</v>
      </c>
      <c r="E60" s="1"/>
      <c r="F60" s="5">
        <f t="shared" si="32"/>
        <v>0</v>
      </c>
      <c r="G60" s="1"/>
      <c r="H60" s="1">
        <f>SUM(OSRRefH22_10x_0)</f>
        <v>55</v>
      </c>
      <c r="I60" s="1"/>
      <c r="J60" s="5">
        <f t="shared" si="33"/>
        <v>0</v>
      </c>
      <c r="K60" s="1"/>
      <c r="L60" s="1">
        <f t="shared" si="34"/>
        <v>479.99</v>
      </c>
      <c r="M60" s="1"/>
      <c r="N60" s="5">
        <f t="shared" si="35"/>
        <v>8.7270909090909097</v>
      </c>
      <c r="O60" s="14"/>
      <c r="P60" s="1">
        <f>SUM(OSRRefP22_10x_0)</f>
        <v>534.99</v>
      </c>
      <c r="Q60" s="1"/>
      <c r="R60" s="5">
        <f t="shared" si="36"/>
        <v>0</v>
      </c>
      <c r="S60" s="1"/>
      <c r="T60" s="1">
        <f>SUM(OSRRefT22_10x_0)</f>
        <v>220</v>
      </c>
      <c r="U60" s="1"/>
      <c r="V60" s="5">
        <f t="shared" si="37"/>
        <v>0</v>
      </c>
      <c r="W60" s="1"/>
      <c r="X60" s="1">
        <f t="shared" si="38"/>
        <v>314.99</v>
      </c>
      <c r="Y60" s="1"/>
      <c r="Z60" s="5">
        <f t="shared" si="39"/>
        <v>1.4317727272727274</v>
      </c>
    </row>
    <row r="61" spans="1:26" s="24" customFormat="1" hidden="1" outlineLevel="2" x14ac:dyDescent="0.25">
      <c r="A61" s="28"/>
      <c r="B61" s="11" t="str">
        <f>CONCATENATE("          ", "6258", " - ", "MEMBERSHIP DUES")</f>
        <v xml:space="preserve">          6258 - MEMBERSHIP DUES</v>
      </c>
      <c r="C61" s="11"/>
      <c r="D61" s="7">
        <v>534.99</v>
      </c>
      <c r="E61" s="2"/>
      <c r="F61" s="6">
        <f t="shared" si="32"/>
        <v>0</v>
      </c>
      <c r="G61" s="2"/>
      <c r="H61" s="7">
        <v>55</v>
      </c>
      <c r="I61" s="2"/>
      <c r="J61" s="6">
        <f t="shared" si="33"/>
        <v>0</v>
      </c>
      <c r="K61" s="2"/>
      <c r="L61" s="7">
        <f t="shared" si="34"/>
        <v>479.99</v>
      </c>
      <c r="M61" s="2"/>
      <c r="N61" s="6">
        <f t="shared" si="35"/>
        <v>8.7270909090909097</v>
      </c>
      <c r="O61" s="11"/>
      <c r="P61" s="7">
        <v>534.99</v>
      </c>
      <c r="Q61" s="2"/>
      <c r="R61" s="6">
        <f t="shared" si="36"/>
        <v>0</v>
      </c>
      <c r="S61" s="2"/>
      <c r="T61" s="7">
        <v>220</v>
      </c>
      <c r="U61" s="2"/>
      <c r="V61" s="6">
        <f t="shared" si="37"/>
        <v>0</v>
      </c>
      <c r="W61" s="2"/>
      <c r="X61" s="7">
        <f t="shared" si="38"/>
        <v>314.99</v>
      </c>
      <c r="Y61" s="2"/>
      <c r="Z61" s="6">
        <f t="shared" si="39"/>
        <v>1.4317727272727274</v>
      </c>
    </row>
    <row r="62" spans="1:26" s="27" customFormat="1" outlineLevel="1" collapsed="1" x14ac:dyDescent="0.25">
      <c r="A62" s="29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233.07</v>
      </c>
      <c r="E62" s="1"/>
      <c r="F62" s="5">
        <f t="shared" si="32"/>
        <v>0</v>
      </c>
      <c r="G62" s="1"/>
      <c r="H62" s="1">
        <f>SUM(OSRRefH22_11x_0)</f>
        <v>2084</v>
      </c>
      <c r="I62" s="1"/>
      <c r="J62" s="5">
        <f t="shared" si="33"/>
        <v>0</v>
      </c>
      <c r="K62" s="1"/>
      <c r="L62" s="1">
        <f t="shared" si="34"/>
        <v>-1850.93</v>
      </c>
      <c r="M62" s="1"/>
      <c r="N62" s="5">
        <f t="shared" si="35"/>
        <v>-0.88816218809980807</v>
      </c>
      <c r="O62" s="14"/>
      <c r="P62" s="1">
        <f>SUM(OSRRefP22_11x_0)</f>
        <v>1340.28</v>
      </c>
      <c r="Q62" s="1"/>
      <c r="R62" s="5">
        <f t="shared" si="36"/>
        <v>0</v>
      </c>
      <c r="S62" s="1"/>
      <c r="T62" s="1">
        <f>SUM(OSRRefT22_11x_0)</f>
        <v>8336</v>
      </c>
      <c r="U62" s="1"/>
      <c r="V62" s="5">
        <f t="shared" si="37"/>
        <v>0</v>
      </c>
      <c r="W62" s="1"/>
      <c r="X62" s="1">
        <f t="shared" si="38"/>
        <v>-6995.72</v>
      </c>
      <c r="Y62" s="1"/>
      <c r="Z62" s="5">
        <f t="shared" si="39"/>
        <v>-0.83921785028790785</v>
      </c>
    </row>
    <row r="63" spans="1:26" s="24" customFormat="1" hidden="1" outlineLevel="2" x14ac:dyDescent="0.25">
      <c r="A63" s="28"/>
      <c r="B63" s="11" t="str">
        <f>CONCATENATE("          ", "6235", " - ", "COVID-19 EXPENSES")</f>
        <v xml:space="preserve">          6235 - COVID-19 EXPENSES</v>
      </c>
      <c r="C63" s="11"/>
      <c r="D63" s="7"/>
      <c r="E63" s="2"/>
      <c r="F63" s="6">
        <f t="shared" si="32"/>
        <v>0</v>
      </c>
      <c r="G63" s="2"/>
      <c r="H63" s="7">
        <v>417</v>
      </c>
      <c r="I63" s="2"/>
      <c r="J63" s="6">
        <f t="shared" si="33"/>
        <v>0</v>
      </c>
      <c r="K63" s="2"/>
      <c r="L63" s="7">
        <f t="shared" si="34"/>
        <v>-417</v>
      </c>
      <c r="M63" s="2"/>
      <c r="N63" s="6">
        <f t="shared" si="35"/>
        <v>-1</v>
      </c>
      <c r="O63" s="11"/>
      <c r="P63" s="7">
        <v>210.58</v>
      </c>
      <c r="Q63" s="2"/>
      <c r="R63" s="6">
        <f t="shared" si="36"/>
        <v>0</v>
      </c>
      <c r="S63" s="2"/>
      <c r="T63" s="7">
        <v>1668</v>
      </c>
      <c r="U63" s="2"/>
      <c r="V63" s="6">
        <f t="shared" si="37"/>
        <v>0</v>
      </c>
      <c r="W63" s="2"/>
      <c r="X63" s="7">
        <f t="shared" si="38"/>
        <v>-1457.42</v>
      </c>
      <c r="Y63" s="2"/>
      <c r="Z63" s="6">
        <f t="shared" si="39"/>
        <v>-0.87375299760191849</v>
      </c>
    </row>
    <row r="64" spans="1:26" s="24" customFormat="1" hidden="1" outlineLevel="2" x14ac:dyDescent="0.25">
      <c r="A64" s="28"/>
      <c r="B64" s="11" t="str">
        <f>CONCATENATE("          ", "6241", " - ", "OFFICE EXPENSE")</f>
        <v xml:space="preserve">          6241 - OFFICE EXPENSE</v>
      </c>
      <c r="C64" s="11"/>
      <c r="D64" s="7">
        <v>208.07</v>
      </c>
      <c r="E64" s="2"/>
      <c r="F64" s="6">
        <f t="shared" si="32"/>
        <v>0</v>
      </c>
      <c r="G64" s="2"/>
      <c r="H64" s="7">
        <v>1250</v>
      </c>
      <c r="I64" s="2"/>
      <c r="J64" s="6">
        <f t="shared" si="33"/>
        <v>0</v>
      </c>
      <c r="K64" s="2"/>
      <c r="L64" s="7">
        <f t="shared" si="34"/>
        <v>-1041.93</v>
      </c>
      <c r="M64" s="2"/>
      <c r="N64" s="6">
        <f t="shared" si="35"/>
        <v>-0.83354400000000006</v>
      </c>
      <c r="O64" s="11"/>
      <c r="P64" s="7">
        <v>906.99</v>
      </c>
      <c r="Q64" s="2"/>
      <c r="R64" s="6">
        <f t="shared" si="36"/>
        <v>0</v>
      </c>
      <c r="S64" s="2"/>
      <c r="T64" s="7">
        <v>5000</v>
      </c>
      <c r="U64" s="2"/>
      <c r="V64" s="6">
        <f t="shared" si="37"/>
        <v>0</v>
      </c>
      <c r="W64" s="2"/>
      <c r="X64" s="7">
        <f t="shared" si="38"/>
        <v>-4093.01</v>
      </c>
      <c r="Y64" s="2"/>
      <c r="Z64" s="6">
        <f t="shared" si="39"/>
        <v>-0.81860200000000005</v>
      </c>
    </row>
    <row r="65" spans="1:26" s="24" customFormat="1" hidden="1" outlineLevel="2" x14ac:dyDescent="0.25">
      <c r="A65" s="28"/>
      <c r="B65" s="11" t="str">
        <f>CONCATENATE("          ", "6244", " - ", "SAFETY SUPPLY EXPENSE")</f>
        <v xml:space="preserve">          6244 - SAFETY SUPPLY EXPENSE</v>
      </c>
      <c r="C65" s="11"/>
      <c r="D65" s="7">
        <v>25</v>
      </c>
      <c r="E65" s="2"/>
      <c r="F65" s="6">
        <f t="shared" si="32"/>
        <v>0</v>
      </c>
      <c r="G65" s="2"/>
      <c r="H65" s="7">
        <v>417</v>
      </c>
      <c r="I65" s="2"/>
      <c r="J65" s="6">
        <f t="shared" si="33"/>
        <v>0</v>
      </c>
      <c r="K65" s="2"/>
      <c r="L65" s="7">
        <f t="shared" si="34"/>
        <v>-392</v>
      </c>
      <c r="M65" s="2"/>
      <c r="N65" s="6">
        <f t="shared" si="35"/>
        <v>-0.94004796163069548</v>
      </c>
      <c r="O65" s="11"/>
      <c r="P65" s="7">
        <v>222.71</v>
      </c>
      <c r="Q65" s="2"/>
      <c r="R65" s="6">
        <f t="shared" si="36"/>
        <v>0</v>
      </c>
      <c r="S65" s="2"/>
      <c r="T65" s="7">
        <v>1668</v>
      </c>
      <c r="U65" s="2"/>
      <c r="V65" s="6">
        <f t="shared" si="37"/>
        <v>0</v>
      </c>
      <c r="W65" s="2"/>
      <c r="X65" s="7">
        <f t="shared" si="38"/>
        <v>-1445.29</v>
      </c>
      <c r="Y65" s="2"/>
      <c r="Z65" s="6">
        <f t="shared" si="39"/>
        <v>-0.86648081534772181</v>
      </c>
    </row>
    <row r="66" spans="1:26" s="27" customFormat="1" outlineLevel="1" collapsed="1" x14ac:dyDescent="0.25">
      <c r="A66" s="29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SUM(OSRRefD22_12x_0)</f>
        <v>320.95</v>
      </c>
      <c r="E66" s="1"/>
      <c r="F66" s="5">
        <f t="shared" ref="F66:F69" si="40">IF(D$12=0,0,D66/D$12)</f>
        <v>0</v>
      </c>
      <c r="G66" s="1"/>
      <c r="H66" s="1">
        <f>SUM(OSRRefH22_12x_0)</f>
        <v>290</v>
      </c>
      <c r="I66" s="1"/>
      <c r="J66" s="5">
        <f t="shared" ref="J66:J69" si="41">IF(H$12=0,0,H66/H$12)</f>
        <v>0</v>
      </c>
      <c r="K66" s="1"/>
      <c r="L66" s="1">
        <f t="shared" ref="L66:L69" si="42">+D66-H66</f>
        <v>30.949999999999989</v>
      </c>
      <c r="M66" s="1"/>
      <c r="N66" s="5">
        <f t="shared" ref="N66:N69" si="43">IF(H66=0,0,L66/H66)</f>
        <v>0.10672413793103444</v>
      </c>
      <c r="O66" s="14"/>
      <c r="P66" s="1">
        <f>SUM(OSRRefP22_12x_0)</f>
        <v>1324.35</v>
      </c>
      <c r="Q66" s="1"/>
      <c r="R66" s="5">
        <f t="shared" ref="R66:R69" si="44">IF(P$12=0,0,P66/P$12)</f>
        <v>0</v>
      </c>
      <c r="S66" s="1"/>
      <c r="T66" s="1">
        <f>SUM(OSRRefT22_12x_0)</f>
        <v>1160</v>
      </c>
      <c r="U66" s="1"/>
      <c r="V66" s="5">
        <f t="shared" ref="V66:V69" si="45">IF(T$12=0,0,T66/T$12)</f>
        <v>0</v>
      </c>
      <c r="W66" s="1"/>
      <c r="X66" s="1">
        <f t="shared" ref="X66:X69" si="46">+P66-T66</f>
        <v>164.34999999999991</v>
      </c>
      <c r="Y66" s="1"/>
      <c r="Z66" s="5">
        <f t="shared" ref="Z66:Z69" si="47">IF(T66=0,0,X66/T66)</f>
        <v>0.14168103448275854</v>
      </c>
    </row>
    <row r="67" spans="1:26" s="24" customFormat="1" hidden="1" outlineLevel="2" x14ac:dyDescent="0.25">
      <c r="A67" s="28"/>
      <c r="B67" s="11" t="str">
        <f>CONCATENATE("          ", "6309", " - ", "TELEPHONE")</f>
        <v xml:space="preserve">          6309 - TELEPHONE</v>
      </c>
      <c r="C67" s="11"/>
      <c r="D67" s="7">
        <v>320.95</v>
      </c>
      <c r="E67" s="2"/>
      <c r="F67" s="6">
        <f t="shared" si="40"/>
        <v>0</v>
      </c>
      <c r="G67" s="2"/>
      <c r="H67" s="7">
        <v>290</v>
      </c>
      <c r="I67" s="2"/>
      <c r="J67" s="6">
        <f t="shared" si="41"/>
        <v>0</v>
      </c>
      <c r="K67" s="2"/>
      <c r="L67" s="7">
        <f t="shared" si="42"/>
        <v>30.949999999999989</v>
      </c>
      <c r="M67" s="2"/>
      <c r="N67" s="6">
        <f t="shared" si="43"/>
        <v>0.10672413793103444</v>
      </c>
      <c r="O67" s="11"/>
      <c r="P67" s="7">
        <v>1324.35</v>
      </c>
      <c r="Q67" s="2"/>
      <c r="R67" s="6">
        <f t="shared" si="44"/>
        <v>0</v>
      </c>
      <c r="S67" s="2"/>
      <c r="T67" s="7">
        <v>1160</v>
      </c>
      <c r="U67" s="2"/>
      <c r="V67" s="6">
        <f t="shared" si="45"/>
        <v>0</v>
      </c>
      <c r="W67" s="2"/>
      <c r="X67" s="7">
        <f t="shared" si="46"/>
        <v>164.34999999999991</v>
      </c>
      <c r="Y67" s="2"/>
      <c r="Z67" s="6">
        <f t="shared" si="47"/>
        <v>0.14168103448275854</v>
      </c>
    </row>
    <row r="68" spans="1:26" s="27" customFormat="1" outlineLevel="1" collapsed="1" x14ac:dyDescent="0.25">
      <c r="A68" s="29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SUM(OSRRefD22_13x_0)</f>
        <v>0</v>
      </c>
      <c r="E68" s="1"/>
      <c r="F68" s="5">
        <f t="shared" si="40"/>
        <v>0</v>
      </c>
      <c r="G68" s="1"/>
      <c r="H68" s="1">
        <f>SUM(OSRRefH22_13x_0)</f>
        <v>946</v>
      </c>
      <c r="I68" s="1"/>
      <c r="J68" s="5">
        <f t="shared" si="41"/>
        <v>0</v>
      </c>
      <c r="K68" s="1"/>
      <c r="L68" s="1">
        <f t="shared" si="42"/>
        <v>-946</v>
      </c>
      <c r="M68" s="1"/>
      <c r="N68" s="5">
        <f t="shared" si="43"/>
        <v>-1</v>
      </c>
      <c r="O68" s="14"/>
      <c r="P68" s="1">
        <f>SUM(OSRRefP22_13x_0)</f>
        <v>-97</v>
      </c>
      <c r="Q68" s="1"/>
      <c r="R68" s="5">
        <f t="shared" si="44"/>
        <v>0</v>
      </c>
      <c r="S68" s="1"/>
      <c r="T68" s="1">
        <f>SUM(OSRRefT22_13x_0)</f>
        <v>3784</v>
      </c>
      <c r="U68" s="1"/>
      <c r="V68" s="5">
        <f t="shared" si="45"/>
        <v>0</v>
      </c>
      <c r="W68" s="1"/>
      <c r="X68" s="1">
        <f t="shared" si="46"/>
        <v>-3881</v>
      </c>
      <c r="Y68" s="1"/>
      <c r="Z68" s="5">
        <f t="shared" si="47"/>
        <v>-1.0256342494714588</v>
      </c>
    </row>
    <row r="69" spans="1:26" s="24" customFormat="1" hidden="1" outlineLevel="2" x14ac:dyDescent="0.25">
      <c r="A69" s="28"/>
      <c r="B69" s="11" t="str">
        <f>CONCATENATE("          ", "6376", " - ", "TRAINING")</f>
        <v xml:space="preserve">          6376 - TRAINING</v>
      </c>
      <c r="C69" s="11"/>
      <c r="D69" s="7"/>
      <c r="E69" s="2"/>
      <c r="F69" s="6">
        <f t="shared" si="40"/>
        <v>0</v>
      </c>
      <c r="G69" s="2"/>
      <c r="H69" s="7">
        <v>946</v>
      </c>
      <c r="I69" s="2"/>
      <c r="J69" s="6">
        <f t="shared" si="41"/>
        <v>0</v>
      </c>
      <c r="K69" s="2"/>
      <c r="L69" s="7">
        <f t="shared" si="42"/>
        <v>-946</v>
      </c>
      <c r="M69" s="2"/>
      <c r="N69" s="6">
        <f t="shared" si="43"/>
        <v>-1</v>
      </c>
      <c r="O69" s="11"/>
      <c r="P69" s="7">
        <v>-97</v>
      </c>
      <c r="Q69" s="2"/>
      <c r="R69" s="6">
        <f t="shared" si="44"/>
        <v>0</v>
      </c>
      <c r="S69" s="2"/>
      <c r="T69" s="7">
        <v>3784</v>
      </c>
      <c r="U69" s="2"/>
      <c r="V69" s="6">
        <f t="shared" si="45"/>
        <v>0</v>
      </c>
      <c r="W69" s="2"/>
      <c r="X69" s="7">
        <f t="shared" si="46"/>
        <v>-3881</v>
      </c>
      <c r="Y69" s="2"/>
      <c r="Z69" s="6">
        <f t="shared" si="47"/>
        <v>-1.0256342494714588</v>
      </c>
    </row>
    <row r="70" spans="1:26" s="63" customFormat="1" x14ac:dyDescent="0.25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5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3</v>
      </c>
      <c r="C73" s="26"/>
      <c r="D73" s="20">
        <f>+D16-D18+D71</f>
        <v>-53720.339999999989</v>
      </c>
      <c r="E73" s="13"/>
      <c r="F73" s="19">
        <f>IF(D$12=0,0,D73/D$12)</f>
        <v>0</v>
      </c>
      <c r="G73" s="13"/>
      <c r="H73" s="20">
        <f>+H16-H18+H71</f>
        <v>-58415.15723076927</v>
      </c>
      <c r="I73" s="13"/>
      <c r="J73" s="19">
        <f>IF(H$12=0,0,H73/H$12)</f>
        <v>0</v>
      </c>
      <c r="K73" s="15"/>
      <c r="L73" s="20">
        <f>+D73-H73</f>
        <v>4694.8172307692803</v>
      </c>
      <c r="M73" s="15"/>
      <c r="N73" s="19">
        <f>IF(H73=0,0,L73/H73)</f>
        <v>-8.0369846685893351E-2</v>
      </c>
      <c r="O73" s="25"/>
      <c r="P73" s="20">
        <f>+P16-P18+P71</f>
        <v>-188699.37999999998</v>
      </c>
      <c r="Q73" s="13"/>
      <c r="R73" s="19">
        <f>IF(P$12=0,0,P73/P$12)</f>
        <v>0</v>
      </c>
      <c r="S73" s="13"/>
      <c r="T73" s="20">
        <f>+T16-T18+T71</f>
        <v>-217339.36603076931</v>
      </c>
      <c r="U73" s="13"/>
      <c r="V73" s="19">
        <f>IF(T$12=0,0,T73/T$12)</f>
        <v>0</v>
      </c>
      <c r="W73" s="15"/>
      <c r="X73" s="20">
        <f>+P73-T73</f>
        <v>28639.986030769331</v>
      </c>
      <c r="Y73" s="15"/>
      <c r="Z73" s="19">
        <f>IF(T73=0,0,X73/T73)</f>
        <v>-0.13177541903161111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4</v>
      </c>
      <c r="C77" s="26"/>
      <c r="D77" s="34">
        <f>+D73-D75</f>
        <v>-53720.339999999989</v>
      </c>
      <c r="E77" s="13"/>
      <c r="F77" s="35">
        <f>IF(D$12=0,0,D77/D$12)</f>
        <v>0</v>
      </c>
      <c r="G77" s="13"/>
      <c r="H77" s="34">
        <f>+H73-H75</f>
        <v>-58415.15723076927</v>
      </c>
      <c r="I77" s="13"/>
      <c r="J77" s="35">
        <f>IF(H$12=0,0,H77/H$12)</f>
        <v>0</v>
      </c>
      <c r="K77" s="15"/>
      <c r="L77" s="34">
        <f>D77-H77</f>
        <v>4694.8172307692803</v>
      </c>
      <c r="M77" s="15"/>
      <c r="N77" s="35">
        <f>IF(H77=0,0,L77/H77)</f>
        <v>-8.0369846685893351E-2</v>
      </c>
      <c r="O77" s="25"/>
      <c r="P77" s="34">
        <f>+P73-P75</f>
        <v>-188699.37999999998</v>
      </c>
      <c r="Q77" s="13"/>
      <c r="R77" s="35">
        <f>IF(P$12=0,0,P77/P$12)</f>
        <v>0</v>
      </c>
      <c r="S77" s="13"/>
      <c r="T77" s="34">
        <f>+T73-T75</f>
        <v>-217339.36603076931</v>
      </c>
      <c r="U77" s="13"/>
      <c r="V77" s="35">
        <f>IF(T$12=0,0,T77/T$12)</f>
        <v>0</v>
      </c>
      <c r="W77" s="15"/>
      <c r="X77" s="34">
        <f>P77-T77</f>
        <v>28639.986030769331</v>
      </c>
      <c r="Y77" s="15"/>
      <c r="Z77" s="35">
        <f>IF(T77=0,0,X77/T77)</f>
        <v>-0.13177541903161111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5</v>
      </c>
      <c r="C80" s="26"/>
      <c r="D80" s="30">
        <f>SUM(D77:D79)</f>
        <v>-53720.339999999989</v>
      </c>
      <c r="E80" s="13"/>
      <c r="F80" s="32">
        <f>IF(D$12=0,0,D80/D$12)</f>
        <v>0</v>
      </c>
      <c r="G80" s="13"/>
      <c r="H80" s="30">
        <f>SUM(H77:H79)</f>
        <v>-58415.15723076927</v>
      </c>
      <c r="I80" s="13"/>
      <c r="J80" s="32">
        <f>IF(H$12=0,0,H80/H$12)</f>
        <v>0</v>
      </c>
      <c r="K80" s="15"/>
      <c r="L80" s="30">
        <f>+D80-H80</f>
        <v>4694.8172307692803</v>
      </c>
      <c r="M80" s="15"/>
      <c r="N80" s="32">
        <f>IF(H80=0,0,L80/H80)</f>
        <v>-8.0369846685893351E-2</v>
      </c>
      <c r="O80" s="25"/>
      <c r="P80" s="30">
        <f>SUM(P77:P79)</f>
        <v>-188699.37999999998</v>
      </c>
      <c r="Q80" s="13"/>
      <c r="R80" s="32">
        <f>IF(P$12=0,0,P80/P$12)</f>
        <v>0</v>
      </c>
      <c r="S80" s="13"/>
      <c r="T80" s="30">
        <f>SUM(T77:T79)</f>
        <v>-217339.36603076931</v>
      </c>
      <c r="U80" s="13"/>
      <c r="V80" s="32">
        <f>IF(T$12=0,0,T80/T$12)</f>
        <v>0</v>
      </c>
      <c r="W80" s="15"/>
      <c r="X80" s="30">
        <f>+P80-T80</f>
        <v>28639.986030769331</v>
      </c>
      <c r="Y80" s="15"/>
      <c r="Z80" s="32">
        <f>IF(T80=0,0,X80/T80)</f>
        <v>-0.13177541903161111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0">
        <v>44151.568059571757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8" t="s">
        <v>314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3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","204", " - ", "Information Technology")</f>
        <v>Department 204 - Information Technology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60340.259999999995</v>
      </c>
      <c r="E18" s="21"/>
      <c r="F18" s="31">
        <f t="shared" ref="F18:F29" si="0">IF(D$12=0,0,D18/D$12)</f>
        <v>0</v>
      </c>
      <c r="G18" s="21"/>
      <c r="H18" s="21">
        <f>SUM(OSRRefH22x_0)</f>
        <v>58193.278538461578</v>
      </c>
      <c r="I18" s="21"/>
      <c r="J18" s="31">
        <f t="shared" ref="J18:J29" si="1">IF(H$12=0,0,H18/H$12)</f>
        <v>0</v>
      </c>
      <c r="K18" s="4"/>
      <c r="L18" s="21">
        <f t="shared" ref="L18:L29" si="2">+D18-H18</f>
        <v>2146.9814615384166</v>
      </c>
      <c r="M18" s="4"/>
      <c r="N18" s="31">
        <f t="shared" ref="N18:N29" si="3">IF(H18=0,0,L18/H18)</f>
        <v>3.6893976683568634E-2</v>
      </c>
      <c r="O18" s="10"/>
      <c r="P18" s="21">
        <f>SUM(OSRRefP22x_0)</f>
        <v>211107.58</v>
      </c>
      <c r="Q18" s="21"/>
      <c r="R18" s="31">
        <f t="shared" ref="R18:R29" si="4">IF(P$12=0,0,P18/P$12)</f>
        <v>0</v>
      </c>
      <c r="S18" s="21"/>
      <c r="T18" s="21">
        <f>SUM(OSRRefT22x_0)</f>
        <v>211650.76815384618</v>
      </c>
      <c r="U18" s="21"/>
      <c r="V18" s="31">
        <f t="shared" ref="V18:V29" si="5">IF(T$12=0,0,T18/T$12)</f>
        <v>0</v>
      </c>
      <c r="W18" s="4"/>
      <c r="X18" s="21">
        <f t="shared" ref="X18:X29" si="6">+P18-T18</f>
        <v>-543.18815384618938</v>
      </c>
      <c r="Y18" s="4"/>
      <c r="Z18" s="31">
        <f t="shared" ref="Z18:Z29" si="7">IF(T18=0,0,X18/T18)</f>
        <v>-2.5664360143089725E-3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15207.03</v>
      </c>
      <c r="E19" s="1"/>
      <c r="F19" s="5">
        <f t="shared" si="0"/>
        <v>0</v>
      </c>
      <c r="G19" s="1"/>
      <c r="H19" s="1">
        <f>SUM(OSRRefH22_0x_0)</f>
        <v>12561.43238461538</v>
      </c>
      <c r="I19" s="1"/>
      <c r="J19" s="5">
        <f t="shared" si="1"/>
        <v>0</v>
      </c>
      <c r="K19" s="1"/>
      <c r="L19" s="1">
        <f t="shared" si="2"/>
        <v>2645.5976153846204</v>
      </c>
      <c r="M19" s="1"/>
      <c r="N19" s="5">
        <f t="shared" si="3"/>
        <v>0.21061273383319065</v>
      </c>
      <c r="O19" s="14"/>
      <c r="P19" s="1">
        <f>SUM(OSRRefP22_0x_0)</f>
        <v>52428.029999999992</v>
      </c>
      <c r="Q19" s="1"/>
      <c r="R19" s="5">
        <f t="shared" si="4"/>
        <v>0</v>
      </c>
      <c r="S19" s="1"/>
      <c r="T19" s="1">
        <f>SUM(OSRRefT22_0x_0)</f>
        <v>49782.921999999977</v>
      </c>
      <c r="U19" s="1"/>
      <c r="V19" s="5">
        <f t="shared" si="5"/>
        <v>0</v>
      </c>
      <c r="W19" s="1"/>
      <c r="X19" s="1">
        <f t="shared" si="6"/>
        <v>2645.1080000000147</v>
      </c>
      <c r="Y19" s="1"/>
      <c r="Z19" s="5">
        <f t="shared" si="7"/>
        <v>5.3132839410270374E-2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3477.59</v>
      </c>
      <c r="E20" s="2"/>
      <c r="F20" s="6">
        <f t="shared" si="0"/>
        <v>0</v>
      </c>
      <c r="G20" s="2"/>
      <c r="H20" s="7">
        <v>2029.2223846153802</v>
      </c>
      <c r="I20" s="2"/>
      <c r="J20" s="6">
        <f t="shared" si="1"/>
        <v>0</v>
      </c>
      <c r="K20" s="2"/>
      <c r="L20" s="7">
        <f t="shared" si="2"/>
        <v>1448.36761538462</v>
      </c>
      <c r="M20" s="2"/>
      <c r="N20" s="6">
        <f t="shared" si="3"/>
        <v>0.7137549961825127</v>
      </c>
      <c r="O20" s="11"/>
      <c r="P20" s="7">
        <v>8332.39</v>
      </c>
      <c r="Q20" s="2"/>
      <c r="R20" s="6">
        <f t="shared" si="4"/>
        <v>0</v>
      </c>
      <c r="S20" s="2"/>
      <c r="T20" s="7">
        <v>7654.177384615381</v>
      </c>
      <c r="U20" s="2"/>
      <c r="V20" s="6">
        <f t="shared" si="5"/>
        <v>0</v>
      </c>
      <c r="W20" s="2"/>
      <c r="X20" s="7">
        <f t="shared" si="6"/>
        <v>678.2126153846184</v>
      </c>
      <c r="Y20" s="2"/>
      <c r="Z20" s="6">
        <f t="shared" si="7"/>
        <v>8.8606858883072293E-2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70.81</v>
      </c>
      <c r="E21" s="2"/>
      <c r="F21" s="6">
        <f t="shared" si="0"/>
        <v>0</v>
      </c>
      <c r="G21" s="2"/>
      <c r="H21" s="7">
        <v>87.500769230769208</v>
      </c>
      <c r="I21" s="2"/>
      <c r="J21" s="6">
        <f t="shared" si="1"/>
        <v>0</v>
      </c>
      <c r="K21" s="2"/>
      <c r="L21" s="7">
        <f t="shared" si="2"/>
        <v>-16.690769230769206</v>
      </c>
      <c r="M21" s="2"/>
      <c r="N21" s="6">
        <f t="shared" si="3"/>
        <v>-0.19074997142882236</v>
      </c>
      <c r="O21" s="11"/>
      <c r="P21" s="7">
        <v>284.72000000000003</v>
      </c>
      <c r="Q21" s="2"/>
      <c r="R21" s="6">
        <f t="shared" si="4"/>
        <v>0</v>
      </c>
      <c r="S21" s="2"/>
      <c r="T21" s="7">
        <v>330.05076923076899</v>
      </c>
      <c r="U21" s="2"/>
      <c r="V21" s="6">
        <f t="shared" si="5"/>
        <v>0</v>
      </c>
      <c r="W21" s="2"/>
      <c r="X21" s="7">
        <f t="shared" si="6"/>
        <v>-45.330769230768965</v>
      </c>
      <c r="Y21" s="2"/>
      <c r="Z21" s="6">
        <f t="shared" si="7"/>
        <v>-0.13734483739098344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5567.87</v>
      </c>
      <c r="E22" s="2"/>
      <c r="F22" s="6">
        <f t="shared" si="0"/>
        <v>0</v>
      </c>
      <c r="G22" s="2"/>
      <c r="H22" s="7">
        <v>4922.3076923076906</v>
      </c>
      <c r="I22" s="2"/>
      <c r="J22" s="6">
        <f t="shared" si="1"/>
        <v>0</v>
      </c>
      <c r="K22" s="2"/>
      <c r="L22" s="7">
        <f t="shared" si="2"/>
        <v>645.56230769230933</v>
      </c>
      <c r="M22" s="2"/>
      <c r="N22" s="6">
        <f t="shared" si="3"/>
        <v>0.13115033598999881</v>
      </c>
      <c r="O22" s="11"/>
      <c r="P22" s="7">
        <v>22271.48</v>
      </c>
      <c r="Q22" s="2"/>
      <c r="R22" s="6">
        <f t="shared" si="4"/>
        <v>0</v>
      </c>
      <c r="S22" s="2"/>
      <c r="T22" s="7">
        <v>21590.192307692309</v>
      </c>
      <c r="U22" s="2"/>
      <c r="V22" s="6">
        <f t="shared" si="5"/>
        <v>0</v>
      </c>
      <c r="W22" s="2"/>
      <c r="X22" s="7">
        <f t="shared" si="6"/>
        <v>681.28769230769103</v>
      </c>
      <c r="Y22" s="2"/>
      <c r="Z22" s="6">
        <f t="shared" si="7"/>
        <v>3.1555424916940501E-2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55.79</v>
      </c>
      <c r="E23" s="2"/>
      <c r="F23" s="6">
        <f t="shared" si="0"/>
        <v>0</v>
      </c>
      <c r="G23" s="2"/>
      <c r="H23" s="7">
        <v>68.94</v>
      </c>
      <c r="I23" s="2"/>
      <c r="J23" s="6">
        <f t="shared" si="1"/>
        <v>0</v>
      </c>
      <c r="K23" s="2"/>
      <c r="L23" s="7">
        <f t="shared" si="2"/>
        <v>-13.149999999999999</v>
      </c>
      <c r="M23" s="2"/>
      <c r="N23" s="6">
        <f t="shared" si="3"/>
        <v>-0.19074557586306931</v>
      </c>
      <c r="O23" s="11"/>
      <c r="P23" s="7">
        <v>224.32</v>
      </c>
      <c r="Q23" s="2"/>
      <c r="R23" s="6">
        <f t="shared" si="4"/>
        <v>0</v>
      </c>
      <c r="S23" s="2"/>
      <c r="T23" s="7">
        <v>260.04000000000002</v>
      </c>
      <c r="U23" s="2"/>
      <c r="V23" s="6">
        <f t="shared" si="5"/>
        <v>0</v>
      </c>
      <c r="W23" s="2"/>
      <c r="X23" s="7">
        <f t="shared" si="6"/>
        <v>-35.720000000000027</v>
      </c>
      <c r="Y23" s="2"/>
      <c r="Z23" s="6">
        <f t="shared" si="7"/>
        <v>-0.13736348254114761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1861.21</v>
      </c>
      <c r="E24" s="2"/>
      <c r="F24" s="6">
        <f t="shared" si="0"/>
        <v>0</v>
      </c>
      <c r="G24" s="2"/>
      <c r="H24" s="7">
        <v>1901.9230769230799</v>
      </c>
      <c r="I24" s="2"/>
      <c r="J24" s="6">
        <f t="shared" si="1"/>
        <v>0</v>
      </c>
      <c r="K24" s="2"/>
      <c r="L24" s="7">
        <f t="shared" si="2"/>
        <v>-40.713076923079825</v>
      </c>
      <c r="M24" s="2"/>
      <c r="N24" s="6">
        <f t="shared" si="3"/>
        <v>-2.1406268958545478E-2</v>
      </c>
      <c r="O24" s="11"/>
      <c r="P24" s="7">
        <v>8375.44</v>
      </c>
      <c r="Q24" s="2"/>
      <c r="R24" s="6">
        <f t="shared" si="4"/>
        <v>0</v>
      </c>
      <c r="S24" s="2"/>
      <c r="T24" s="7">
        <v>6846.9230769230799</v>
      </c>
      <c r="U24" s="2"/>
      <c r="V24" s="6">
        <f t="shared" si="5"/>
        <v>0</v>
      </c>
      <c r="W24" s="2"/>
      <c r="X24" s="7">
        <f t="shared" si="6"/>
        <v>1528.5169230769206</v>
      </c>
      <c r="Y24" s="2"/>
      <c r="Z24" s="6">
        <f t="shared" si="7"/>
        <v>0.22324143354679205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300</v>
      </c>
      <c r="I25" s="2"/>
      <c r="J25" s="6">
        <f t="shared" si="1"/>
        <v>0</v>
      </c>
      <c r="K25" s="2"/>
      <c r="L25" s="7">
        <f t="shared" si="2"/>
        <v>-300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1200</v>
      </c>
      <c r="U25" s="2"/>
      <c r="V25" s="6">
        <f t="shared" si="5"/>
        <v>0</v>
      </c>
      <c r="W25" s="2"/>
      <c r="X25" s="7">
        <f t="shared" si="6"/>
        <v>-1200</v>
      </c>
      <c r="Y25" s="2"/>
      <c r="Z25" s="6">
        <f t="shared" si="7"/>
        <v>-1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7">
        <v>160.72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160.72</v>
      </c>
      <c r="M26" s="2"/>
      <c r="N26" s="6">
        <f t="shared" si="3"/>
        <v>0</v>
      </c>
      <c r="O26" s="11"/>
      <c r="P26" s="7">
        <v>747.88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747.88</v>
      </c>
      <c r="Y26" s="2"/>
      <c r="Z26" s="6">
        <f t="shared" si="7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7">
        <v>2211.96</v>
      </c>
      <c r="E27" s="2"/>
      <c r="F27" s="6">
        <f t="shared" si="0"/>
        <v>0</v>
      </c>
      <c r="G27" s="2"/>
      <c r="H27" s="7">
        <v>1325.76923076923</v>
      </c>
      <c r="I27" s="2"/>
      <c r="J27" s="6">
        <f t="shared" si="1"/>
        <v>0</v>
      </c>
      <c r="K27" s="2"/>
      <c r="L27" s="7">
        <f t="shared" si="2"/>
        <v>886.19076923077</v>
      </c>
      <c r="M27" s="2"/>
      <c r="N27" s="6">
        <f t="shared" si="3"/>
        <v>0.66843516100957445</v>
      </c>
      <c r="O27" s="11"/>
      <c r="P27" s="7">
        <v>6635.88</v>
      </c>
      <c r="Q27" s="2"/>
      <c r="R27" s="6">
        <f t="shared" si="4"/>
        <v>0</v>
      </c>
      <c r="S27" s="2"/>
      <c r="T27" s="7">
        <v>4750.7692307692196</v>
      </c>
      <c r="U27" s="2"/>
      <c r="V27" s="6">
        <f t="shared" si="5"/>
        <v>0</v>
      </c>
      <c r="W27" s="2"/>
      <c r="X27" s="7">
        <f t="shared" si="6"/>
        <v>1885.1107692307805</v>
      </c>
      <c r="Y27" s="2"/>
      <c r="Z27" s="6">
        <f t="shared" si="7"/>
        <v>0.39680116580311214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7">
        <v>1498.56</v>
      </c>
      <c r="E28" s="2"/>
      <c r="F28" s="6">
        <f t="shared" si="0"/>
        <v>0</v>
      </c>
      <c r="G28" s="2"/>
      <c r="H28" s="7">
        <v>1325.76923076923</v>
      </c>
      <c r="I28" s="2"/>
      <c r="J28" s="6">
        <f t="shared" si="1"/>
        <v>0</v>
      </c>
      <c r="K28" s="2"/>
      <c r="L28" s="7">
        <f t="shared" si="2"/>
        <v>172.79076923076991</v>
      </c>
      <c r="M28" s="2"/>
      <c r="N28" s="6">
        <f t="shared" si="3"/>
        <v>0.13033246301131476</v>
      </c>
      <c r="O28" s="11"/>
      <c r="P28" s="7">
        <v>4495.68</v>
      </c>
      <c r="Q28" s="2"/>
      <c r="R28" s="6">
        <f t="shared" si="4"/>
        <v>0</v>
      </c>
      <c r="S28" s="2"/>
      <c r="T28" s="7">
        <v>4750.7692307692196</v>
      </c>
      <c r="U28" s="2"/>
      <c r="V28" s="6">
        <f t="shared" si="5"/>
        <v>0</v>
      </c>
      <c r="W28" s="2"/>
      <c r="X28" s="7">
        <f t="shared" si="6"/>
        <v>-255.08923076921928</v>
      </c>
      <c r="Y28" s="2"/>
      <c r="Z28" s="6">
        <f t="shared" si="7"/>
        <v>-5.3694300518132426E-2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7">
        <v>302.52</v>
      </c>
      <c r="E29" s="2"/>
      <c r="F29" s="6">
        <f t="shared" si="0"/>
        <v>0</v>
      </c>
      <c r="G29" s="2"/>
      <c r="H29" s="7">
        <v>600</v>
      </c>
      <c r="I29" s="2"/>
      <c r="J29" s="6">
        <f t="shared" si="1"/>
        <v>0</v>
      </c>
      <c r="K29" s="2"/>
      <c r="L29" s="7">
        <f t="shared" si="2"/>
        <v>-297.48</v>
      </c>
      <c r="M29" s="2"/>
      <c r="N29" s="6">
        <f t="shared" si="3"/>
        <v>-0.49580000000000002</v>
      </c>
      <c r="O29" s="11"/>
      <c r="P29" s="7">
        <v>1060.24</v>
      </c>
      <c r="Q29" s="2"/>
      <c r="R29" s="6">
        <f t="shared" si="4"/>
        <v>0</v>
      </c>
      <c r="S29" s="2"/>
      <c r="T29" s="7">
        <v>2400</v>
      </c>
      <c r="U29" s="2"/>
      <c r="V29" s="6">
        <f t="shared" si="5"/>
        <v>0</v>
      </c>
      <c r="W29" s="2"/>
      <c r="X29" s="7">
        <f t="shared" si="6"/>
        <v>-1339.76</v>
      </c>
      <c r="Y29" s="2"/>
      <c r="Z29" s="6">
        <f t="shared" si="7"/>
        <v>-0.55823333333333336</v>
      </c>
    </row>
    <row r="30" spans="1:26" s="27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24666.68</v>
      </c>
      <c r="E30" s="1"/>
      <c r="F30" s="5">
        <f t="shared" ref="F30:F40" si="8">IF(D$12=0,0,D30/D$12)</f>
        <v>0</v>
      </c>
      <c r="G30" s="1"/>
      <c r="H30" s="1">
        <f>SUM(OSRRefH22_1x_0)</f>
        <v>23863.8461538462</v>
      </c>
      <c r="I30" s="1"/>
      <c r="J30" s="5">
        <f t="shared" ref="J30:J40" si="9">IF(H$12=0,0,H30/H$12)</f>
        <v>0</v>
      </c>
      <c r="K30" s="1"/>
      <c r="L30" s="1">
        <f t="shared" ref="L30:L40" si="10">+D30-H30</f>
        <v>802.83384615380055</v>
      </c>
      <c r="M30" s="1"/>
      <c r="N30" s="5">
        <f t="shared" ref="N30:N40" si="11">IF(H30=0,0,L30/H30)</f>
        <v>3.3642265415979714E-2</v>
      </c>
      <c r="O30" s="14"/>
      <c r="P30" s="1">
        <f>SUM(OSRRefP22_1x_0)</f>
        <v>89461.43</v>
      </c>
      <c r="Q30" s="1"/>
      <c r="R30" s="5">
        <f t="shared" ref="R30:R40" si="12">IF(P$12=0,0,P30/P$12)</f>
        <v>0</v>
      </c>
      <c r="S30" s="1"/>
      <c r="T30" s="1">
        <f>SUM(OSRRefT22_1x_0)</f>
        <v>90513.8461538462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-1052.4161538462067</v>
      </c>
      <c r="Y30" s="1"/>
      <c r="Z30" s="5">
        <f t="shared" ref="Z30:Z40" si="15">IF(T30=0,0,X30/T30)</f>
        <v>-1.1627128871061529E-2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>
        <v>20606.53</v>
      </c>
      <c r="E32" s="2"/>
      <c r="F32" s="6">
        <f t="shared" si="8"/>
        <v>0</v>
      </c>
      <c r="G32" s="2"/>
      <c r="H32" s="7">
        <v>19903.8461538462</v>
      </c>
      <c r="I32" s="2"/>
      <c r="J32" s="6">
        <f t="shared" si="9"/>
        <v>0</v>
      </c>
      <c r="K32" s="2"/>
      <c r="L32" s="7">
        <f t="shared" si="10"/>
        <v>702.6838461537991</v>
      </c>
      <c r="M32" s="2"/>
      <c r="N32" s="6">
        <f t="shared" si="11"/>
        <v>3.5303922705311561E-2</v>
      </c>
      <c r="O32" s="11"/>
      <c r="P32" s="7">
        <v>76850.39</v>
      </c>
      <c r="Q32" s="2"/>
      <c r="R32" s="6">
        <f t="shared" si="12"/>
        <v>0</v>
      </c>
      <c r="S32" s="2"/>
      <c r="T32" s="7">
        <v>71653.8461538462</v>
      </c>
      <c r="U32" s="2"/>
      <c r="V32" s="6">
        <f t="shared" si="13"/>
        <v>0</v>
      </c>
      <c r="W32" s="2"/>
      <c r="X32" s="7">
        <f t="shared" si="14"/>
        <v>5196.5438461537997</v>
      </c>
      <c r="Y32" s="2"/>
      <c r="Z32" s="6">
        <f t="shared" si="15"/>
        <v>7.2522887815350892E-2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>
        <v>4900.1499999999996</v>
      </c>
      <c r="E34" s="2"/>
      <c r="F34" s="6">
        <f t="shared" si="8"/>
        <v>0</v>
      </c>
      <c r="G34" s="2"/>
      <c r="H34" s="7">
        <v>3960</v>
      </c>
      <c r="I34" s="2"/>
      <c r="J34" s="6">
        <f t="shared" si="9"/>
        <v>0</v>
      </c>
      <c r="K34" s="2"/>
      <c r="L34" s="7">
        <f t="shared" si="10"/>
        <v>940.14999999999964</v>
      </c>
      <c r="M34" s="2"/>
      <c r="N34" s="6">
        <f t="shared" si="11"/>
        <v>0.23741161616161607</v>
      </c>
      <c r="O34" s="11"/>
      <c r="P34" s="7">
        <v>12611.04</v>
      </c>
      <c r="Q34" s="2"/>
      <c r="R34" s="6">
        <f t="shared" si="12"/>
        <v>0</v>
      </c>
      <c r="S34" s="2"/>
      <c r="T34" s="7">
        <v>18860</v>
      </c>
      <c r="U34" s="2"/>
      <c r="V34" s="6">
        <f t="shared" si="13"/>
        <v>0</v>
      </c>
      <c r="W34" s="2"/>
      <c r="X34" s="7">
        <f t="shared" si="14"/>
        <v>-6248.9599999999991</v>
      </c>
      <c r="Y34" s="2"/>
      <c r="Z34" s="6">
        <f t="shared" si="15"/>
        <v>-0.33133404029692465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7">
        <v>-840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-840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7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4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100</v>
      </c>
      <c r="U42" s="2"/>
      <c r="V42" s="6">
        <f t="shared" si="21"/>
        <v>0</v>
      </c>
      <c r="W42" s="2"/>
      <c r="X42" s="7">
        <f t="shared" si="22"/>
        <v>-100</v>
      </c>
      <c r="Y42" s="2"/>
      <c r="Z42" s="6">
        <f t="shared" si="23"/>
        <v>-1</v>
      </c>
    </row>
    <row r="43" spans="1:26" s="27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5077.13</v>
      </c>
      <c r="E43" s="1"/>
      <c r="F43" s="5">
        <f t="shared" si="16"/>
        <v>0</v>
      </c>
      <c r="G43" s="1"/>
      <c r="H43" s="1">
        <f>SUM(OSRRefH22_3x_0)</f>
        <v>5077</v>
      </c>
      <c r="I43" s="1"/>
      <c r="J43" s="5">
        <f t="shared" si="17"/>
        <v>0</v>
      </c>
      <c r="K43" s="1"/>
      <c r="L43" s="1">
        <f t="shared" si="18"/>
        <v>0.13000000000010914</v>
      </c>
      <c r="M43" s="1"/>
      <c r="N43" s="5">
        <f t="shared" si="19"/>
        <v>2.5605672641345112E-5</v>
      </c>
      <c r="O43" s="14"/>
      <c r="P43" s="1">
        <f>SUM(OSRRefP22_3x_0)</f>
        <v>21463.54</v>
      </c>
      <c r="Q43" s="1"/>
      <c r="R43" s="5">
        <f t="shared" si="20"/>
        <v>0</v>
      </c>
      <c r="S43" s="1"/>
      <c r="T43" s="1">
        <f>SUM(OSRRefT22_3x_0)</f>
        <v>16201</v>
      </c>
      <c r="U43" s="1"/>
      <c r="V43" s="5">
        <f t="shared" si="21"/>
        <v>0</v>
      </c>
      <c r="W43" s="1"/>
      <c r="X43" s="1">
        <f t="shared" si="22"/>
        <v>5262.5400000000009</v>
      </c>
      <c r="Y43" s="1"/>
      <c r="Z43" s="5">
        <f t="shared" si="23"/>
        <v>0.32482809703104754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5077.13</v>
      </c>
      <c r="E44" s="2"/>
      <c r="F44" s="6">
        <f t="shared" si="16"/>
        <v>0</v>
      </c>
      <c r="G44" s="2"/>
      <c r="H44" s="7">
        <v>5077</v>
      </c>
      <c r="I44" s="2"/>
      <c r="J44" s="6">
        <f t="shared" si="17"/>
        <v>0</v>
      </c>
      <c r="K44" s="2"/>
      <c r="L44" s="7">
        <f t="shared" si="18"/>
        <v>0.13000000000010914</v>
      </c>
      <c r="M44" s="2"/>
      <c r="N44" s="6">
        <f t="shared" si="19"/>
        <v>2.5605672641345112E-5</v>
      </c>
      <c r="O44" s="11"/>
      <c r="P44" s="7">
        <v>21463.54</v>
      </c>
      <c r="Q44" s="2"/>
      <c r="R44" s="6">
        <f t="shared" si="20"/>
        <v>0</v>
      </c>
      <c r="S44" s="2"/>
      <c r="T44" s="7">
        <v>16101</v>
      </c>
      <c r="U44" s="2"/>
      <c r="V44" s="6">
        <f t="shared" si="21"/>
        <v>0</v>
      </c>
      <c r="W44" s="2"/>
      <c r="X44" s="7">
        <f t="shared" si="22"/>
        <v>5362.5400000000009</v>
      </c>
      <c r="Y44" s="2"/>
      <c r="Z44" s="6">
        <f t="shared" si="23"/>
        <v>0.33305633190485068</v>
      </c>
    </row>
    <row r="45" spans="1:26" s="24" customFormat="1" hidden="1" outlineLevel="2" x14ac:dyDescent="0.25">
      <c r="A45" s="28"/>
      <c r="B45" s="11" t="str">
        <f>CONCATENATE("          ", "6324", " - ", "FURNITURE + FIXT DEPRECIATION")</f>
        <v xml:space="preserve">          6324 - FURNITURE + FIXT DEPRECIATION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100</v>
      </c>
      <c r="U45" s="2"/>
      <c r="V45" s="6">
        <f t="shared" si="21"/>
        <v>0</v>
      </c>
      <c r="W45" s="2"/>
      <c r="X45" s="7">
        <f t="shared" si="22"/>
        <v>-100</v>
      </c>
      <c r="Y45" s="2"/>
      <c r="Z45" s="6">
        <f t="shared" si="23"/>
        <v>-1</v>
      </c>
    </row>
    <row r="46" spans="1:26" s="27" customFormat="1" outlineLevel="1" collapsed="1" x14ac:dyDescent="0.25">
      <c r="A46" s="29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SUM(OSRRefD22_4x_0)</f>
        <v>0</v>
      </c>
      <c r="E46" s="1"/>
      <c r="F46" s="5">
        <f t="shared" ref="F46:F53" si="24">IF(D$12=0,0,D46/D$12)</f>
        <v>0</v>
      </c>
      <c r="G46" s="1"/>
      <c r="H46" s="1">
        <f>SUM(OSRRefH22_4x_0)</f>
        <v>0</v>
      </c>
      <c r="I46" s="1"/>
      <c r="J46" s="5">
        <f t="shared" ref="J46:J53" si="25">IF(H$12=0,0,H46/H$12)</f>
        <v>0</v>
      </c>
      <c r="K46" s="1"/>
      <c r="L46" s="1">
        <f t="shared" ref="L46:L53" si="26">+D46-H46</f>
        <v>0</v>
      </c>
      <c r="M46" s="1"/>
      <c r="N46" s="5">
        <f t="shared" ref="N46:N53" si="27">IF(H46=0,0,L46/H46)</f>
        <v>0</v>
      </c>
      <c r="O46" s="14"/>
      <c r="P46" s="1">
        <f>SUM(OSRRefP22_4x_0)</f>
        <v>0</v>
      </c>
      <c r="Q46" s="1"/>
      <c r="R46" s="5">
        <f t="shared" ref="R46:R53" si="28">IF(P$12=0,0,P46/P$12)</f>
        <v>0</v>
      </c>
      <c r="S46" s="1"/>
      <c r="T46" s="1">
        <f>SUM(OSRRefT22_4x_0)</f>
        <v>500</v>
      </c>
      <c r="U46" s="1"/>
      <c r="V46" s="5">
        <f t="shared" ref="V46:V53" si="29">IF(T$12=0,0,T46/T$12)</f>
        <v>0</v>
      </c>
      <c r="W46" s="1"/>
      <c r="X46" s="1">
        <f t="shared" ref="X46:X53" si="30">+P46-T46</f>
        <v>-500</v>
      </c>
      <c r="Y46" s="1"/>
      <c r="Z46" s="5">
        <f t="shared" ref="Z46:Z53" si="31">IF(T46=0,0,X46/T46)</f>
        <v>-1</v>
      </c>
    </row>
    <row r="47" spans="1:26" s="24" customFormat="1" hidden="1" outlineLevel="2" x14ac:dyDescent="0.25">
      <c r="A47" s="28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24"/>
        <v>0</v>
      </c>
      <c r="G47" s="2"/>
      <c r="H47" s="7"/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/>
      <c r="Q47" s="2"/>
      <c r="R47" s="6">
        <f t="shared" si="28"/>
        <v>0</v>
      </c>
      <c r="S47" s="2"/>
      <c r="T47" s="7">
        <v>500</v>
      </c>
      <c r="U47" s="2"/>
      <c r="V47" s="6">
        <f t="shared" si="29"/>
        <v>0</v>
      </c>
      <c r="W47" s="2"/>
      <c r="X47" s="7">
        <f t="shared" si="30"/>
        <v>-500</v>
      </c>
      <c r="Y47" s="2"/>
      <c r="Z47" s="6">
        <f t="shared" si="31"/>
        <v>-1</v>
      </c>
    </row>
    <row r="48" spans="1:26" s="27" customFormat="1" outlineLevel="1" collapsed="1" x14ac:dyDescent="0.25">
      <c r="A48" s="29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SUM(OSRRefD22_5x_0)</f>
        <v>56.34</v>
      </c>
      <c r="E48" s="1"/>
      <c r="F48" s="5">
        <f t="shared" si="24"/>
        <v>0</v>
      </c>
      <c r="G48" s="1"/>
      <c r="H48" s="1">
        <f>SUM(OSRRefH22_5x_0)</f>
        <v>61</v>
      </c>
      <c r="I48" s="1"/>
      <c r="J48" s="5">
        <f t="shared" si="25"/>
        <v>0</v>
      </c>
      <c r="K48" s="1"/>
      <c r="L48" s="1">
        <f t="shared" si="26"/>
        <v>-4.6599999999999966</v>
      </c>
      <c r="M48" s="1"/>
      <c r="N48" s="5">
        <f t="shared" si="27"/>
        <v>-7.6393442622950766E-2</v>
      </c>
      <c r="O48" s="14"/>
      <c r="P48" s="1">
        <f>SUM(OSRRefP22_5x_0)</f>
        <v>225.36</v>
      </c>
      <c r="Q48" s="1"/>
      <c r="R48" s="5">
        <f t="shared" si="28"/>
        <v>0</v>
      </c>
      <c r="S48" s="1"/>
      <c r="T48" s="1">
        <f>SUM(OSRRefT22_5x_0)</f>
        <v>783</v>
      </c>
      <c r="U48" s="1"/>
      <c r="V48" s="5">
        <f t="shared" si="29"/>
        <v>0</v>
      </c>
      <c r="W48" s="1"/>
      <c r="X48" s="1">
        <f t="shared" si="30"/>
        <v>-557.64</v>
      </c>
      <c r="Y48" s="1"/>
      <c r="Z48" s="5">
        <f t="shared" si="31"/>
        <v>-0.71218390804597698</v>
      </c>
    </row>
    <row r="49" spans="1:26" s="24" customFormat="1" hidden="1" outlineLevel="2" x14ac:dyDescent="0.25">
      <c r="A49" s="28"/>
      <c r="B49" s="11" t="str">
        <f>CONCATENATE("          ", "6314", " - ", "LIABILITY INSURANCE")</f>
        <v xml:space="preserve">          6314 - LIABILITY INSURANCE</v>
      </c>
      <c r="C49" s="11"/>
      <c r="D49" s="7">
        <v>56.34</v>
      </c>
      <c r="E49" s="2"/>
      <c r="F49" s="6">
        <f t="shared" si="24"/>
        <v>0</v>
      </c>
      <c r="G49" s="2"/>
      <c r="H49" s="7">
        <v>61</v>
      </c>
      <c r="I49" s="2"/>
      <c r="J49" s="6">
        <f t="shared" si="25"/>
        <v>0</v>
      </c>
      <c r="K49" s="2"/>
      <c r="L49" s="7">
        <f t="shared" si="26"/>
        <v>-4.6599999999999966</v>
      </c>
      <c r="M49" s="2"/>
      <c r="N49" s="6">
        <f t="shared" si="27"/>
        <v>-7.6393442622950766E-2</v>
      </c>
      <c r="O49" s="11"/>
      <c r="P49" s="7">
        <v>225.36</v>
      </c>
      <c r="Q49" s="2"/>
      <c r="R49" s="6">
        <f t="shared" si="28"/>
        <v>0</v>
      </c>
      <c r="S49" s="2"/>
      <c r="T49" s="7">
        <v>783</v>
      </c>
      <c r="U49" s="2"/>
      <c r="V49" s="6">
        <f t="shared" si="29"/>
        <v>0</v>
      </c>
      <c r="W49" s="2"/>
      <c r="X49" s="7">
        <f t="shared" si="30"/>
        <v>-557.64</v>
      </c>
      <c r="Y49" s="2"/>
      <c r="Z49" s="6">
        <f t="shared" si="31"/>
        <v>-0.71218390804597698</v>
      </c>
    </row>
    <row r="50" spans="1:26" s="27" customFormat="1" outlineLevel="1" collapsed="1" x14ac:dyDescent="0.25">
      <c r="A50" s="29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SUM(OSRRefD22_6x_0)</f>
        <v>14428.16</v>
      </c>
      <c r="E50" s="1"/>
      <c r="F50" s="5">
        <f t="shared" si="24"/>
        <v>0</v>
      </c>
      <c r="G50" s="1"/>
      <c r="H50" s="1">
        <f>SUM(OSRRefH22_6x_0)</f>
        <v>14910</v>
      </c>
      <c r="I50" s="1"/>
      <c r="J50" s="5">
        <f t="shared" si="25"/>
        <v>0</v>
      </c>
      <c r="K50" s="1"/>
      <c r="L50" s="1">
        <f t="shared" si="26"/>
        <v>-481.84000000000015</v>
      </c>
      <c r="M50" s="1"/>
      <c r="N50" s="5">
        <f t="shared" si="27"/>
        <v>-3.2316566063044949E-2</v>
      </c>
      <c r="O50" s="14"/>
      <c r="P50" s="1">
        <f>SUM(OSRRefP22_6x_0)</f>
        <v>48604.160000000003</v>
      </c>
      <c r="Q50" s="1"/>
      <c r="R50" s="5">
        <f t="shared" si="28"/>
        <v>0</v>
      </c>
      <c r="S50" s="1"/>
      <c r="T50" s="1">
        <f>SUM(OSRRefT22_6x_0)</f>
        <v>47190</v>
      </c>
      <c r="U50" s="1"/>
      <c r="V50" s="5">
        <f t="shared" si="29"/>
        <v>0</v>
      </c>
      <c r="W50" s="1"/>
      <c r="X50" s="1">
        <f t="shared" si="30"/>
        <v>1414.1600000000035</v>
      </c>
      <c r="Y50" s="1"/>
      <c r="Z50" s="5">
        <f t="shared" si="31"/>
        <v>2.9967365967366041E-2</v>
      </c>
    </row>
    <row r="51" spans="1:26" s="24" customFormat="1" hidden="1" outlineLevel="2" x14ac:dyDescent="0.25">
      <c r="A51" s="28"/>
      <c r="B51" s="11" t="str">
        <f>CONCATENATE("          ", "6371", " - ", "COMPUTER SOFTWARE MAINTENANCE")</f>
        <v xml:space="preserve">          6371 - COMPUTER SOFTWARE MAINTENANCE</v>
      </c>
      <c r="C51" s="11"/>
      <c r="D51" s="7">
        <v>2436.16</v>
      </c>
      <c r="E51" s="2"/>
      <c r="F51" s="6">
        <f t="shared" si="24"/>
        <v>0</v>
      </c>
      <c r="G51" s="2"/>
      <c r="H51" s="7">
        <v>660</v>
      </c>
      <c r="I51" s="2"/>
      <c r="J51" s="6">
        <f t="shared" si="25"/>
        <v>0</v>
      </c>
      <c r="K51" s="2"/>
      <c r="L51" s="7">
        <f t="shared" si="26"/>
        <v>1776.1599999999999</v>
      </c>
      <c r="M51" s="2"/>
      <c r="N51" s="6">
        <f t="shared" si="27"/>
        <v>2.6911515151515149</v>
      </c>
      <c r="O51" s="11"/>
      <c r="P51" s="7">
        <v>2436.16</v>
      </c>
      <c r="Q51" s="2"/>
      <c r="R51" s="6">
        <f t="shared" si="28"/>
        <v>0</v>
      </c>
      <c r="S51" s="2"/>
      <c r="T51" s="7">
        <v>2640</v>
      </c>
      <c r="U51" s="2"/>
      <c r="V51" s="6">
        <f t="shared" si="29"/>
        <v>0</v>
      </c>
      <c r="W51" s="2"/>
      <c r="X51" s="7">
        <f t="shared" si="30"/>
        <v>-203.84000000000015</v>
      </c>
      <c r="Y51" s="2"/>
      <c r="Z51" s="6">
        <f t="shared" si="31"/>
        <v>-7.7212121212121274E-2</v>
      </c>
    </row>
    <row r="52" spans="1:26" s="24" customFormat="1" hidden="1" outlineLevel="2" x14ac:dyDescent="0.25">
      <c r="A52" s="28"/>
      <c r="B52" s="11" t="str">
        <f>CONCATENATE("          ", "6372", " - ", "COMPUTER HARDWARE MAINTENANCE")</f>
        <v xml:space="preserve">          6372 - COMPUTER HARDWARE MAINTENANCE</v>
      </c>
      <c r="C52" s="11"/>
      <c r="D52" s="7"/>
      <c r="E52" s="2"/>
      <c r="F52" s="6">
        <f t="shared" si="24"/>
        <v>0</v>
      </c>
      <c r="G52" s="2"/>
      <c r="H52" s="7">
        <v>1600</v>
      </c>
      <c r="I52" s="2"/>
      <c r="J52" s="6">
        <f t="shared" si="25"/>
        <v>0</v>
      </c>
      <c r="K52" s="2"/>
      <c r="L52" s="7">
        <f t="shared" si="26"/>
        <v>-1600</v>
      </c>
      <c r="M52" s="2"/>
      <c r="N52" s="6">
        <f t="shared" si="27"/>
        <v>-1</v>
      </c>
      <c r="O52" s="11"/>
      <c r="P52" s="7"/>
      <c r="Q52" s="2"/>
      <c r="R52" s="6">
        <f t="shared" si="28"/>
        <v>0</v>
      </c>
      <c r="S52" s="2"/>
      <c r="T52" s="7">
        <v>6400</v>
      </c>
      <c r="U52" s="2"/>
      <c r="V52" s="6">
        <f t="shared" si="29"/>
        <v>0</v>
      </c>
      <c r="W52" s="2"/>
      <c r="X52" s="7">
        <f t="shared" si="30"/>
        <v>-6400</v>
      </c>
      <c r="Y52" s="2"/>
      <c r="Z52" s="6">
        <f t="shared" si="31"/>
        <v>-1</v>
      </c>
    </row>
    <row r="53" spans="1:26" s="24" customFormat="1" hidden="1" outlineLevel="2" x14ac:dyDescent="0.25">
      <c r="A53" s="28"/>
      <c r="B53" s="11" t="str">
        <f>CONCATENATE("          ", "6373", " - ", "MAINTENANCE CONTRACTS")</f>
        <v xml:space="preserve">          6373 - MAINTENANCE CONTRACTS</v>
      </c>
      <c r="C53" s="11"/>
      <c r="D53" s="7">
        <v>11992</v>
      </c>
      <c r="E53" s="2"/>
      <c r="F53" s="6">
        <f t="shared" si="24"/>
        <v>0</v>
      </c>
      <c r="G53" s="2"/>
      <c r="H53" s="7">
        <v>12650</v>
      </c>
      <c r="I53" s="2"/>
      <c r="J53" s="6">
        <f t="shared" si="25"/>
        <v>0</v>
      </c>
      <c r="K53" s="2"/>
      <c r="L53" s="7">
        <f t="shared" si="26"/>
        <v>-658</v>
      </c>
      <c r="M53" s="2"/>
      <c r="N53" s="6">
        <f t="shared" si="27"/>
        <v>-5.2015810276679841E-2</v>
      </c>
      <c r="O53" s="11"/>
      <c r="P53" s="7">
        <v>46168</v>
      </c>
      <c r="Q53" s="2"/>
      <c r="R53" s="6">
        <f t="shared" si="28"/>
        <v>0</v>
      </c>
      <c r="S53" s="2"/>
      <c r="T53" s="7">
        <v>38150</v>
      </c>
      <c r="U53" s="2"/>
      <c r="V53" s="6">
        <f t="shared" si="29"/>
        <v>0</v>
      </c>
      <c r="W53" s="2"/>
      <c r="X53" s="7">
        <f t="shared" si="30"/>
        <v>8018</v>
      </c>
      <c r="Y53" s="2"/>
      <c r="Z53" s="6">
        <f t="shared" si="31"/>
        <v>0.21017038007863695</v>
      </c>
    </row>
    <row r="54" spans="1:26" s="27" customFormat="1" outlineLevel="1" collapsed="1" x14ac:dyDescent="0.25">
      <c r="A54" s="29"/>
      <c r="B54" s="14" t="str">
        <f>CONCATENATE("     ","Subscriptions &amp; Dues                              ")</f>
        <v xml:space="preserve">     Subscriptions &amp; Dues                              </v>
      </c>
      <c r="C54" s="14"/>
      <c r="D54" s="1">
        <f>SUM(OSRRefD22_7x_0)</f>
        <v>0</v>
      </c>
      <c r="E54" s="1"/>
      <c r="F54" s="5">
        <f t="shared" ref="F54:F56" si="32">IF(D$12=0,0,D54/D$12)</f>
        <v>0</v>
      </c>
      <c r="G54" s="1"/>
      <c r="H54" s="1">
        <f>SUM(OSRRefH22_7x_0)</f>
        <v>400</v>
      </c>
      <c r="I54" s="1"/>
      <c r="J54" s="5">
        <f t="shared" ref="J54:J56" si="33">IF(H$12=0,0,H54/H$12)</f>
        <v>0</v>
      </c>
      <c r="K54" s="1"/>
      <c r="L54" s="1">
        <f t="shared" ref="L54:L56" si="34">+D54-H54</f>
        <v>-400</v>
      </c>
      <c r="M54" s="1"/>
      <c r="N54" s="5">
        <f t="shared" ref="N54:N56" si="35">IF(H54=0,0,L54/H54)</f>
        <v>-1</v>
      </c>
      <c r="O54" s="14"/>
      <c r="P54" s="1">
        <f>SUM(OSRRefP22_7x_0)</f>
        <v>0</v>
      </c>
      <c r="Q54" s="1"/>
      <c r="R54" s="5">
        <f t="shared" ref="R54:R56" si="36">IF(P$12=0,0,P54/P$12)</f>
        <v>0</v>
      </c>
      <c r="S54" s="1"/>
      <c r="T54" s="1">
        <f>SUM(OSRRefT22_7x_0)</f>
        <v>1300</v>
      </c>
      <c r="U54" s="1"/>
      <c r="V54" s="5">
        <f t="shared" ref="V54:V56" si="37">IF(T$12=0,0,T54/T$12)</f>
        <v>0</v>
      </c>
      <c r="W54" s="1"/>
      <c r="X54" s="1">
        <f t="shared" ref="X54:X56" si="38">+P54-T54</f>
        <v>-1300</v>
      </c>
      <c r="Y54" s="1"/>
      <c r="Z54" s="5">
        <f t="shared" ref="Z54:Z56" si="39">IF(T54=0,0,X54/T54)</f>
        <v>-1</v>
      </c>
    </row>
    <row r="55" spans="1:26" s="24" customFormat="1" hidden="1" outlineLevel="2" x14ac:dyDescent="0.25">
      <c r="A55" s="28"/>
      <c r="B55" s="11" t="str">
        <f>CONCATENATE("          ", "6258", " - ", "MEMBERSHIP DUES")</f>
        <v xml:space="preserve">          6258 - MEMBERSHIP DUES</v>
      </c>
      <c r="C55" s="11"/>
      <c r="D55" s="7"/>
      <c r="E55" s="2"/>
      <c r="F55" s="6">
        <f t="shared" si="32"/>
        <v>0</v>
      </c>
      <c r="G55" s="2"/>
      <c r="H55" s="7">
        <v>300</v>
      </c>
      <c r="I55" s="2"/>
      <c r="J55" s="6">
        <f t="shared" si="33"/>
        <v>0</v>
      </c>
      <c r="K55" s="2"/>
      <c r="L55" s="7">
        <f t="shared" si="34"/>
        <v>-300</v>
      </c>
      <c r="M55" s="2"/>
      <c r="N55" s="6">
        <f t="shared" si="35"/>
        <v>-1</v>
      </c>
      <c r="O55" s="11"/>
      <c r="P55" s="7"/>
      <c r="Q55" s="2"/>
      <c r="R55" s="6">
        <f t="shared" si="36"/>
        <v>0</v>
      </c>
      <c r="S55" s="2"/>
      <c r="T55" s="7">
        <v>900</v>
      </c>
      <c r="U55" s="2"/>
      <c r="V55" s="6">
        <f t="shared" si="37"/>
        <v>0</v>
      </c>
      <c r="W55" s="2"/>
      <c r="X55" s="7">
        <f t="shared" si="38"/>
        <v>-900</v>
      </c>
      <c r="Y55" s="2"/>
      <c r="Z55" s="6">
        <f t="shared" si="39"/>
        <v>-1</v>
      </c>
    </row>
    <row r="56" spans="1:26" s="24" customFormat="1" hidden="1" outlineLevel="2" x14ac:dyDescent="0.25">
      <c r="A56" s="28"/>
      <c r="B56" s="11" t="str">
        <f>CONCATENATE("          ", "6275", " - ", "SUBSCRIPTIONS")</f>
        <v xml:space="preserve">          6275 - SUBSCRIPTIONS</v>
      </c>
      <c r="C56" s="11"/>
      <c r="D56" s="7"/>
      <c r="E56" s="2"/>
      <c r="F56" s="6">
        <f t="shared" si="32"/>
        <v>0</v>
      </c>
      <c r="G56" s="2"/>
      <c r="H56" s="7">
        <v>100</v>
      </c>
      <c r="I56" s="2"/>
      <c r="J56" s="6">
        <f t="shared" si="33"/>
        <v>0</v>
      </c>
      <c r="K56" s="2"/>
      <c r="L56" s="7">
        <f t="shared" si="34"/>
        <v>-100</v>
      </c>
      <c r="M56" s="2"/>
      <c r="N56" s="6">
        <f t="shared" si="35"/>
        <v>-1</v>
      </c>
      <c r="O56" s="11"/>
      <c r="P56" s="7"/>
      <c r="Q56" s="2"/>
      <c r="R56" s="6">
        <f t="shared" si="36"/>
        <v>0</v>
      </c>
      <c r="S56" s="2"/>
      <c r="T56" s="7">
        <v>400</v>
      </c>
      <c r="U56" s="2"/>
      <c r="V56" s="6">
        <f t="shared" si="37"/>
        <v>0</v>
      </c>
      <c r="W56" s="2"/>
      <c r="X56" s="7">
        <f t="shared" si="38"/>
        <v>-400</v>
      </c>
      <c r="Y56" s="2"/>
      <c r="Z56" s="6">
        <f t="shared" si="39"/>
        <v>-1</v>
      </c>
    </row>
    <row r="57" spans="1:26" s="27" customFormat="1" outlineLevel="1" collapsed="1" x14ac:dyDescent="0.25">
      <c r="A57" s="29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SUM(OSRRefD22_8x_0)</f>
        <v>60.63</v>
      </c>
      <c r="E57" s="1"/>
      <c r="F57" s="5">
        <f t="shared" ref="F57:F61" si="40">IF(D$12=0,0,D57/D$12)</f>
        <v>0</v>
      </c>
      <c r="G57" s="1"/>
      <c r="H57" s="1">
        <f>SUM(OSRRefH22_8x_0)</f>
        <v>300</v>
      </c>
      <c r="I57" s="1"/>
      <c r="J57" s="5">
        <f t="shared" ref="J57:J61" si="41">IF(H$12=0,0,H57/H$12)</f>
        <v>0</v>
      </c>
      <c r="K57" s="1"/>
      <c r="L57" s="1">
        <f t="shared" ref="L57:L61" si="42">+D57-H57</f>
        <v>-239.37</v>
      </c>
      <c r="M57" s="1"/>
      <c r="N57" s="5">
        <f t="shared" ref="N57:N61" si="43">IF(H57=0,0,L57/H57)</f>
        <v>-0.79790000000000005</v>
      </c>
      <c r="O57" s="14"/>
      <c r="P57" s="1">
        <f>SUM(OSRRefP22_8x_0)</f>
        <v>-4441.42</v>
      </c>
      <c r="Q57" s="1"/>
      <c r="R57" s="5">
        <f t="shared" ref="R57:R61" si="44">IF(P$12=0,0,P57/P$12)</f>
        <v>0</v>
      </c>
      <c r="S57" s="1"/>
      <c r="T57" s="1">
        <f>SUM(OSRRefT22_8x_0)</f>
        <v>1200</v>
      </c>
      <c r="U57" s="1"/>
      <c r="V57" s="5">
        <f t="shared" ref="V57:V61" si="45">IF(T$12=0,0,T57/T$12)</f>
        <v>0</v>
      </c>
      <c r="W57" s="1"/>
      <c r="X57" s="1">
        <f t="shared" ref="X57:X61" si="46">+P57-T57</f>
        <v>-5641.42</v>
      </c>
      <c r="Y57" s="1"/>
      <c r="Z57" s="5">
        <f t="shared" ref="Z57:Z61" si="47">IF(T57=0,0,X57/T57)</f>
        <v>-4.7011833333333337</v>
      </c>
    </row>
    <row r="58" spans="1:26" s="24" customFormat="1" hidden="1" outlineLevel="2" x14ac:dyDescent="0.25">
      <c r="A58" s="28"/>
      <c r="B58" s="11" t="str">
        <f>CONCATENATE("          ", "6241", " - ", "OFFICE EXPENSE")</f>
        <v xml:space="preserve">          6241 - OFFICE EXPENSE</v>
      </c>
      <c r="C58" s="11"/>
      <c r="D58" s="7">
        <v>60.63</v>
      </c>
      <c r="E58" s="2"/>
      <c r="F58" s="6">
        <f t="shared" si="40"/>
        <v>0</v>
      </c>
      <c r="G58" s="2"/>
      <c r="H58" s="7">
        <v>300</v>
      </c>
      <c r="I58" s="2"/>
      <c r="J58" s="6">
        <f t="shared" si="41"/>
        <v>0</v>
      </c>
      <c r="K58" s="2"/>
      <c r="L58" s="7">
        <f t="shared" si="42"/>
        <v>-239.37</v>
      </c>
      <c r="M58" s="2"/>
      <c r="N58" s="6">
        <f t="shared" si="43"/>
        <v>-0.79790000000000005</v>
      </c>
      <c r="O58" s="11"/>
      <c r="P58" s="7">
        <v>-4441.42</v>
      </c>
      <c r="Q58" s="2"/>
      <c r="R58" s="6">
        <f t="shared" si="44"/>
        <v>0</v>
      </c>
      <c r="S58" s="2"/>
      <c r="T58" s="7">
        <v>1200</v>
      </c>
      <c r="U58" s="2"/>
      <c r="V58" s="6">
        <f t="shared" si="45"/>
        <v>0</v>
      </c>
      <c r="W58" s="2"/>
      <c r="X58" s="7">
        <f t="shared" si="46"/>
        <v>-5641.42</v>
      </c>
      <c r="Y58" s="2"/>
      <c r="Z58" s="6">
        <f t="shared" si="47"/>
        <v>-4.7011833333333337</v>
      </c>
    </row>
    <row r="59" spans="1:26" s="27" customFormat="1" outlineLevel="1" collapsed="1" x14ac:dyDescent="0.25">
      <c r="A59" s="29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SUM(OSRRefD22_9x_0)</f>
        <v>844.29</v>
      </c>
      <c r="E59" s="1"/>
      <c r="F59" s="5">
        <f t="shared" si="40"/>
        <v>0</v>
      </c>
      <c r="G59" s="1"/>
      <c r="H59" s="1">
        <f>SUM(OSRRefH22_9x_0)</f>
        <v>395</v>
      </c>
      <c r="I59" s="1"/>
      <c r="J59" s="5">
        <f t="shared" si="41"/>
        <v>0</v>
      </c>
      <c r="K59" s="1"/>
      <c r="L59" s="1">
        <f t="shared" si="42"/>
        <v>449.28999999999996</v>
      </c>
      <c r="M59" s="1"/>
      <c r="N59" s="5">
        <f t="shared" si="43"/>
        <v>1.1374430379746834</v>
      </c>
      <c r="O59" s="14"/>
      <c r="P59" s="1">
        <f>SUM(OSRRefP22_9x_0)</f>
        <v>3366.48</v>
      </c>
      <c r="Q59" s="1"/>
      <c r="R59" s="5">
        <f t="shared" si="44"/>
        <v>0</v>
      </c>
      <c r="S59" s="1"/>
      <c r="T59" s="1">
        <f>SUM(OSRRefT22_9x_0)</f>
        <v>1580</v>
      </c>
      <c r="U59" s="1"/>
      <c r="V59" s="5">
        <f t="shared" si="45"/>
        <v>0</v>
      </c>
      <c r="W59" s="1"/>
      <c r="X59" s="1">
        <f t="shared" si="46"/>
        <v>1786.48</v>
      </c>
      <c r="Y59" s="1"/>
      <c r="Z59" s="5">
        <f t="shared" si="47"/>
        <v>1.1306835443037975</v>
      </c>
    </row>
    <row r="60" spans="1:26" s="24" customFormat="1" hidden="1" outlineLevel="2" x14ac:dyDescent="0.25">
      <c r="A60" s="28"/>
      <c r="B60" s="11" t="str">
        <f>CONCATENATE("          ", "6303", " - ", "DATA PHONE LINES")</f>
        <v xml:space="preserve">          6303 - DATA PHONE LINES</v>
      </c>
      <c r="C60" s="11"/>
      <c r="D60" s="7">
        <v>143.97999999999999</v>
      </c>
      <c r="E60" s="2"/>
      <c r="F60" s="6">
        <f t="shared" si="40"/>
        <v>0</v>
      </c>
      <c r="G60" s="2"/>
      <c r="H60" s="7">
        <v>335</v>
      </c>
      <c r="I60" s="2"/>
      <c r="J60" s="6">
        <f t="shared" si="41"/>
        <v>0</v>
      </c>
      <c r="K60" s="2"/>
      <c r="L60" s="7">
        <f t="shared" si="42"/>
        <v>-191.02</v>
      </c>
      <c r="M60" s="2"/>
      <c r="N60" s="6">
        <f t="shared" si="43"/>
        <v>-0.5702089552238806</v>
      </c>
      <c r="O60" s="11"/>
      <c r="P60" s="7">
        <v>380.95</v>
      </c>
      <c r="Q60" s="2"/>
      <c r="R60" s="6">
        <f t="shared" si="44"/>
        <v>0</v>
      </c>
      <c r="S60" s="2"/>
      <c r="T60" s="7">
        <v>1340</v>
      </c>
      <c r="U60" s="2"/>
      <c r="V60" s="6">
        <f t="shared" si="45"/>
        <v>0</v>
      </c>
      <c r="W60" s="2"/>
      <c r="X60" s="7">
        <f t="shared" si="46"/>
        <v>-959.05</v>
      </c>
      <c r="Y60" s="2"/>
      <c r="Z60" s="6">
        <f t="shared" si="47"/>
        <v>-0.71570895522388056</v>
      </c>
    </row>
    <row r="61" spans="1:26" s="24" customFormat="1" hidden="1" outlineLevel="2" x14ac:dyDescent="0.25">
      <c r="A61" s="28"/>
      <c r="B61" s="11" t="str">
        <f>CONCATENATE("          ", "6309", " - ", "TELEPHONE")</f>
        <v xml:space="preserve">          6309 - TELEPHONE</v>
      </c>
      <c r="C61" s="11"/>
      <c r="D61" s="7">
        <v>700.31</v>
      </c>
      <c r="E61" s="2"/>
      <c r="F61" s="6">
        <f t="shared" si="40"/>
        <v>0</v>
      </c>
      <c r="G61" s="2"/>
      <c r="H61" s="7">
        <v>60</v>
      </c>
      <c r="I61" s="2"/>
      <c r="J61" s="6">
        <f t="shared" si="41"/>
        <v>0</v>
      </c>
      <c r="K61" s="2"/>
      <c r="L61" s="7">
        <f t="shared" si="42"/>
        <v>640.30999999999995</v>
      </c>
      <c r="M61" s="2"/>
      <c r="N61" s="6">
        <f t="shared" si="43"/>
        <v>10.671833333333332</v>
      </c>
      <c r="O61" s="11"/>
      <c r="P61" s="7">
        <v>2985.53</v>
      </c>
      <c r="Q61" s="2"/>
      <c r="R61" s="6">
        <f t="shared" si="44"/>
        <v>0</v>
      </c>
      <c r="S61" s="2"/>
      <c r="T61" s="7">
        <v>240</v>
      </c>
      <c r="U61" s="2"/>
      <c r="V61" s="6">
        <f t="shared" si="45"/>
        <v>0</v>
      </c>
      <c r="W61" s="2"/>
      <c r="X61" s="7">
        <f t="shared" si="46"/>
        <v>2745.53</v>
      </c>
      <c r="Y61" s="2"/>
      <c r="Z61" s="6">
        <f t="shared" si="47"/>
        <v>11.439708333333334</v>
      </c>
    </row>
    <row r="62" spans="1:26" s="27" customFormat="1" outlineLevel="1" collapsed="1" x14ac:dyDescent="0.25">
      <c r="A62" s="29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SUM(OSRRefD22_10x_0)</f>
        <v>0</v>
      </c>
      <c r="E62" s="1"/>
      <c r="F62" s="5">
        <f t="shared" ref="F62:F63" si="48">IF(D$12=0,0,D62/D$12)</f>
        <v>0</v>
      </c>
      <c r="G62" s="1"/>
      <c r="H62" s="1">
        <f>SUM(OSRRefH22_10x_0)</f>
        <v>625</v>
      </c>
      <c r="I62" s="1"/>
      <c r="J62" s="5">
        <f t="shared" ref="J62:J63" si="49">IF(H$12=0,0,H62/H$12)</f>
        <v>0</v>
      </c>
      <c r="K62" s="1"/>
      <c r="L62" s="1">
        <f t="shared" ref="L62:L63" si="50">+D62-H62</f>
        <v>-625</v>
      </c>
      <c r="M62" s="1"/>
      <c r="N62" s="5">
        <f t="shared" ref="N62:N63" si="51">IF(H62=0,0,L62/H62)</f>
        <v>-1</v>
      </c>
      <c r="O62" s="14"/>
      <c r="P62" s="1">
        <f>SUM(OSRRefP22_10x_0)</f>
        <v>0</v>
      </c>
      <c r="Q62" s="1"/>
      <c r="R62" s="5">
        <f t="shared" ref="R62:R63" si="52">IF(P$12=0,0,P62/P$12)</f>
        <v>0</v>
      </c>
      <c r="S62" s="1"/>
      <c r="T62" s="1">
        <f>SUM(OSRRefT22_10x_0)</f>
        <v>2500</v>
      </c>
      <c r="U62" s="1"/>
      <c r="V62" s="5">
        <f t="shared" ref="V62:V63" si="53">IF(T$12=0,0,T62/T$12)</f>
        <v>0</v>
      </c>
      <c r="W62" s="1"/>
      <c r="X62" s="1">
        <f t="shared" ref="X62:X63" si="54">+P62-T62</f>
        <v>-2500</v>
      </c>
      <c r="Y62" s="1"/>
      <c r="Z62" s="5">
        <f t="shared" ref="Z62:Z63" si="55">IF(T62=0,0,X62/T62)</f>
        <v>-1</v>
      </c>
    </row>
    <row r="63" spans="1:26" s="24" customFormat="1" hidden="1" outlineLevel="2" x14ac:dyDescent="0.25">
      <c r="A63" s="28"/>
      <c r="B63" s="11" t="str">
        <f>CONCATENATE("          ", "6292", " - ", "TRAVEL/CONFERENCE")</f>
        <v xml:space="preserve">          6292 - TRAVEL/CONFERENCE</v>
      </c>
      <c r="C63" s="11"/>
      <c r="D63" s="7"/>
      <c r="E63" s="2"/>
      <c r="F63" s="6">
        <f t="shared" si="48"/>
        <v>0</v>
      </c>
      <c r="G63" s="2"/>
      <c r="H63" s="7">
        <v>625</v>
      </c>
      <c r="I63" s="2"/>
      <c r="J63" s="6">
        <f t="shared" si="49"/>
        <v>0</v>
      </c>
      <c r="K63" s="2"/>
      <c r="L63" s="7">
        <f t="shared" si="50"/>
        <v>-625</v>
      </c>
      <c r="M63" s="2"/>
      <c r="N63" s="6">
        <f t="shared" si="51"/>
        <v>-1</v>
      </c>
      <c r="O63" s="11"/>
      <c r="P63" s="7"/>
      <c r="Q63" s="2"/>
      <c r="R63" s="6">
        <f t="shared" si="52"/>
        <v>0</v>
      </c>
      <c r="S63" s="2"/>
      <c r="T63" s="7">
        <v>2500</v>
      </c>
      <c r="U63" s="2"/>
      <c r="V63" s="6">
        <f t="shared" si="53"/>
        <v>0</v>
      </c>
      <c r="W63" s="2"/>
      <c r="X63" s="7">
        <f t="shared" si="54"/>
        <v>-2500</v>
      </c>
      <c r="Y63" s="2"/>
      <c r="Z63" s="6">
        <f t="shared" si="55"/>
        <v>-1</v>
      </c>
    </row>
    <row r="64" spans="1:26" s="63" customFormat="1" x14ac:dyDescent="0.25">
      <c r="A64" s="36"/>
      <c r="B64" s="36"/>
      <c r="C64" s="36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5" t="s">
        <v>0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6" t="s">
        <v>3</v>
      </c>
      <c r="C67" s="26"/>
      <c r="D67" s="20">
        <f>+D16-D18+D65</f>
        <v>-60340.259999999995</v>
      </c>
      <c r="E67" s="13"/>
      <c r="F67" s="19">
        <f>IF(D$12=0,0,D67/D$12)</f>
        <v>0</v>
      </c>
      <c r="G67" s="13"/>
      <c r="H67" s="20">
        <f>+H16-H18+H65</f>
        <v>-58193.278538461578</v>
      </c>
      <c r="I67" s="13"/>
      <c r="J67" s="19">
        <f>IF(H$12=0,0,H67/H$12)</f>
        <v>0</v>
      </c>
      <c r="K67" s="15"/>
      <c r="L67" s="20">
        <f>+D67-H67</f>
        <v>-2146.9814615384166</v>
      </c>
      <c r="M67" s="15"/>
      <c r="N67" s="19">
        <f>IF(H67=0,0,L67/H67)</f>
        <v>3.6893976683568634E-2</v>
      </c>
      <c r="O67" s="25"/>
      <c r="P67" s="20">
        <f>+P16-P18+P65</f>
        <v>-211107.58</v>
      </c>
      <c r="Q67" s="13"/>
      <c r="R67" s="19">
        <f>IF(P$12=0,0,P67/P$12)</f>
        <v>0</v>
      </c>
      <c r="S67" s="13"/>
      <c r="T67" s="20">
        <f>+T16-T18+T65</f>
        <v>-211650.76815384618</v>
      </c>
      <c r="U67" s="13"/>
      <c r="V67" s="19">
        <f>IF(T$12=0,0,T67/T$12)</f>
        <v>0</v>
      </c>
      <c r="W67" s="15"/>
      <c r="X67" s="20">
        <f>+P67-T67</f>
        <v>543.18815384618938</v>
      </c>
      <c r="Y67" s="15"/>
      <c r="Z67" s="19">
        <f>IF(T67=0,0,X67/T67)</f>
        <v>-2.5664360143089725E-3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2"/>
      <c r="B69" s="10" t="s">
        <v>14</v>
      </c>
      <c r="C69" s="10"/>
      <c r="D69" s="4"/>
      <c r="E69" s="4"/>
      <c r="F69" s="12">
        <f>IF(D$12=0,0,D69/D$12)</f>
        <v>0</v>
      </c>
      <c r="G69" s="4"/>
      <c r="H69" s="4"/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/>
      <c r="Q69" s="4"/>
      <c r="R69" s="12">
        <f>IF(P$12=0,0,P69/P$12)</f>
        <v>0</v>
      </c>
      <c r="S69" s="4"/>
      <c r="T69" s="4"/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6" t="s">
        <v>4</v>
      </c>
      <c r="C71" s="26"/>
      <c r="D71" s="34">
        <f>+D67-D69</f>
        <v>-60340.259999999995</v>
      </c>
      <c r="E71" s="13"/>
      <c r="F71" s="35">
        <f>IF(D$12=0,0,D71/D$12)</f>
        <v>0</v>
      </c>
      <c r="G71" s="13"/>
      <c r="H71" s="34">
        <f>+H67-H69</f>
        <v>-58193.278538461578</v>
      </c>
      <c r="I71" s="13"/>
      <c r="J71" s="35">
        <f>IF(H$12=0,0,H71/H$12)</f>
        <v>0</v>
      </c>
      <c r="K71" s="15"/>
      <c r="L71" s="34">
        <f>D71-H71</f>
        <v>-2146.9814615384166</v>
      </c>
      <c r="M71" s="15"/>
      <c r="N71" s="35">
        <f>IF(H71=0,0,L71/H71)</f>
        <v>3.6893976683568634E-2</v>
      </c>
      <c r="O71" s="25"/>
      <c r="P71" s="34">
        <f>+P67-P69</f>
        <v>-211107.58</v>
      </c>
      <c r="Q71" s="13"/>
      <c r="R71" s="35">
        <f>IF(P$12=0,0,P71/P$12)</f>
        <v>0</v>
      </c>
      <c r="S71" s="13"/>
      <c r="T71" s="34">
        <f>+T67-T69</f>
        <v>-211650.76815384618</v>
      </c>
      <c r="U71" s="13"/>
      <c r="V71" s="35">
        <f>IF(T$12=0,0,T71/T$12)</f>
        <v>0</v>
      </c>
      <c r="W71" s="15"/>
      <c r="X71" s="34">
        <f>P71-T71</f>
        <v>543.18815384618938</v>
      </c>
      <c r="Y71" s="15"/>
      <c r="Z71" s="35">
        <f>IF(T71=0,0,X71/T71)</f>
        <v>-2.5664360143089725E-3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5</v>
      </c>
      <c r="C74" s="26"/>
      <c r="D74" s="30">
        <f>SUM(D71:D73)</f>
        <v>-60340.259999999995</v>
      </c>
      <c r="E74" s="13"/>
      <c r="F74" s="32">
        <f>IF(D$12=0,0,D74/D$12)</f>
        <v>0</v>
      </c>
      <c r="G74" s="13"/>
      <c r="H74" s="30">
        <f>SUM(H71:H73)</f>
        <v>-58193.278538461578</v>
      </c>
      <c r="I74" s="13"/>
      <c r="J74" s="32">
        <f>IF(H$12=0,0,H74/H$12)</f>
        <v>0</v>
      </c>
      <c r="K74" s="15"/>
      <c r="L74" s="30">
        <f>+D74-H74</f>
        <v>-2146.9814615384166</v>
      </c>
      <c r="M74" s="15"/>
      <c r="N74" s="32">
        <f>IF(H74=0,0,L74/H74)</f>
        <v>3.6893976683568634E-2</v>
      </c>
      <c r="O74" s="25"/>
      <c r="P74" s="30">
        <f>SUM(P71:P73)</f>
        <v>-211107.58</v>
      </c>
      <c r="Q74" s="13"/>
      <c r="R74" s="32">
        <f>IF(P$12=0,0,P74/P$12)</f>
        <v>0</v>
      </c>
      <c r="S74" s="13"/>
      <c r="T74" s="30">
        <f>SUM(T71:T73)</f>
        <v>-211650.76815384618</v>
      </c>
      <c r="U74" s="13"/>
      <c r="V74" s="32">
        <f>IF(T$12=0,0,T74/T$12)</f>
        <v>0</v>
      </c>
      <c r="W74" s="15"/>
      <c r="X74" s="30">
        <f>+P74-T74</f>
        <v>543.18815384618938</v>
      </c>
      <c r="Y74" s="15"/>
      <c r="Z74" s="32">
        <f>IF(T74=0,0,X74/T74)</f>
        <v>-2.5664360143089725E-3</v>
      </c>
    </row>
    <row r="75" spans="1:26" ht="15.75" thickTop="1" x14ac:dyDescent="0.25">
      <c r="A75" s="9"/>
      <c r="C75" s="9"/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60">
        <v>44151.568074733797</v>
      </c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A77" s="9"/>
      <c r="B77" s="58" t="s">
        <v>314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53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","205", " - ", "Maintenance")</f>
        <v>Department 205 - Maintenance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9324.8100000000013</v>
      </c>
      <c r="E18" s="21"/>
      <c r="F18" s="31">
        <f t="shared" ref="F18:F28" si="0">IF(D$12=0,0,D18/D$12)</f>
        <v>0</v>
      </c>
      <c r="G18" s="21"/>
      <c r="H18" s="21">
        <f>SUM(OSRRefH22x_0)</f>
        <v>8381.0651923076912</v>
      </c>
      <c r="I18" s="21"/>
      <c r="J18" s="31">
        <f t="shared" ref="J18:J28" si="1">IF(H$12=0,0,H18/H$12)</f>
        <v>0</v>
      </c>
      <c r="K18" s="4"/>
      <c r="L18" s="21">
        <f t="shared" ref="L18:L28" si="2">+D18-H18</f>
        <v>943.74480769231013</v>
      </c>
      <c r="M18" s="4"/>
      <c r="N18" s="31">
        <f t="shared" ref="N18:N28" si="3">IF(H18=0,0,L18/H18)</f>
        <v>0.11260439884878809</v>
      </c>
      <c r="O18" s="10"/>
      <c r="P18" s="21">
        <f>SUM(OSRRefP22x_0)</f>
        <v>33452.769999999997</v>
      </c>
      <c r="Q18" s="21"/>
      <c r="R18" s="31">
        <f t="shared" ref="R18:R28" si="4">IF(P$12=0,0,P18/P$12)</f>
        <v>0</v>
      </c>
      <c r="S18" s="21"/>
      <c r="T18" s="21">
        <f>SUM(OSRRefT22x_0)</f>
        <v>36192.634692307693</v>
      </c>
      <c r="U18" s="21"/>
      <c r="V18" s="31">
        <f t="shared" ref="V18:V28" si="5">IF(T$12=0,0,T18/T$12)</f>
        <v>0</v>
      </c>
      <c r="W18" s="4"/>
      <c r="X18" s="21">
        <f t="shared" ref="X18:X28" si="6">+P18-T18</f>
        <v>-2739.8646923076958</v>
      </c>
      <c r="Y18" s="4"/>
      <c r="Z18" s="31">
        <f t="shared" ref="Z18:Z28" si="7">IF(T18=0,0,X18/T18)</f>
        <v>-7.5702272454069811E-2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2395.64</v>
      </c>
      <c r="E19" s="1"/>
      <c r="F19" s="5">
        <f t="shared" si="0"/>
        <v>0</v>
      </c>
      <c r="G19" s="1"/>
      <c r="H19" s="1">
        <f>SUM(OSRRefH22_0x_0)</f>
        <v>2281.5651923076921</v>
      </c>
      <c r="I19" s="1"/>
      <c r="J19" s="5">
        <f t="shared" si="1"/>
        <v>0</v>
      </c>
      <c r="K19" s="1"/>
      <c r="L19" s="1">
        <f t="shared" si="2"/>
        <v>114.07480769230779</v>
      </c>
      <c r="M19" s="1"/>
      <c r="N19" s="5">
        <f t="shared" si="3"/>
        <v>4.9998487037281047E-2</v>
      </c>
      <c r="O19" s="14"/>
      <c r="P19" s="1">
        <f>SUM(OSRRefP22_0x_0)</f>
        <v>9649.56</v>
      </c>
      <c r="Q19" s="1"/>
      <c r="R19" s="5">
        <f t="shared" si="4"/>
        <v>0</v>
      </c>
      <c r="S19" s="1"/>
      <c r="T19" s="1">
        <f>SUM(OSRRefT22_0x_0)</f>
        <v>8213.6346923076926</v>
      </c>
      <c r="U19" s="1"/>
      <c r="V19" s="5">
        <f t="shared" si="5"/>
        <v>0</v>
      </c>
      <c r="W19" s="1"/>
      <c r="X19" s="1">
        <f t="shared" si="6"/>
        <v>1435.9253076923069</v>
      </c>
      <c r="Y19" s="1"/>
      <c r="Z19" s="5">
        <f t="shared" si="7"/>
        <v>0.17482215383124997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473.76</v>
      </c>
      <c r="E20" s="2"/>
      <c r="F20" s="6">
        <f t="shared" si="0"/>
        <v>0</v>
      </c>
      <c r="G20" s="2"/>
      <c r="H20" s="7">
        <v>401.78250000000003</v>
      </c>
      <c r="I20" s="2"/>
      <c r="J20" s="6">
        <f t="shared" si="1"/>
        <v>0</v>
      </c>
      <c r="K20" s="2"/>
      <c r="L20" s="7">
        <f t="shared" si="2"/>
        <v>71.977499999999964</v>
      </c>
      <c r="M20" s="2"/>
      <c r="N20" s="6">
        <f t="shared" si="3"/>
        <v>0.17914543316346521</v>
      </c>
      <c r="O20" s="11"/>
      <c r="P20" s="7">
        <v>1424</v>
      </c>
      <c r="Q20" s="2"/>
      <c r="R20" s="6">
        <f t="shared" si="4"/>
        <v>0</v>
      </c>
      <c r="S20" s="2"/>
      <c r="T20" s="7">
        <v>1446.4169999999999</v>
      </c>
      <c r="U20" s="2"/>
      <c r="V20" s="6">
        <f t="shared" si="5"/>
        <v>0</v>
      </c>
      <c r="W20" s="2"/>
      <c r="X20" s="7">
        <f t="shared" si="6"/>
        <v>-22.416999999999916</v>
      </c>
      <c r="Y20" s="2"/>
      <c r="Z20" s="6">
        <f t="shared" si="7"/>
        <v>-1.5498296825880723E-2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286.13</v>
      </c>
      <c r="E21" s="2"/>
      <c r="F21" s="6">
        <f t="shared" si="0"/>
        <v>0</v>
      </c>
      <c r="G21" s="2"/>
      <c r="H21" s="7">
        <v>363.82499999999999</v>
      </c>
      <c r="I21" s="2"/>
      <c r="J21" s="6">
        <f t="shared" si="1"/>
        <v>0</v>
      </c>
      <c r="K21" s="2"/>
      <c r="L21" s="7">
        <f t="shared" si="2"/>
        <v>-77.694999999999993</v>
      </c>
      <c r="M21" s="2"/>
      <c r="N21" s="6">
        <f t="shared" si="3"/>
        <v>-0.21355047069332783</v>
      </c>
      <c r="O21" s="11"/>
      <c r="P21" s="7">
        <v>1146.98</v>
      </c>
      <c r="Q21" s="2"/>
      <c r="R21" s="6">
        <f t="shared" si="4"/>
        <v>0</v>
      </c>
      <c r="S21" s="2"/>
      <c r="T21" s="7">
        <v>1309.77</v>
      </c>
      <c r="U21" s="2"/>
      <c r="V21" s="6">
        <f t="shared" si="5"/>
        <v>0</v>
      </c>
      <c r="W21" s="2"/>
      <c r="X21" s="7">
        <f t="shared" si="6"/>
        <v>-162.78999999999996</v>
      </c>
      <c r="Y21" s="2"/>
      <c r="Z21" s="6">
        <f t="shared" si="7"/>
        <v>-0.12428899730487029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6">
        <f t="shared" si="0"/>
        <v>0</v>
      </c>
      <c r="G22" s="2"/>
      <c r="H22" s="7">
        <v>767.30769230769204</v>
      </c>
      <c r="I22" s="2"/>
      <c r="J22" s="6">
        <f t="shared" si="1"/>
        <v>0</v>
      </c>
      <c r="K22" s="2"/>
      <c r="L22" s="7">
        <f t="shared" si="2"/>
        <v>-71.147692307692068</v>
      </c>
      <c r="M22" s="2"/>
      <c r="N22" s="6">
        <f t="shared" si="3"/>
        <v>-9.272380952380925E-2</v>
      </c>
      <c r="O22" s="11"/>
      <c r="P22" s="7">
        <v>2784.64</v>
      </c>
      <c r="Q22" s="2"/>
      <c r="R22" s="6">
        <f t="shared" si="4"/>
        <v>0</v>
      </c>
      <c r="S22" s="2"/>
      <c r="T22" s="7">
        <v>2762.3076923076919</v>
      </c>
      <c r="U22" s="2"/>
      <c r="V22" s="6">
        <f t="shared" si="5"/>
        <v>0</v>
      </c>
      <c r="W22" s="2"/>
      <c r="X22" s="7">
        <f t="shared" si="6"/>
        <v>22.33230769230795</v>
      </c>
      <c r="Y22" s="2"/>
      <c r="Z22" s="6">
        <f t="shared" si="7"/>
        <v>8.0846560846561787E-3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10.74</v>
      </c>
      <c r="E23" s="2"/>
      <c r="F23" s="6">
        <f t="shared" si="0"/>
        <v>0</v>
      </c>
      <c r="G23" s="2"/>
      <c r="H23" s="7">
        <v>13.65</v>
      </c>
      <c r="I23" s="2"/>
      <c r="J23" s="6">
        <f t="shared" si="1"/>
        <v>0</v>
      </c>
      <c r="K23" s="2"/>
      <c r="L23" s="7">
        <f t="shared" si="2"/>
        <v>-2.91</v>
      </c>
      <c r="M23" s="2"/>
      <c r="N23" s="6">
        <f t="shared" si="3"/>
        <v>-0.21318681318681318</v>
      </c>
      <c r="O23" s="11"/>
      <c r="P23" s="7">
        <v>43.05</v>
      </c>
      <c r="Q23" s="2"/>
      <c r="R23" s="6">
        <f t="shared" si="4"/>
        <v>0</v>
      </c>
      <c r="S23" s="2"/>
      <c r="T23" s="7">
        <v>49.14</v>
      </c>
      <c r="U23" s="2"/>
      <c r="V23" s="6">
        <f t="shared" si="5"/>
        <v>0</v>
      </c>
      <c r="W23" s="2"/>
      <c r="X23" s="7">
        <f t="shared" si="6"/>
        <v>-6.0900000000000034</v>
      </c>
      <c r="Y23" s="2"/>
      <c r="Z23" s="6">
        <f t="shared" si="7"/>
        <v>-0.123931623931624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463.27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463.27</v>
      </c>
      <c r="M24" s="2"/>
      <c r="N24" s="6">
        <f t="shared" si="3"/>
        <v>0</v>
      </c>
      <c r="O24" s="11"/>
      <c r="P24" s="7">
        <v>2084.7199999999998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2084.7199999999998</v>
      </c>
      <c r="Y24" s="2"/>
      <c r="Z24" s="6">
        <f t="shared" si="7"/>
        <v>0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525</v>
      </c>
      <c r="I26" s="2"/>
      <c r="J26" s="6">
        <f t="shared" si="1"/>
        <v>0</v>
      </c>
      <c r="K26" s="2"/>
      <c r="L26" s="7">
        <f t="shared" si="2"/>
        <v>-525</v>
      </c>
      <c r="M26" s="2"/>
      <c r="N26" s="6">
        <f t="shared" si="3"/>
        <v>-1</v>
      </c>
      <c r="O26" s="11"/>
      <c r="P26" s="7">
        <v>645.98</v>
      </c>
      <c r="Q26" s="2"/>
      <c r="R26" s="6">
        <f t="shared" si="4"/>
        <v>0</v>
      </c>
      <c r="S26" s="2"/>
      <c r="T26" s="7">
        <v>1890</v>
      </c>
      <c r="U26" s="2"/>
      <c r="V26" s="6">
        <f t="shared" si="5"/>
        <v>0</v>
      </c>
      <c r="W26" s="2"/>
      <c r="X26" s="7">
        <f t="shared" si="6"/>
        <v>-1244.02</v>
      </c>
      <c r="Y26" s="2"/>
      <c r="Z26" s="6">
        <f t="shared" si="7"/>
        <v>-0.65821164021164025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290.58</v>
      </c>
      <c r="E27" s="2"/>
      <c r="F27" s="6">
        <f t="shared" si="0"/>
        <v>0</v>
      </c>
      <c r="G27" s="2"/>
      <c r="H27" s="7">
        <v>210</v>
      </c>
      <c r="I27" s="2"/>
      <c r="J27" s="6">
        <f t="shared" si="1"/>
        <v>0</v>
      </c>
      <c r="K27" s="2"/>
      <c r="L27" s="7">
        <f t="shared" si="2"/>
        <v>80.579999999999984</v>
      </c>
      <c r="M27" s="2"/>
      <c r="N27" s="6">
        <f t="shared" si="3"/>
        <v>0.38371428571428562</v>
      </c>
      <c r="O27" s="11"/>
      <c r="P27" s="7">
        <v>871.74</v>
      </c>
      <c r="Q27" s="2"/>
      <c r="R27" s="6">
        <f t="shared" si="4"/>
        <v>0</v>
      </c>
      <c r="S27" s="2"/>
      <c r="T27" s="7">
        <v>756</v>
      </c>
      <c r="U27" s="2"/>
      <c r="V27" s="6">
        <f t="shared" si="5"/>
        <v>0</v>
      </c>
      <c r="W27" s="2"/>
      <c r="X27" s="7">
        <f t="shared" si="6"/>
        <v>115.74000000000001</v>
      </c>
      <c r="Y27" s="2"/>
      <c r="Z27" s="6">
        <f t="shared" si="7"/>
        <v>0.15309523809523812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>
        <v>175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175</v>
      </c>
      <c r="M28" s="2"/>
      <c r="N28" s="6">
        <f t="shared" si="3"/>
        <v>0</v>
      </c>
      <c r="O28" s="11"/>
      <c r="P28" s="7">
        <v>648.45000000000005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648.45000000000005</v>
      </c>
      <c r="Y28" s="2"/>
      <c r="Z28" s="6">
        <f t="shared" si="7"/>
        <v>0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5249.61</v>
      </c>
      <c r="E29" s="1"/>
      <c r="F29" s="5">
        <f t="shared" ref="F29:F39" si="8">IF(D$12=0,0,D29/D$12)</f>
        <v>0</v>
      </c>
      <c r="G29" s="1"/>
      <c r="H29" s="1">
        <f>SUM(OSRRefH22_1x_0)</f>
        <v>4672.5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577.10999999999967</v>
      </c>
      <c r="M29" s="1"/>
      <c r="N29" s="5">
        <f t="shared" ref="N29:N39" si="11">IF(H29=0,0,L29/H29)</f>
        <v>0.12351203852327441</v>
      </c>
      <c r="O29" s="14"/>
      <c r="P29" s="1">
        <f>SUM(OSRRefP22_1x_0)</f>
        <v>18268.86</v>
      </c>
      <c r="Q29" s="1"/>
      <c r="R29" s="5">
        <f t="shared" ref="R29:R39" si="12">IF(P$12=0,0,P29/P$12)</f>
        <v>0</v>
      </c>
      <c r="S29" s="1"/>
      <c r="T29" s="1">
        <f>SUM(OSRRefT22_1x_0)</f>
        <v>16821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1447.8600000000006</v>
      </c>
      <c r="Y29" s="1"/>
      <c r="Z29" s="5">
        <f t="shared" ref="Z29:Z39" si="15">IF(T29=0,0,X29/T29)</f>
        <v>8.6074549670055317E-2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7">
        <v>5249.61</v>
      </c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5249.61</v>
      </c>
      <c r="M31" s="2"/>
      <c r="N31" s="6">
        <f t="shared" si="11"/>
        <v>0</v>
      </c>
      <c r="O31" s="11"/>
      <c r="P31" s="7">
        <v>18268.86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18268.86</v>
      </c>
      <c r="Y31" s="2"/>
      <c r="Z31" s="6">
        <f t="shared" si="15"/>
        <v>0</v>
      </c>
    </row>
    <row r="32" spans="1:26" s="24" customFormat="1" hidden="1" outlineLevel="2" x14ac:dyDescent="0.25">
      <c r="A32" s="28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4672.5</v>
      </c>
      <c r="I33" s="2"/>
      <c r="J33" s="6">
        <f t="shared" si="9"/>
        <v>0</v>
      </c>
      <c r="K33" s="2"/>
      <c r="L33" s="7">
        <f t="shared" si="10"/>
        <v>-4672.5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16821</v>
      </c>
      <c r="U33" s="2"/>
      <c r="V33" s="6">
        <f t="shared" si="13"/>
        <v>0</v>
      </c>
      <c r="W33" s="2"/>
      <c r="X33" s="7">
        <f t="shared" si="14"/>
        <v>-16821</v>
      </c>
      <c r="Y33" s="2"/>
      <c r="Z33" s="6">
        <f t="shared" si="15"/>
        <v>-1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8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8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9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-150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150</v>
      </c>
      <c r="M40" s="1"/>
      <c r="N40" s="5">
        <f t="shared" ref="N40:N46" si="19">IF(H40=0,0,L40/H40)</f>
        <v>-1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-300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300</v>
      </c>
      <c r="Y40" s="1"/>
      <c r="Z40" s="5">
        <f t="shared" ref="Z40:Z46" si="23">IF(T40=0,0,X40/T40)</f>
        <v>-1</v>
      </c>
    </row>
    <row r="41" spans="1:26" s="24" customFormat="1" hidden="1" outlineLevel="2" x14ac:dyDescent="0.25">
      <c r="A41" s="28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>
        <v>-150</v>
      </c>
      <c r="I41" s="2"/>
      <c r="J41" s="6">
        <f t="shared" si="17"/>
        <v>0</v>
      </c>
      <c r="K41" s="2"/>
      <c r="L41" s="7">
        <f t="shared" si="18"/>
        <v>150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-300</v>
      </c>
      <c r="U41" s="2"/>
      <c r="V41" s="6">
        <f t="shared" si="21"/>
        <v>0</v>
      </c>
      <c r="W41" s="2"/>
      <c r="X41" s="7">
        <f t="shared" si="22"/>
        <v>300</v>
      </c>
      <c r="Y41" s="2"/>
      <c r="Z41" s="6">
        <f t="shared" si="23"/>
        <v>-1</v>
      </c>
    </row>
    <row r="42" spans="1:26" s="27" customFormat="1" outlineLevel="1" collapsed="1" x14ac:dyDescent="0.25">
      <c r="A42" s="29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27</v>
      </c>
      <c r="I42" s="1"/>
      <c r="J42" s="5">
        <f t="shared" si="17"/>
        <v>0</v>
      </c>
      <c r="K42" s="1"/>
      <c r="L42" s="1">
        <f t="shared" si="18"/>
        <v>-2.4400000000000013</v>
      </c>
      <c r="M42" s="1"/>
      <c r="N42" s="5">
        <f t="shared" si="19"/>
        <v>-9.037037037037042E-2</v>
      </c>
      <c r="O42" s="14"/>
      <c r="P42" s="1">
        <f>SUM(OSRRefP22_3x_0)</f>
        <v>98.24</v>
      </c>
      <c r="Q42" s="1"/>
      <c r="R42" s="5">
        <f t="shared" si="20"/>
        <v>0</v>
      </c>
      <c r="S42" s="1"/>
      <c r="T42" s="1">
        <f>SUM(OSRRefT22_3x_0)</f>
        <v>108</v>
      </c>
      <c r="U42" s="1"/>
      <c r="V42" s="5">
        <f t="shared" si="21"/>
        <v>0</v>
      </c>
      <c r="W42" s="1"/>
      <c r="X42" s="1">
        <f t="shared" si="22"/>
        <v>-9.7600000000000051</v>
      </c>
      <c r="Y42" s="1"/>
      <c r="Z42" s="5">
        <f t="shared" si="23"/>
        <v>-9.037037037037042E-2</v>
      </c>
    </row>
    <row r="43" spans="1:26" s="24" customFormat="1" hidden="1" outlineLevel="2" x14ac:dyDescent="0.25">
      <c r="A43" s="28"/>
      <c r="B43" s="11" t="str">
        <f>CONCATENATE("          ", "6314", " - ", "LIABILITY INSURANCE")</f>
        <v xml:space="preserve">          6314 - LIABILITY INSURANCE</v>
      </c>
      <c r="C43" s="11"/>
      <c r="D43" s="7">
        <v>24.56</v>
      </c>
      <c r="E43" s="2"/>
      <c r="F43" s="6">
        <f t="shared" si="16"/>
        <v>0</v>
      </c>
      <c r="G43" s="2"/>
      <c r="H43" s="7">
        <v>27</v>
      </c>
      <c r="I43" s="2"/>
      <c r="J43" s="6">
        <f t="shared" si="17"/>
        <v>0</v>
      </c>
      <c r="K43" s="2"/>
      <c r="L43" s="7">
        <f t="shared" si="18"/>
        <v>-2.4400000000000013</v>
      </c>
      <c r="M43" s="2"/>
      <c r="N43" s="6">
        <f t="shared" si="19"/>
        <v>-9.037037037037042E-2</v>
      </c>
      <c r="O43" s="11"/>
      <c r="P43" s="7">
        <v>98.24</v>
      </c>
      <c r="Q43" s="2"/>
      <c r="R43" s="6">
        <f t="shared" si="20"/>
        <v>0</v>
      </c>
      <c r="S43" s="2"/>
      <c r="T43" s="7">
        <v>108</v>
      </c>
      <c r="U43" s="2"/>
      <c r="V43" s="6">
        <f t="shared" si="21"/>
        <v>0</v>
      </c>
      <c r="W43" s="2"/>
      <c r="X43" s="7">
        <f t="shared" si="22"/>
        <v>-9.7600000000000051</v>
      </c>
      <c r="Y43" s="2"/>
      <c r="Z43" s="6">
        <f t="shared" si="23"/>
        <v>-9.037037037037042E-2</v>
      </c>
    </row>
    <row r="44" spans="1:26" s="27" customFormat="1" outlineLevel="1" collapsed="1" x14ac:dyDescent="0.25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1732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232</v>
      </c>
      <c r="M44" s="1"/>
      <c r="N44" s="5">
        <f t="shared" si="19"/>
        <v>0.15466666666666667</v>
      </c>
      <c r="O44" s="14"/>
      <c r="P44" s="1">
        <f>SUM(OSRRefP22_4x_0)</f>
        <v>5149.1900000000005</v>
      </c>
      <c r="Q44" s="1"/>
      <c r="R44" s="5">
        <f t="shared" si="20"/>
        <v>0</v>
      </c>
      <c r="S44" s="1"/>
      <c r="T44" s="1">
        <f>SUM(OSRRefT22_4x_0)</f>
        <v>6000</v>
      </c>
      <c r="U44" s="1"/>
      <c r="V44" s="5">
        <f t="shared" si="21"/>
        <v>0</v>
      </c>
      <c r="W44" s="1"/>
      <c r="X44" s="1">
        <f t="shared" si="22"/>
        <v>-850.80999999999949</v>
      </c>
      <c r="Y44" s="1"/>
      <c r="Z44" s="5">
        <f t="shared" si="23"/>
        <v>-0.14180166666666658</v>
      </c>
    </row>
    <row r="45" spans="1:26" s="24" customFormat="1" hidden="1" outlineLevel="2" x14ac:dyDescent="0.25">
      <c r="A45" s="28"/>
      <c r="B45" s="11" t="str">
        <f>CONCATENATE("          ", "6373", " - ", "MAINTENANCE CONTRACTS")</f>
        <v xml:space="preserve">          6373 - MAINTENANCE CONTRACTS</v>
      </c>
      <c r="C45" s="11"/>
      <c r="D45" s="7">
        <v>866</v>
      </c>
      <c r="E45" s="2"/>
      <c r="F45" s="6">
        <f t="shared" si="16"/>
        <v>0</v>
      </c>
      <c r="G45" s="2"/>
      <c r="H45" s="7">
        <v>1500</v>
      </c>
      <c r="I45" s="2"/>
      <c r="J45" s="6">
        <f t="shared" si="17"/>
        <v>0</v>
      </c>
      <c r="K45" s="2"/>
      <c r="L45" s="7">
        <f t="shared" si="18"/>
        <v>-634</v>
      </c>
      <c r="M45" s="2"/>
      <c r="N45" s="6">
        <f t="shared" si="19"/>
        <v>-0.42266666666666669</v>
      </c>
      <c r="O45" s="11"/>
      <c r="P45" s="7">
        <v>3464</v>
      </c>
      <c r="Q45" s="2"/>
      <c r="R45" s="6">
        <f t="shared" si="20"/>
        <v>0</v>
      </c>
      <c r="S45" s="2"/>
      <c r="T45" s="7">
        <v>6000</v>
      </c>
      <c r="U45" s="2"/>
      <c r="V45" s="6">
        <f t="shared" si="21"/>
        <v>0</v>
      </c>
      <c r="W45" s="2"/>
      <c r="X45" s="7">
        <f t="shared" si="22"/>
        <v>-2536</v>
      </c>
      <c r="Y45" s="2"/>
      <c r="Z45" s="6">
        <f t="shared" si="23"/>
        <v>-0.42266666666666669</v>
      </c>
    </row>
    <row r="46" spans="1:26" s="24" customFormat="1" hidden="1" outlineLevel="2" x14ac:dyDescent="0.25">
      <c r="A46" s="28"/>
      <c r="B46" s="11" t="str">
        <f>CONCATENATE("          ", "6375", " - ", "OUTSIDE REPAIRS &amp; MAINTENANCE")</f>
        <v xml:space="preserve">          6375 - OUTSIDE REPAIRS &amp; MAINTENANCE</v>
      </c>
      <c r="C46" s="11"/>
      <c r="D46" s="7">
        <v>866</v>
      </c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866</v>
      </c>
      <c r="M46" s="2"/>
      <c r="N46" s="6">
        <f t="shared" si="19"/>
        <v>0</v>
      </c>
      <c r="O46" s="11"/>
      <c r="P46" s="7">
        <v>1685.19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1685.19</v>
      </c>
      <c r="Y46" s="2"/>
      <c r="Z46" s="6">
        <f t="shared" si="23"/>
        <v>0</v>
      </c>
    </row>
    <row r="47" spans="1:26" s="27" customFormat="1" outlineLevel="1" collapsed="1" x14ac:dyDescent="0.25">
      <c r="A47" s="29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1" si="24">IF(D$12=0,0,D47/D$12)</f>
        <v>0</v>
      </c>
      <c r="G47" s="1"/>
      <c r="H47" s="1">
        <f>SUM(OSRRefH22_5x_0)</f>
        <v>25</v>
      </c>
      <c r="I47" s="1"/>
      <c r="J47" s="5">
        <f t="shared" ref="J47:J51" si="25">IF(H$12=0,0,H47/H$12)</f>
        <v>0</v>
      </c>
      <c r="K47" s="1"/>
      <c r="L47" s="1">
        <f t="shared" ref="L47:L51" si="26">+D47-H47</f>
        <v>-25</v>
      </c>
      <c r="M47" s="1"/>
      <c r="N47" s="5">
        <f t="shared" ref="N47:N51" si="27">IF(H47=0,0,L47/H47)</f>
        <v>-1</v>
      </c>
      <c r="O47" s="14"/>
      <c r="P47" s="1">
        <f>SUM(OSRRefP22_5x_0)</f>
        <v>0</v>
      </c>
      <c r="Q47" s="1"/>
      <c r="R47" s="5">
        <f t="shared" ref="R47:R51" si="28">IF(P$12=0,0,P47/P$12)</f>
        <v>0</v>
      </c>
      <c r="S47" s="1"/>
      <c r="T47" s="1">
        <f>SUM(OSRRefT22_5x_0)</f>
        <v>100</v>
      </c>
      <c r="U47" s="1"/>
      <c r="V47" s="5">
        <f t="shared" ref="V47:V51" si="29">IF(T$12=0,0,T47/T$12)</f>
        <v>0</v>
      </c>
      <c r="W47" s="1"/>
      <c r="X47" s="1">
        <f t="shared" ref="X47:X51" si="30">+P47-T47</f>
        <v>-100</v>
      </c>
      <c r="Y47" s="1"/>
      <c r="Z47" s="5">
        <f t="shared" ref="Z47:Z51" si="31">IF(T47=0,0,X47/T47)</f>
        <v>-1</v>
      </c>
    </row>
    <row r="48" spans="1:26" s="24" customFormat="1" hidden="1" outlineLevel="2" x14ac:dyDescent="0.25">
      <c r="A48" s="28"/>
      <c r="B48" s="11" t="str">
        <f>CONCATENATE("          ", "6286", " - ", "LAUNDRY EXPENSE")</f>
        <v xml:space="preserve">          6286 - LAUNDRY EXPENSE</v>
      </c>
      <c r="C48" s="11"/>
      <c r="D48" s="7"/>
      <c r="E48" s="2"/>
      <c r="F48" s="6">
        <f t="shared" si="24"/>
        <v>0</v>
      </c>
      <c r="G48" s="2"/>
      <c r="H48" s="7">
        <v>25</v>
      </c>
      <c r="I48" s="2"/>
      <c r="J48" s="6">
        <f t="shared" si="25"/>
        <v>0</v>
      </c>
      <c r="K48" s="2"/>
      <c r="L48" s="7">
        <f t="shared" si="26"/>
        <v>-25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100</v>
      </c>
      <c r="U48" s="2"/>
      <c r="V48" s="6">
        <f t="shared" si="29"/>
        <v>0</v>
      </c>
      <c r="W48" s="2"/>
      <c r="X48" s="7">
        <f t="shared" si="30"/>
        <v>-100</v>
      </c>
      <c r="Y48" s="2"/>
      <c r="Z48" s="6">
        <f t="shared" si="31"/>
        <v>-1</v>
      </c>
    </row>
    <row r="49" spans="1:26" s="27" customFormat="1" outlineLevel="1" collapsed="1" x14ac:dyDescent="0.25">
      <c r="A49" s="29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15.92</v>
      </c>
      <c r="Q49" s="1"/>
      <c r="R49" s="5">
        <f t="shared" si="28"/>
        <v>0</v>
      </c>
      <c r="S49" s="1"/>
      <c r="T49" s="1">
        <f>SUM(OSRRefT22_6x_0)</f>
        <v>5000</v>
      </c>
      <c r="U49" s="1"/>
      <c r="V49" s="5">
        <f t="shared" si="29"/>
        <v>0</v>
      </c>
      <c r="W49" s="1"/>
      <c r="X49" s="1">
        <f t="shared" si="30"/>
        <v>-4984.08</v>
      </c>
      <c r="Y49" s="1"/>
      <c r="Z49" s="5">
        <f t="shared" si="31"/>
        <v>-0.99681600000000004</v>
      </c>
    </row>
    <row r="50" spans="1:26" s="24" customFormat="1" hidden="1" outlineLevel="2" x14ac:dyDescent="0.25">
      <c r="A50" s="28"/>
      <c r="B50" s="11" t="str">
        <f>CONCATENATE("          ", "6241", " - ", "OFFICE EXPENSE")</f>
        <v xml:space="preserve">          6241 - OFFICE EXPENSE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15.92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15.92</v>
      </c>
      <c r="Y50" s="2"/>
      <c r="Z50" s="6">
        <f t="shared" si="31"/>
        <v>0</v>
      </c>
    </row>
    <row r="51" spans="1:26" s="24" customFormat="1" hidden="1" outlineLevel="2" x14ac:dyDescent="0.25">
      <c r="A51" s="28"/>
      <c r="B51" s="11" t="str">
        <f>CONCATENATE("          ", "6247", " - ", "STORE SUPPLIES")</f>
        <v xml:space="preserve">          6247 - STORE SUPPLIES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/>
      <c r="Q51" s="2"/>
      <c r="R51" s="6">
        <f t="shared" si="28"/>
        <v>0</v>
      </c>
      <c r="S51" s="2"/>
      <c r="T51" s="7">
        <v>5000</v>
      </c>
      <c r="U51" s="2"/>
      <c r="V51" s="6">
        <f t="shared" si="29"/>
        <v>0</v>
      </c>
      <c r="W51" s="2"/>
      <c r="X51" s="7">
        <f t="shared" si="30"/>
        <v>-5000</v>
      </c>
      <c r="Y51" s="2"/>
      <c r="Z51" s="6">
        <f t="shared" si="31"/>
        <v>-1</v>
      </c>
    </row>
    <row r="52" spans="1:26" s="27" customFormat="1" outlineLevel="1" collapsed="1" x14ac:dyDescent="0.25">
      <c r="A52" s="29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SUM(OSRRefD22_7x_0)</f>
        <v>-77</v>
      </c>
      <c r="E52" s="1"/>
      <c r="F52" s="5">
        <f t="shared" ref="F52:F53" si="32">IF(D$12=0,0,D52/D$12)</f>
        <v>0</v>
      </c>
      <c r="G52" s="1"/>
      <c r="H52" s="1">
        <f>SUM(OSRRefH22_7x_0)</f>
        <v>25</v>
      </c>
      <c r="I52" s="1"/>
      <c r="J52" s="5">
        <f t="shared" ref="J52:J53" si="33">IF(H$12=0,0,H52/H$12)</f>
        <v>0</v>
      </c>
      <c r="K52" s="1"/>
      <c r="L52" s="1">
        <f t="shared" ref="L52:L53" si="34">+D52-H52</f>
        <v>-102</v>
      </c>
      <c r="M52" s="1"/>
      <c r="N52" s="5">
        <f t="shared" ref="N52:N53" si="35">IF(H52=0,0,L52/H52)</f>
        <v>-4.08</v>
      </c>
      <c r="O52" s="14"/>
      <c r="P52" s="1">
        <f>SUM(OSRRefP22_7x_0)</f>
        <v>271</v>
      </c>
      <c r="Q52" s="1"/>
      <c r="R52" s="5">
        <f t="shared" ref="R52:R53" si="36">IF(P$12=0,0,P52/P$12)</f>
        <v>0</v>
      </c>
      <c r="S52" s="1"/>
      <c r="T52" s="1">
        <f>SUM(OSRRefT22_7x_0)</f>
        <v>250</v>
      </c>
      <c r="U52" s="1"/>
      <c r="V52" s="5">
        <f t="shared" ref="V52:V53" si="37">IF(T$12=0,0,T52/T$12)</f>
        <v>0</v>
      </c>
      <c r="W52" s="1"/>
      <c r="X52" s="1">
        <f t="shared" ref="X52:X53" si="38">+P52-T52</f>
        <v>21</v>
      </c>
      <c r="Y52" s="1"/>
      <c r="Z52" s="5">
        <f t="shared" ref="Z52:Z53" si="39">IF(T52=0,0,X52/T52)</f>
        <v>8.4000000000000005E-2</v>
      </c>
    </row>
    <row r="53" spans="1:26" s="24" customFormat="1" hidden="1" outlineLevel="2" x14ac:dyDescent="0.25">
      <c r="A53" s="28"/>
      <c r="B53" s="11" t="str">
        <f>CONCATENATE("          ", "6309", " - ", "TELEPHONE")</f>
        <v xml:space="preserve">          6309 - TELEPHONE</v>
      </c>
      <c r="C53" s="11"/>
      <c r="D53" s="7">
        <v>-77</v>
      </c>
      <c r="E53" s="2"/>
      <c r="F53" s="6">
        <f t="shared" si="32"/>
        <v>0</v>
      </c>
      <c r="G53" s="2"/>
      <c r="H53" s="7">
        <v>25</v>
      </c>
      <c r="I53" s="2"/>
      <c r="J53" s="6">
        <f t="shared" si="33"/>
        <v>0</v>
      </c>
      <c r="K53" s="2"/>
      <c r="L53" s="7">
        <f t="shared" si="34"/>
        <v>-102</v>
      </c>
      <c r="M53" s="2"/>
      <c r="N53" s="6">
        <f t="shared" si="35"/>
        <v>-4.08</v>
      </c>
      <c r="O53" s="11"/>
      <c r="P53" s="7">
        <v>271</v>
      </c>
      <c r="Q53" s="2"/>
      <c r="R53" s="6">
        <f t="shared" si="36"/>
        <v>0</v>
      </c>
      <c r="S53" s="2"/>
      <c r="T53" s="7">
        <v>250</v>
      </c>
      <c r="U53" s="2"/>
      <c r="V53" s="6">
        <f t="shared" si="37"/>
        <v>0</v>
      </c>
      <c r="W53" s="2"/>
      <c r="X53" s="7">
        <f t="shared" si="38"/>
        <v>21</v>
      </c>
      <c r="Y53" s="2"/>
      <c r="Z53" s="6">
        <f t="shared" si="39"/>
        <v>8.4000000000000005E-2</v>
      </c>
    </row>
    <row r="54" spans="1:26" s="63" customFormat="1" x14ac:dyDescent="0.25">
      <c r="A54" s="36"/>
      <c r="B54" s="36"/>
      <c r="C54" s="36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5" t="s">
        <v>0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6" t="s">
        <v>3</v>
      </c>
      <c r="C57" s="26"/>
      <c r="D57" s="20">
        <f>+D16-D18+D55</f>
        <v>-9324.8100000000013</v>
      </c>
      <c r="E57" s="13"/>
      <c r="F57" s="19">
        <f>IF(D$12=0,0,D57/D$12)</f>
        <v>0</v>
      </c>
      <c r="G57" s="13"/>
      <c r="H57" s="20">
        <f>+H16-H18+H55</f>
        <v>-8381.0651923076912</v>
      </c>
      <c r="I57" s="13"/>
      <c r="J57" s="19">
        <f>IF(H$12=0,0,H57/H$12)</f>
        <v>0</v>
      </c>
      <c r="K57" s="15"/>
      <c r="L57" s="20">
        <f>+D57-H57</f>
        <v>-943.74480769231013</v>
      </c>
      <c r="M57" s="15"/>
      <c r="N57" s="19">
        <f>IF(H57=0,0,L57/H57)</f>
        <v>0.11260439884878809</v>
      </c>
      <c r="O57" s="25"/>
      <c r="P57" s="20">
        <f>+P16-P18+P55</f>
        <v>-33452.769999999997</v>
      </c>
      <c r="Q57" s="13"/>
      <c r="R57" s="19">
        <f>IF(P$12=0,0,P57/P$12)</f>
        <v>0</v>
      </c>
      <c r="S57" s="13"/>
      <c r="T57" s="20">
        <f>+T16-T18+T55</f>
        <v>-36192.634692307693</v>
      </c>
      <c r="U57" s="13"/>
      <c r="V57" s="19">
        <f>IF(T$12=0,0,T57/T$12)</f>
        <v>0</v>
      </c>
      <c r="W57" s="15"/>
      <c r="X57" s="20">
        <f>+P57-T57</f>
        <v>2739.8646923076958</v>
      </c>
      <c r="Y57" s="15"/>
      <c r="Z57" s="19">
        <f>IF(T57=0,0,X57/T57)</f>
        <v>-7.5702272454069811E-2</v>
      </c>
    </row>
    <row r="58" spans="1:26" x14ac:dyDescent="0.25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52"/>
      <c r="B59" s="10" t="s">
        <v>14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6" t="s">
        <v>4</v>
      </c>
      <c r="C61" s="26"/>
      <c r="D61" s="34">
        <f>+D57-D59</f>
        <v>-9324.8100000000013</v>
      </c>
      <c r="E61" s="13"/>
      <c r="F61" s="35">
        <f>IF(D$12=0,0,D61/D$12)</f>
        <v>0</v>
      </c>
      <c r="G61" s="13"/>
      <c r="H61" s="34">
        <f>+H57-H59</f>
        <v>-8381.0651923076912</v>
      </c>
      <c r="I61" s="13"/>
      <c r="J61" s="35">
        <f>IF(H$12=0,0,H61/H$12)</f>
        <v>0</v>
      </c>
      <c r="K61" s="15"/>
      <c r="L61" s="34">
        <f>D61-H61</f>
        <v>-943.74480769231013</v>
      </c>
      <c r="M61" s="15"/>
      <c r="N61" s="35">
        <f>IF(H61=0,0,L61/H61)</f>
        <v>0.11260439884878809</v>
      </c>
      <c r="O61" s="25"/>
      <c r="P61" s="34">
        <f>+P57-P59</f>
        <v>-33452.769999999997</v>
      </c>
      <c r="Q61" s="13"/>
      <c r="R61" s="35">
        <f>IF(P$12=0,0,P61/P$12)</f>
        <v>0</v>
      </c>
      <c r="S61" s="13"/>
      <c r="T61" s="34">
        <f>+T57-T59</f>
        <v>-36192.634692307693</v>
      </c>
      <c r="U61" s="13"/>
      <c r="V61" s="35">
        <f>IF(T$12=0,0,T61/T$12)</f>
        <v>0</v>
      </c>
      <c r="W61" s="15"/>
      <c r="X61" s="34">
        <f>P61-T61</f>
        <v>2739.8646923076958</v>
      </c>
      <c r="Y61" s="15"/>
      <c r="Z61" s="35">
        <f>IF(T61=0,0,X61/T61)</f>
        <v>-7.5702272454069811E-2</v>
      </c>
    </row>
    <row r="62" spans="1:26" ht="15.75" thickTop="1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6" t="s">
        <v>5</v>
      </c>
      <c r="C64" s="26"/>
      <c r="D64" s="30">
        <f>SUM(D61:D63)</f>
        <v>-9324.8100000000013</v>
      </c>
      <c r="E64" s="13"/>
      <c r="F64" s="32">
        <f>IF(D$12=0,0,D64/D$12)</f>
        <v>0</v>
      </c>
      <c r="G64" s="13"/>
      <c r="H64" s="30">
        <f>SUM(H61:H63)</f>
        <v>-8381.0651923076912</v>
      </c>
      <c r="I64" s="13"/>
      <c r="J64" s="32">
        <f>IF(H$12=0,0,H64/H$12)</f>
        <v>0</v>
      </c>
      <c r="K64" s="15"/>
      <c r="L64" s="30">
        <f>+D64-H64</f>
        <v>-943.74480769231013</v>
      </c>
      <c r="M64" s="15"/>
      <c r="N64" s="32">
        <f>IF(H64=0,0,L64/H64)</f>
        <v>0.11260439884878809</v>
      </c>
      <c r="O64" s="25"/>
      <c r="P64" s="30">
        <f>SUM(P61:P63)</f>
        <v>-33452.769999999997</v>
      </c>
      <c r="Q64" s="13"/>
      <c r="R64" s="32">
        <f>IF(P$12=0,0,P64/P$12)</f>
        <v>0</v>
      </c>
      <c r="S64" s="13"/>
      <c r="T64" s="30">
        <f>SUM(T61:T63)</f>
        <v>-36192.634692307693</v>
      </c>
      <c r="U64" s="13"/>
      <c r="V64" s="32">
        <f>IF(T$12=0,0,T64/T$12)</f>
        <v>0</v>
      </c>
      <c r="W64" s="15"/>
      <c r="X64" s="30">
        <f>+P64-T64</f>
        <v>2739.8646923076958</v>
      </c>
      <c r="Y64" s="15"/>
      <c r="Z64" s="32">
        <f>IF(T64=0,0,X64/T64)</f>
        <v>-7.5702272454069811E-2</v>
      </c>
    </row>
    <row r="65" spans="1:24" ht="15.75" thickTop="1" x14ac:dyDescent="0.25">
      <c r="A65" s="9"/>
      <c r="C65" s="9"/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25">
      <c r="A66" s="9"/>
      <c r="B66" s="60">
        <v>44151.568091782407</v>
      </c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4" x14ac:dyDescent="0.25">
      <c r="A67" s="9"/>
      <c r="B67" s="58" t="s">
        <v>314</v>
      </c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4" x14ac:dyDescent="0.25">
      <c r="A68" s="9"/>
      <c r="B68" s="53"/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4" x14ac:dyDescent="0.25"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","206", " - ", "Graphics")</f>
        <v>Department 206 - Graphics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10192.200000000001</v>
      </c>
      <c r="E18" s="21"/>
      <c r="F18" s="31">
        <f t="shared" ref="F18:F28" si="0">IF(D$12=0,0,D18/D$12)</f>
        <v>0</v>
      </c>
      <c r="G18" s="21"/>
      <c r="H18" s="21">
        <f>SUM(OSRRefH22x_0)</f>
        <v>19169.737692307692</v>
      </c>
      <c r="I18" s="21"/>
      <c r="J18" s="31">
        <f t="shared" ref="J18:J28" si="1">IF(H$12=0,0,H18/H$12)</f>
        <v>0</v>
      </c>
      <c r="K18" s="4"/>
      <c r="L18" s="21">
        <f t="shared" ref="L18:L28" si="2">+D18-H18</f>
        <v>-8977.537692307691</v>
      </c>
      <c r="M18" s="4"/>
      <c r="N18" s="31">
        <f t="shared" ref="N18:N28" si="3">IF(H18=0,0,L18/H18)</f>
        <v>-0.46831823347849666</v>
      </c>
      <c r="O18" s="10"/>
      <c r="P18" s="21">
        <f>SUM(OSRRefP22x_0)</f>
        <v>36655.49</v>
      </c>
      <c r="Q18" s="21"/>
      <c r="R18" s="31">
        <f t="shared" ref="R18:R28" si="4">IF(P$12=0,0,P18/P$12)</f>
        <v>0</v>
      </c>
      <c r="S18" s="21"/>
      <c r="T18" s="21">
        <f>SUM(OSRRefT22x_0)</f>
        <v>78629.286692307694</v>
      </c>
      <c r="U18" s="21"/>
      <c r="V18" s="31">
        <f t="shared" ref="V18:V28" si="5">IF(T$12=0,0,T18/T$12)</f>
        <v>0</v>
      </c>
      <c r="W18" s="4"/>
      <c r="X18" s="21">
        <f t="shared" ref="X18:X28" si="6">+P18-T18</f>
        <v>-41973.796692307697</v>
      </c>
      <c r="Y18" s="4"/>
      <c r="Z18" s="31">
        <f t="shared" ref="Z18:Z28" si="7">IF(T18=0,0,X18/T18)</f>
        <v>-0.53381886645569676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1891.0900000000001</v>
      </c>
      <c r="E19" s="1"/>
      <c r="F19" s="5">
        <f t="shared" si="0"/>
        <v>0</v>
      </c>
      <c r="G19" s="1"/>
      <c r="H19" s="1">
        <f>SUM(OSRRefH22_0x_0)</f>
        <v>1970.737692307692</v>
      </c>
      <c r="I19" s="1"/>
      <c r="J19" s="5">
        <f t="shared" si="1"/>
        <v>0</v>
      </c>
      <c r="K19" s="1"/>
      <c r="L19" s="1">
        <f t="shared" si="2"/>
        <v>-79.647692307691841</v>
      </c>
      <c r="M19" s="1"/>
      <c r="N19" s="5">
        <f t="shared" si="3"/>
        <v>-4.041516667518856E-2</v>
      </c>
      <c r="O19" s="14"/>
      <c r="P19" s="1">
        <f>SUM(OSRRefP22_0x_0)</f>
        <v>6459.3200000000006</v>
      </c>
      <c r="Q19" s="1"/>
      <c r="R19" s="5">
        <f t="shared" si="4"/>
        <v>0</v>
      </c>
      <c r="S19" s="1"/>
      <c r="T19" s="1">
        <f>SUM(OSRRefT22_0x_0)</f>
        <v>7371.2866923076917</v>
      </c>
      <c r="U19" s="1"/>
      <c r="V19" s="5">
        <f t="shared" si="5"/>
        <v>0</v>
      </c>
      <c r="W19" s="1"/>
      <c r="X19" s="1">
        <f t="shared" si="6"/>
        <v>-911.96669230769112</v>
      </c>
      <c r="Y19" s="1"/>
      <c r="Z19" s="5">
        <f t="shared" si="7"/>
        <v>-0.12371879298350642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546.95000000000005</v>
      </c>
      <c r="E20" s="2"/>
      <c r="F20" s="6">
        <f t="shared" si="0"/>
        <v>0</v>
      </c>
      <c r="G20" s="2"/>
      <c r="H20" s="7">
        <v>459.18</v>
      </c>
      <c r="I20" s="2"/>
      <c r="J20" s="6">
        <f t="shared" si="1"/>
        <v>0</v>
      </c>
      <c r="K20" s="2"/>
      <c r="L20" s="7">
        <f t="shared" si="2"/>
        <v>87.770000000000039</v>
      </c>
      <c r="M20" s="2"/>
      <c r="N20" s="6">
        <f t="shared" si="3"/>
        <v>0.19114508471623337</v>
      </c>
      <c r="O20" s="11"/>
      <c r="P20" s="7">
        <v>1685.17</v>
      </c>
      <c r="Q20" s="2"/>
      <c r="R20" s="6">
        <f t="shared" si="4"/>
        <v>0</v>
      </c>
      <c r="S20" s="2"/>
      <c r="T20" s="7">
        <v>1859.6790000000001</v>
      </c>
      <c r="U20" s="2"/>
      <c r="V20" s="6">
        <f t="shared" si="5"/>
        <v>0</v>
      </c>
      <c r="W20" s="2"/>
      <c r="X20" s="7">
        <f t="shared" si="6"/>
        <v>-174.50900000000001</v>
      </c>
      <c r="Y20" s="2"/>
      <c r="Z20" s="6">
        <f t="shared" si="7"/>
        <v>-9.383823767435133E-2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19</v>
      </c>
      <c r="E21" s="2"/>
      <c r="F21" s="6">
        <f t="shared" si="0"/>
        <v>0</v>
      </c>
      <c r="G21" s="2"/>
      <c r="H21" s="7">
        <v>24.75</v>
      </c>
      <c r="I21" s="2"/>
      <c r="J21" s="6">
        <f t="shared" si="1"/>
        <v>0</v>
      </c>
      <c r="K21" s="2"/>
      <c r="L21" s="7">
        <f t="shared" si="2"/>
        <v>-5.75</v>
      </c>
      <c r="M21" s="2"/>
      <c r="N21" s="6">
        <f t="shared" si="3"/>
        <v>-0.23232323232323232</v>
      </c>
      <c r="O21" s="11"/>
      <c r="P21" s="7">
        <v>79.849999999999994</v>
      </c>
      <c r="Q21" s="2"/>
      <c r="R21" s="6">
        <f t="shared" si="4"/>
        <v>0</v>
      </c>
      <c r="S21" s="2"/>
      <c r="T21" s="7">
        <v>89.1</v>
      </c>
      <c r="U21" s="2"/>
      <c r="V21" s="6">
        <f t="shared" si="5"/>
        <v>0</v>
      </c>
      <c r="W21" s="2"/>
      <c r="X21" s="7">
        <f t="shared" si="6"/>
        <v>-9.25</v>
      </c>
      <c r="Y21" s="2"/>
      <c r="Z21" s="6">
        <f t="shared" si="7"/>
        <v>-0.1038159371492705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6">
        <f t="shared" si="0"/>
        <v>0</v>
      </c>
      <c r="G22" s="2"/>
      <c r="H22" s="7">
        <v>767.30769230769204</v>
      </c>
      <c r="I22" s="2"/>
      <c r="J22" s="6">
        <f t="shared" si="1"/>
        <v>0</v>
      </c>
      <c r="K22" s="2"/>
      <c r="L22" s="7">
        <f t="shared" si="2"/>
        <v>-66.437692307692032</v>
      </c>
      <c r="M22" s="2"/>
      <c r="N22" s="6">
        <f t="shared" si="3"/>
        <v>-8.6585463659147544E-2</v>
      </c>
      <c r="O22" s="11"/>
      <c r="P22" s="7">
        <v>2803.48</v>
      </c>
      <c r="Q22" s="2"/>
      <c r="R22" s="6">
        <f t="shared" si="4"/>
        <v>0</v>
      </c>
      <c r="S22" s="2"/>
      <c r="T22" s="7">
        <v>2762.3076923076919</v>
      </c>
      <c r="U22" s="2"/>
      <c r="V22" s="6">
        <f t="shared" si="5"/>
        <v>0</v>
      </c>
      <c r="W22" s="2"/>
      <c r="X22" s="7">
        <f t="shared" si="6"/>
        <v>41.172307692308095</v>
      </c>
      <c r="Y22" s="2"/>
      <c r="Z22" s="6">
        <f t="shared" si="7"/>
        <v>1.4905040378724737E-2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14.97</v>
      </c>
      <c r="E23" s="2"/>
      <c r="F23" s="6">
        <f t="shared" si="0"/>
        <v>0</v>
      </c>
      <c r="G23" s="2"/>
      <c r="H23" s="7">
        <v>19.5</v>
      </c>
      <c r="I23" s="2"/>
      <c r="J23" s="6">
        <f t="shared" si="1"/>
        <v>0</v>
      </c>
      <c r="K23" s="2"/>
      <c r="L23" s="7">
        <f t="shared" si="2"/>
        <v>-4.5299999999999994</v>
      </c>
      <c r="M23" s="2"/>
      <c r="N23" s="6">
        <f t="shared" si="3"/>
        <v>-0.23230769230769227</v>
      </c>
      <c r="O23" s="11"/>
      <c r="P23" s="7">
        <v>62.92</v>
      </c>
      <c r="Q23" s="2"/>
      <c r="R23" s="6">
        <f t="shared" si="4"/>
        <v>0</v>
      </c>
      <c r="S23" s="2"/>
      <c r="T23" s="7">
        <v>70.2</v>
      </c>
      <c r="U23" s="2"/>
      <c r="V23" s="6">
        <f t="shared" si="5"/>
        <v>0</v>
      </c>
      <c r="W23" s="2"/>
      <c r="X23" s="7">
        <f t="shared" si="6"/>
        <v>-7.2800000000000011</v>
      </c>
      <c r="Y23" s="2"/>
      <c r="Z23" s="6">
        <f t="shared" si="7"/>
        <v>-0.10370370370370371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>
        <v>277.2</v>
      </c>
      <c r="E26" s="2"/>
      <c r="F26" s="6">
        <f t="shared" si="0"/>
        <v>0</v>
      </c>
      <c r="G26" s="2"/>
      <c r="H26" s="7">
        <v>300</v>
      </c>
      <c r="I26" s="2"/>
      <c r="J26" s="6">
        <f t="shared" si="1"/>
        <v>0</v>
      </c>
      <c r="K26" s="2"/>
      <c r="L26" s="7">
        <f t="shared" si="2"/>
        <v>-22.800000000000011</v>
      </c>
      <c r="M26" s="2"/>
      <c r="N26" s="6">
        <f t="shared" si="3"/>
        <v>-7.600000000000004E-2</v>
      </c>
      <c r="O26" s="11"/>
      <c r="P26" s="7">
        <v>831.6</v>
      </c>
      <c r="Q26" s="2"/>
      <c r="R26" s="6">
        <f t="shared" si="4"/>
        <v>0</v>
      </c>
      <c r="S26" s="2"/>
      <c r="T26" s="7">
        <v>1080</v>
      </c>
      <c r="U26" s="2"/>
      <c r="V26" s="6">
        <f t="shared" si="5"/>
        <v>0</v>
      </c>
      <c r="W26" s="2"/>
      <c r="X26" s="7">
        <f t="shared" si="6"/>
        <v>-248.39999999999998</v>
      </c>
      <c r="Y26" s="2"/>
      <c r="Z26" s="6">
        <f t="shared" si="7"/>
        <v>-0.22999999999999998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332.1</v>
      </c>
      <c r="E27" s="2"/>
      <c r="F27" s="6">
        <f t="shared" si="0"/>
        <v>0</v>
      </c>
      <c r="G27" s="2"/>
      <c r="H27" s="7">
        <v>225</v>
      </c>
      <c r="I27" s="2"/>
      <c r="J27" s="6">
        <f t="shared" si="1"/>
        <v>0</v>
      </c>
      <c r="K27" s="2"/>
      <c r="L27" s="7">
        <f t="shared" si="2"/>
        <v>107.10000000000002</v>
      </c>
      <c r="M27" s="2"/>
      <c r="N27" s="6">
        <f t="shared" si="3"/>
        <v>0.47600000000000009</v>
      </c>
      <c r="O27" s="11"/>
      <c r="P27" s="7">
        <v>996.3</v>
      </c>
      <c r="Q27" s="2"/>
      <c r="R27" s="6">
        <f t="shared" si="4"/>
        <v>0</v>
      </c>
      <c r="S27" s="2"/>
      <c r="T27" s="7">
        <v>810</v>
      </c>
      <c r="U27" s="2"/>
      <c r="V27" s="6">
        <f t="shared" si="5"/>
        <v>0</v>
      </c>
      <c r="W27" s="2"/>
      <c r="X27" s="7">
        <f t="shared" si="6"/>
        <v>186.29999999999995</v>
      </c>
      <c r="Y27" s="2"/>
      <c r="Z27" s="6">
        <f t="shared" si="7"/>
        <v>0.22999999999999995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-175</v>
      </c>
      <c r="M28" s="2"/>
      <c r="N28" s="6">
        <f t="shared" si="3"/>
        <v>-1</v>
      </c>
      <c r="O28" s="11"/>
      <c r="P28" s="7"/>
      <c r="Q28" s="2"/>
      <c r="R28" s="6">
        <f t="shared" si="4"/>
        <v>0</v>
      </c>
      <c r="S28" s="2"/>
      <c r="T28" s="7">
        <v>700</v>
      </c>
      <c r="U28" s="2"/>
      <c r="V28" s="6">
        <f t="shared" si="5"/>
        <v>0</v>
      </c>
      <c r="W28" s="2"/>
      <c r="X28" s="7">
        <f t="shared" si="6"/>
        <v>-700</v>
      </c>
      <c r="Y28" s="2"/>
      <c r="Z28" s="6">
        <f t="shared" si="7"/>
        <v>-1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7820.63</v>
      </c>
      <c r="E29" s="1"/>
      <c r="F29" s="5">
        <f t="shared" ref="F29:F39" si="8">IF(D$12=0,0,D29/D$12)</f>
        <v>0</v>
      </c>
      <c r="G29" s="1"/>
      <c r="H29" s="1">
        <f>SUM(OSRRefH22_1x_0)</f>
        <v>7095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725.63000000000011</v>
      </c>
      <c r="M29" s="1"/>
      <c r="N29" s="5">
        <f t="shared" ref="N29:N39" si="11">IF(H29=0,0,L29/H29)</f>
        <v>0.10227343199436224</v>
      </c>
      <c r="O29" s="14"/>
      <c r="P29" s="1">
        <f>SUM(OSRRefP22_1x_0)</f>
        <v>28483.46</v>
      </c>
      <c r="Q29" s="1"/>
      <c r="R29" s="5">
        <f t="shared" ref="R29:R39" si="12">IF(P$12=0,0,P29/P$12)</f>
        <v>0</v>
      </c>
      <c r="S29" s="1"/>
      <c r="T29" s="1">
        <f>SUM(OSRRefT22_1x_0)</f>
        <v>25542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2941.4599999999991</v>
      </c>
      <c r="Y29" s="1"/>
      <c r="Z29" s="5">
        <f t="shared" ref="Z29:Z39" si="15">IF(T29=0,0,X29/T29)</f>
        <v>0.11516169446402001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8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7">
        <v>7320</v>
      </c>
      <c r="E33" s="2"/>
      <c r="F33" s="6">
        <f t="shared" si="8"/>
        <v>0</v>
      </c>
      <c r="G33" s="2"/>
      <c r="H33" s="7">
        <v>5640</v>
      </c>
      <c r="I33" s="2"/>
      <c r="J33" s="6">
        <f t="shared" si="9"/>
        <v>0</v>
      </c>
      <c r="K33" s="2"/>
      <c r="L33" s="7">
        <f t="shared" si="10"/>
        <v>1680</v>
      </c>
      <c r="M33" s="2"/>
      <c r="N33" s="6">
        <f t="shared" si="11"/>
        <v>0.2978723404255319</v>
      </c>
      <c r="O33" s="11"/>
      <c r="P33" s="7">
        <v>22522.5</v>
      </c>
      <c r="Q33" s="2"/>
      <c r="R33" s="6">
        <f t="shared" si="12"/>
        <v>0</v>
      </c>
      <c r="S33" s="2"/>
      <c r="T33" s="7">
        <v>20304</v>
      </c>
      <c r="U33" s="2"/>
      <c r="V33" s="6">
        <f t="shared" si="13"/>
        <v>0</v>
      </c>
      <c r="W33" s="2"/>
      <c r="X33" s="7">
        <f t="shared" si="14"/>
        <v>2218.5</v>
      </c>
      <c r="Y33" s="2"/>
      <c r="Z33" s="6">
        <f t="shared" si="15"/>
        <v>0.10926418439716312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>
        <v>-1251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-1251</v>
      </c>
      <c r="M36" s="2"/>
      <c r="N36" s="6">
        <f t="shared" si="11"/>
        <v>0</v>
      </c>
      <c r="O36" s="11"/>
      <c r="P36" s="7">
        <v>0</v>
      </c>
      <c r="Q36" s="2"/>
      <c r="R36" s="6">
        <f t="shared" si="12"/>
        <v>0</v>
      </c>
      <c r="S36" s="2"/>
      <c r="T36" s="7">
        <v>2619</v>
      </c>
      <c r="U36" s="2"/>
      <c r="V36" s="6">
        <f t="shared" si="13"/>
        <v>0</v>
      </c>
      <c r="W36" s="2"/>
      <c r="X36" s="7">
        <f t="shared" si="14"/>
        <v>-2619</v>
      </c>
      <c r="Y36" s="2"/>
      <c r="Z36" s="6">
        <f t="shared" si="15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7">
        <v>1751.63</v>
      </c>
      <c r="E37" s="2"/>
      <c r="F37" s="6">
        <f t="shared" si="8"/>
        <v>0</v>
      </c>
      <c r="G37" s="2"/>
      <c r="H37" s="7">
        <v>1455</v>
      </c>
      <c r="I37" s="2"/>
      <c r="J37" s="6">
        <f t="shared" si="9"/>
        <v>0</v>
      </c>
      <c r="K37" s="2"/>
      <c r="L37" s="7">
        <f t="shared" si="10"/>
        <v>296.63000000000011</v>
      </c>
      <c r="M37" s="2"/>
      <c r="N37" s="6">
        <f t="shared" si="11"/>
        <v>0.20386941580756021</v>
      </c>
      <c r="O37" s="11"/>
      <c r="P37" s="7">
        <v>5960.96</v>
      </c>
      <c r="Q37" s="2"/>
      <c r="R37" s="6">
        <f t="shared" si="12"/>
        <v>0</v>
      </c>
      <c r="S37" s="2"/>
      <c r="T37" s="7">
        <v>2619</v>
      </c>
      <c r="U37" s="2"/>
      <c r="V37" s="6">
        <f t="shared" si="13"/>
        <v>0</v>
      </c>
      <c r="W37" s="2"/>
      <c r="X37" s="7">
        <f t="shared" si="14"/>
        <v>3341.96</v>
      </c>
      <c r="Y37" s="2"/>
      <c r="Z37" s="6">
        <f t="shared" si="15"/>
        <v>1.2760442917143948</v>
      </c>
    </row>
    <row r="38" spans="1:26" s="24" customFormat="1" hidden="1" outlineLevel="2" x14ac:dyDescent="0.25">
      <c r="A38" s="28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8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173.21</v>
      </c>
      <c r="E40" s="1"/>
      <c r="F40" s="5">
        <f t="shared" ref="F40:F54" si="16">IF(D$12=0,0,D40/D$12)</f>
        <v>0</v>
      </c>
      <c r="G40" s="1"/>
      <c r="H40" s="1">
        <f>SUM(OSRRefH22_2x_0)</f>
        <v>8333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-8159.79</v>
      </c>
      <c r="M40" s="1"/>
      <c r="N40" s="5">
        <f t="shared" ref="N40:N54" si="19">IF(H40=0,0,L40/H40)</f>
        <v>-0.97921396855874232</v>
      </c>
      <c r="O40" s="14"/>
      <c r="P40" s="1">
        <f>SUM(OSRRefP22_2x_0)</f>
        <v>519.63</v>
      </c>
      <c r="Q40" s="1"/>
      <c r="R40" s="5">
        <f t="shared" ref="R40:R54" si="20">IF(P$12=0,0,P40/P$12)</f>
        <v>0</v>
      </c>
      <c r="S40" s="1"/>
      <c r="T40" s="1">
        <f>SUM(OSRRefT22_2x_0)</f>
        <v>33332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-32812.370000000003</v>
      </c>
      <c r="Y40" s="1"/>
      <c r="Z40" s="5">
        <f t="shared" ref="Z40:Z54" si="23">IF(T40=0,0,X40/T40)</f>
        <v>-0.98441047641905688</v>
      </c>
    </row>
    <row r="41" spans="1:26" s="24" customFormat="1" hidden="1" outlineLevel="2" x14ac:dyDescent="0.25">
      <c r="A41" s="28"/>
      <c r="B41" s="11" t="str">
        <f>CONCATENATE("          ", "6362", " - ", "ADVERTISING EXPENSE")</f>
        <v xml:space="preserve">          6362 - ADVERTISING EXPENSE</v>
      </c>
      <c r="C41" s="11"/>
      <c r="D41" s="7">
        <v>173.21</v>
      </c>
      <c r="E41" s="2"/>
      <c r="F41" s="6">
        <f t="shared" si="16"/>
        <v>0</v>
      </c>
      <c r="G41" s="2"/>
      <c r="H41" s="7">
        <v>8333</v>
      </c>
      <c r="I41" s="2"/>
      <c r="J41" s="6">
        <f t="shared" si="17"/>
        <v>0</v>
      </c>
      <c r="K41" s="2"/>
      <c r="L41" s="7">
        <f t="shared" si="18"/>
        <v>-8159.79</v>
      </c>
      <c r="M41" s="2"/>
      <c r="N41" s="6">
        <f t="shared" si="19"/>
        <v>-0.97921396855874232</v>
      </c>
      <c r="O41" s="11"/>
      <c r="P41" s="7">
        <v>519.63</v>
      </c>
      <c r="Q41" s="2"/>
      <c r="R41" s="6">
        <f t="shared" si="20"/>
        <v>0</v>
      </c>
      <c r="S41" s="2"/>
      <c r="T41" s="7">
        <v>33332</v>
      </c>
      <c r="U41" s="2"/>
      <c r="V41" s="6">
        <f t="shared" si="21"/>
        <v>0</v>
      </c>
      <c r="W41" s="2"/>
      <c r="X41" s="7">
        <f t="shared" si="22"/>
        <v>-32812.370000000003</v>
      </c>
      <c r="Y41" s="2"/>
      <c r="Z41" s="6">
        <f t="shared" si="23"/>
        <v>-0.98441047641905688</v>
      </c>
    </row>
    <row r="42" spans="1:26" s="27" customFormat="1" outlineLevel="1" collapsed="1" x14ac:dyDescent="0.25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271.27</v>
      </c>
      <c r="E42" s="1"/>
      <c r="F42" s="5">
        <f t="shared" si="16"/>
        <v>0</v>
      </c>
      <c r="G42" s="1"/>
      <c r="H42" s="1">
        <f>SUM(OSRRefH22_3x_0)</f>
        <v>271</v>
      </c>
      <c r="I42" s="1"/>
      <c r="J42" s="5">
        <f t="shared" si="17"/>
        <v>0</v>
      </c>
      <c r="K42" s="1"/>
      <c r="L42" s="1">
        <f t="shared" si="18"/>
        <v>0.26999999999998181</v>
      </c>
      <c r="M42" s="1"/>
      <c r="N42" s="5">
        <f t="shared" si="19"/>
        <v>9.9630996309956377E-4</v>
      </c>
      <c r="O42" s="14"/>
      <c r="P42" s="1">
        <f>SUM(OSRRefP22_3x_0)</f>
        <v>1085.08</v>
      </c>
      <c r="Q42" s="1"/>
      <c r="R42" s="5">
        <f t="shared" si="20"/>
        <v>0</v>
      </c>
      <c r="S42" s="1"/>
      <c r="T42" s="1">
        <f>SUM(OSRRefT22_3x_0)</f>
        <v>1084</v>
      </c>
      <c r="U42" s="1"/>
      <c r="V42" s="5">
        <f t="shared" si="21"/>
        <v>0</v>
      </c>
      <c r="W42" s="1"/>
      <c r="X42" s="1">
        <f t="shared" si="22"/>
        <v>1.0799999999999272</v>
      </c>
      <c r="Y42" s="1"/>
      <c r="Z42" s="5">
        <f t="shared" si="23"/>
        <v>9.9630996309956377E-4</v>
      </c>
    </row>
    <row r="43" spans="1:26" s="24" customFormat="1" hidden="1" outlineLevel="2" x14ac:dyDescent="0.25">
      <c r="A43" s="28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271.27</v>
      </c>
      <c r="E43" s="2"/>
      <c r="F43" s="6">
        <f t="shared" si="16"/>
        <v>0</v>
      </c>
      <c r="G43" s="2"/>
      <c r="H43" s="7">
        <v>271</v>
      </c>
      <c r="I43" s="2"/>
      <c r="J43" s="6">
        <f t="shared" si="17"/>
        <v>0</v>
      </c>
      <c r="K43" s="2"/>
      <c r="L43" s="7">
        <f t="shared" si="18"/>
        <v>0.26999999999998181</v>
      </c>
      <c r="M43" s="2"/>
      <c r="N43" s="6">
        <f t="shared" si="19"/>
        <v>9.9630996309956377E-4</v>
      </c>
      <c r="O43" s="11"/>
      <c r="P43" s="7">
        <v>1085.08</v>
      </c>
      <c r="Q43" s="2"/>
      <c r="R43" s="6">
        <f t="shared" si="20"/>
        <v>0</v>
      </c>
      <c r="S43" s="2"/>
      <c r="T43" s="7">
        <v>1084</v>
      </c>
      <c r="U43" s="2"/>
      <c r="V43" s="6">
        <f t="shared" si="21"/>
        <v>0</v>
      </c>
      <c r="W43" s="2"/>
      <c r="X43" s="7">
        <f t="shared" si="22"/>
        <v>1.0799999999999272</v>
      </c>
      <c r="Y43" s="2"/>
      <c r="Z43" s="6">
        <f t="shared" si="23"/>
        <v>9.9630996309956377E-4</v>
      </c>
    </row>
    <row r="44" spans="1:26" s="27" customFormat="1" outlineLevel="1" collapsed="1" x14ac:dyDescent="0.25">
      <c r="A44" s="29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25">
      <c r="A45" s="28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500</v>
      </c>
      <c r="U45" s="2"/>
      <c r="V45" s="6">
        <f t="shared" si="21"/>
        <v>0</v>
      </c>
      <c r="W45" s="2"/>
      <c r="X45" s="7">
        <f t="shared" si="22"/>
        <v>-500</v>
      </c>
      <c r="Y45" s="2"/>
      <c r="Z45" s="6">
        <f t="shared" si="23"/>
        <v>-1</v>
      </c>
    </row>
    <row r="46" spans="1:26" s="27" customFormat="1" outlineLevel="1" collapsed="1" x14ac:dyDescent="0.25">
      <c r="A46" s="29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667</v>
      </c>
      <c r="I46" s="1"/>
      <c r="J46" s="5">
        <f t="shared" si="17"/>
        <v>0</v>
      </c>
      <c r="K46" s="1"/>
      <c r="L46" s="1">
        <f t="shared" si="18"/>
        <v>-667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2668</v>
      </c>
      <c r="U46" s="1"/>
      <c r="V46" s="5">
        <f t="shared" si="21"/>
        <v>0</v>
      </c>
      <c r="W46" s="1"/>
      <c r="X46" s="1">
        <f t="shared" si="22"/>
        <v>-2668</v>
      </c>
      <c r="Y46" s="1"/>
      <c r="Z46" s="5">
        <f t="shared" si="23"/>
        <v>-1</v>
      </c>
    </row>
    <row r="47" spans="1:26" s="24" customFormat="1" hidden="1" outlineLevel="2" x14ac:dyDescent="0.25">
      <c r="A47" s="28"/>
      <c r="B47" s="11" t="str">
        <f>CONCATENATE("          ", "6371", " - ", "COMPUTER SOFTWARE MAINTENANCE")</f>
        <v xml:space="preserve">          6371 - COMPUTER SOFTWARE MAINTENANCE</v>
      </c>
      <c r="C47" s="11"/>
      <c r="D47" s="7"/>
      <c r="E47" s="2"/>
      <c r="F47" s="6">
        <f t="shared" si="16"/>
        <v>0</v>
      </c>
      <c r="G47" s="2"/>
      <c r="H47" s="7">
        <v>667</v>
      </c>
      <c r="I47" s="2"/>
      <c r="J47" s="6">
        <f t="shared" si="17"/>
        <v>0</v>
      </c>
      <c r="K47" s="2"/>
      <c r="L47" s="7">
        <f t="shared" si="18"/>
        <v>-667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2668</v>
      </c>
      <c r="U47" s="2"/>
      <c r="V47" s="6">
        <f t="shared" si="21"/>
        <v>0</v>
      </c>
      <c r="W47" s="2"/>
      <c r="X47" s="7">
        <f t="shared" si="22"/>
        <v>-2668</v>
      </c>
      <c r="Y47" s="2"/>
      <c r="Z47" s="6">
        <f t="shared" si="23"/>
        <v>-1</v>
      </c>
    </row>
    <row r="48" spans="1:26" s="27" customFormat="1" outlineLevel="1" collapsed="1" x14ac:dyDescent="0.25">
      <c r="A48" s="29"/>
      <c r="B48" s="14" t="str">
        <f>CONCATENATE("     ","Subscriptions &amp; Dues                              ")</f>
        <v xml:space="preserve">     Subscriptions &amp; Dues  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4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25">
      <c r="A49" s="28"/>
      <c r="B49" s="11" t="str">
        <f>CONCATENATE("          ", "6258", " - ", "MEMBERSHIP DUES")</f>
        <v xml:space="preserve">          6258 - MEMBERSHIP DUES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/>
      <c r="Q49" s="2"/>
      <c r="R49" s="6">
        <f t="shared" si="20"/>
        <v>0</v>
      </c>
      <c r="S49" s="2"/>
      <c r="T49" s="7">
        <v>600</v>
      </c>
      <c r="U49" s="2"/>
      <c r="V49" s="6">
        <f t="shared" si="21"/>
        <v>0</v>
      </c>
      <c r="W49" s="2"/>
      <c r="X49" s="7">
        <f t="shared" si="22"/>
        <v>-600</v>
      </c>
      <c r="Y49" s="2"/>
      <c r="Z49" s="6">
        <f t="shared" si="23"/>
        <v>-1</v>
      </c>
    </row>
    <row r="50" spans="1:26" s="27" customFormat="1" outlineLevel="1" collapsed="1" x14ac:dyDescent="0.25">
      <c r="A50" s="29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833</v>
      </c>
      <c r="I50" s="1"/>
      <c r="J50" s="5">
        <f t="shared" si="17"/>
        <v>0</v>
      </c>
      <c r="K50" s="1"/>
      <c r="L50" s="1">
        <f t="shared" si="18"/>
        <v>-833</v>
      </c>
      <c r="M50" s="1"/>
      <c r="N50" s="5">
        <f t="shared" si="19"/>
        <v>-1</v>
      </c>
      <c r="O50" s="14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3332</v>
      </c>
      <c r="U50" s="1"/>
      <c r="V50" s="5">
        <f t="shared" si="21"/>
        <v>0</v>
      </c>
      <c r="W50" s="1"/>
      <c r="X50" s="1">
        <f t="shared" si="22"/>
        <v>-3332</v>
      </c>
      <c r="Y50" s="1"/>
      <c r="Z50" s="5">
        <f t="shared" si="23"/>
        <v>-1</v>
      </c>
    </row>
    <row r="51" spans="1:26" s="24" customFormat="1" hidden="1" outlineLevel="2" x14ac:dyDescent="0.25">
      <c r="A51" s="28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16"/>
        <v>0</v>
      </c>
      <c r="G51" s="2"/>
      <c r="H51" s="7">
        <v>833</v>
      </c>
      <c r="I51" s="2"/>
      <c r="J51" s="6">
        <f t="shared" si="17"/>
        <v>0</v>
      </c>
      <c r="K51" s="2"/>
      <c r="L51" s="7">
        <f t="shared" si="18"/>
        <v>-833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3332</v>
      </c>
      <c r="U51" s="2"/>
      <c r="V51" s="6">
        <f t="shared" si="21"/>
        <v>0</v>
      </c>
      <c r="W51" s="2"/>
      <c r="X51" s="7">
        <f t="shared" si="22"/>
        <v>-3332</v>
      </c>
      <c r="Y51" s="2"/>
      <c r="Z51" s="6">
        <f t="shared" si="23"/>
        <v>-1</v>
      </c>
    </row>
    <row r="52" spans="1:26" s="27" customFormat="1" outlineLevel="1" collapsed="1" x14ac:dyDescent="0.25">
      <c r="A52" s="29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SUM(OSRRefD22_8x_0)</f>
        <v>36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36</v>
      </c>
      <c r="M52" s="1"/>
      <c r="N52" s="5">
        <f t="shared" si="19"/>
        <v>0</v>
      </c>
      <c r="O52" s="14"/>
      <c r="P52" s="1">
        <f>SUM(OSRRefP22_8x_0)</f>
        <v>108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-1692</v>
      </c>
      <c r="Y52" s="1"/>
      <c r="Z52" s="5">
        <f t="shared" si="23"/>
        <v>-0.94</v>
      </c>
    </row>
    <row r="53" spans="1:26" s="24" customFormat="1" hidden="1" outlineLevel="2" x14ac:dyDescent="0.25">
      <c r="A53" s="28"/>
      <c r="B53" s="11" t="str">
        <f>CONCATENATE("          ", "6303", " - ", "DATA PHONE LINES")</f>
        <v xml:space="preserve">          6303 - DATA PHONE LINES</v>
      </c>
      <c r="C53" s="11"/>
      <c r="D53" s="7"/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0</v>
      </c>
      <c r="M53" s="2"/>
      <c r="N53" s="6">
        <f t="shared" si="19"/>
        <v>0</v>
      </c>
      <c r="O53" s="11"/>
      <c r="P53" s="7"/>
      <c r="Q53" s="2"/>
      <c r="R53" s="6">
        <f t="shared" si="20"/>
        <v>0</v>
      </c>
      <c r="S53" s="2"/>
      <c r="T53" s="7">
        <v>1800</v>
      </c>
      <c r="U53" s="2"/>
      <c r="V53" s="6">
        <f t="shared" si="21"/>
        <v>0</v>
      </c>
      <c r="W53" s="2"/>
      <c r="X53" s="7">
        <f t="shared" si="22"/>
        <v>-1800</v>
      </c>
      <c r="Y53" s="2"/>
      <c r="Z53" s="6">
        <f t="shared" si="23"/>
        <v>-1</v>
      </c>
    </row>
    <row r="54" spans="1:26" s="24" customFormat="1" hidden="1" outlineLevel="2" x14ac:dyDescent="0.25">
      <c r="A54" s="28"/>
      <c r="B54" s="11" t="str">
        <f>CONCATENATE("          ", "6309", " - ", "TELEPHONE")</f>
        <v xml:space="preserve">          6309 - TELEPHONE</v>
      </c>
      <c r="C54" s="11"/>
      <c r="D54" s="7">
        <v>36</v>
      </c>
      <c r="E54" s="2"/>
      <c r="F54" s="6">
        <f t="shared" si="16"/>
        <v>0</v>
      </c>
      <c r="G54" s="2"/>
      <c r="H54" s="7"/>
      <c r="I54" s="2"/>
      <c r="J54" s="6">
        <f t="shared" si="17"/>
        <v>0</v>
      </c>
      <c r="K54" s="2"/>
      <c r="L54" s="7">
        <f t="shared" si="18"/>
        <v>36</v>
      </c>
      <c r="M54" s="2"/>
      <c r="N54" s="6">
        <f t="shared" si="19"/>
        <v>0</v>
      </c>
      <c r="O54" s="11"/>
      <c r="P54" s="7">
        <v>108</v>
      </c>
      <c r="Q54" s="2"/>
      <c r="R54" s="6">
        <f t="shared" si="20"/>
        <v>0</v>
      </c>
      <c r="S54" s="2"/>
      <c r="T54" s="7"/>
      <c r="U54" s="2"/>
      <c r="V54" s="6">
        <f t="shared" si="21"/>
        <v>0</v>
      </c>
      <c r="W54" s="2"/>
      <c r="X54" s="7">
        <f t="shared" si="22"/>
        <v>108</v>
      </c>
      <c r="Y54" s="2"/>
      <c r="Z54" s="6">
        <f t="shared" si="23"/>
        <v>0</v>
      </c>
    </row>
    <row r="55" spans="1:26" s="27" customFormat="1" outlineLevel="1" collapsed="1" x14ac:dyDescent="0.25">
      <c r="A55" s="29"/>
      <c r="B55" s="14" t="str">
        <f>CONCATENATE("     ","Training                                          ")</f>
        <v xml:space="preserve">     Training                                          </v>
      </c>
      <c r="C55" s="14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0</v>
      </c>
      <c r="M55" s="1"/>
      <c r="N55" s="5">
        <f t="shared" ref="N55:N56" si="27">IF(H55=0,0,L55/H55)</f>
        <v>0</v>
      </c>
      <c r="O55" s="14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25">
      <c r="A56" s="28"/>
      <c r="B56" s="11" t="str">
        <f>CONCATENATE("          ", "6376", " - ", "TRAINING")</f>
        <v xml:space="preserve">          6376 - TRAINING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/>
      <c r="Q56" s="2"/>
      <c r="R56" s="6">
        <f t="shared" si="28"/>
        <v>0</v>
      </c>
      <c r="S56" s="2"/>
      <c r="T56" s="7">
        <v>2400</v>
      </c>
      <c r="U56" s="2"/>
      <c r="V56" s="6">
        <f t="shared" si="29"/>
        <v>0</v>
      </c>
      <c r="W56" s="2"/>
      <c r="X56" s="7">
        <f t="shared" si="30"/>
        <v>-2400</v>
      </c>
      <c r="Y56" s="2"/>
      <c r="Z56" s="6">
        <f t="shared" si="31"/>
        <v>-1</v>
      </c>
    </row>
    <row r="57" spans="1:26" s="63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5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6" t="s">
        <v>3</v>
      </c>
      <c r="C60" s="26"/>
      <c r="D60" s="20">
        <f>+D16-D18+D58</f>
        <v>-10192.200000000001</v>
      </c>
      <c r="E60" s="13"/>
      <c r="F60" s="19">
        <f>IF(D$12=0,0,D60/D$12)</f>
        <v>0</v>
      </c>
      <c r="G60" s="13"/>
      <c r="H60" s="20">
        <f>+H16-H18+H58</f>
        <v>-19169.737692307692</v>
      </c>
      <c r="I60" s="13"/>
      <c r="J60" s="19">
        <f>IF(H$12=0,0,H60/H$12)</f>
        <v>0</v>
      </c>
      <c r="K60" s="15"/>
      <c r="L60" s="20">
        <f>+D60-H60</f>
        <v>8977.537692307691</v>
      </c>
      <c r="M60" s="15"/>
      <c r="N60" s="19">
        <f>IF(H60=0,0,L60/H60)</f>
        <v>-0.46831823347849666</v>
      </c>
      <c r="O60" s="25"/>
      <c r="P60" s="20">
        <f>+P16-P18+P58</f>
        <v>-36655.49</v>
      </c>
      <c r="Q60" s="13"/>
      <c r="R60" s="19">
        <f>IF(P$12=0,0,P60/P$12)</f>
        <v>0</v>
      </c>
      <c r="S60" s="13"/>
      <c r="T60" s="20">
        <f>+T16-T18+T58</f>
        <v>-78629.286692307694</v>
      </c>
      <c r="U60" s="13"/>
      <c r="V60" s="19">
        <f>IF(T$12=0,0,T60/T$12)</f>
        <v>0</v>
      </c>
      <c r="W60" s="15"/>
      <c r="X60" s="20">
        <f>+P60-T60</f>
        <v>41973.796692307697</v>
      </c>
      <c r="Y60" s="15"/>
      <c r="Z60" s="19">
        <f>IF(T60=0,0,X60/T60)</f>
        <v>-0.53381886645569676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14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6" t="s">
        <v>4</v>
      </c>
      <c r="C64" s="26"/>
      <c r="D64" s="34">
        <f>+D60-D62</f>
        <v>-10192.200000000001</v>
      </c>
      <c r="E64" s="13"/>
      <c r="F64" s="35">
        <f>IF(D$12=0,0,D64/D$12)</f>
        <v>0</v>
      </c>
      <c r="G64" s="13"/>
      <c r="H64" s="34">
        <f>+H60-H62</f>
        <v>-19169.737692307692</v>
      </c>
      <c r="I64" s="13"/>
      <c r="J64" s="35">
        <f>IF(H$12=0,0,H64/H$12)</f>
        <v>0</v>
      </c>
      <c r="K64" s="15"/>
      <c r="L64" s="34">
        <f>D64-H64</f>
        <v>8977.537692307691</v>
      </c>
      <c r="M64" s="15"/>
      <c r="N64" s="35">
        <f>IF(H64=0,0,L64/H64)</f>
        <v>-0.46831823347849666</v>
      </c>
      <c r="O64" s="25"/>
      <c r="P64" s="34">
        <f>+P60-P62</f>
        <v>-36655.49</v>
      </c>
      <c r="Q64" s="13"/>
      <c r="R64" s="35">
        <f>IF(P$12=0,0,P64/P$12)</f>
        <v>0</v>
      </c>
      <c r="S64" s="13"/>
      <c r="T64" s="34">
        <f>+T60-T62</f>
        <v>-78629.286692307694</v>
      </c>
      <c r="U64" s="13"/>
      <c r="V64" s="35">
        <f>IF(T$12=0,0,T64/T$12)</f>
        <v>0</v>
      </c>
      <c r="W64" s="15"/>
      <c r="X64" s="34">
        <f>P64-T64</f>
        <v>41973.796692307697</v>
      </c>
      <c r="Y64" s="15"/>
      <c r="Z64" s="35">
        <f>IF(T64=0,0,X64/T64)</f>
        <v>-0.53381886645569676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5</v>
      </c>
      <c r="C67" s="26"/>
      <c r="D67" s="30">
        <f>SUM(D64:D66)</f>
        <v>-10192.200000000001</v>
      </c>
      <c r="E67" s="13"/>
      <c r="F67" s="32">
        <f>IF(D$12=0,0,D67/D$12)</f>
        <v>0</v>
      </c>
      <c r="G67" s="13"/>
      <c r="H67" s="30">
        <f>SUM(H64:H66)</f>
        <v>-19169.737692307692</v>
      </c>
      <c r="I67" s="13"/>
      <c r="J67" s="32">
        <f>IF(H$12=0,0,H67/H$12)</f>
        <v>0</v>
      </c>
      <c r="K67" s="15"/>
      <c r="L67" s="30">
        <f>+D67-H67</f>
        <v>8977.537692307691</v>
      </c>
      <c r="M67" s="15"/>
      <c r="N67" s="32">
        <f>IF(H67=0,0,L67/H67)</f>
        <v>-0.46831823347849666</v>
      </c>
      <c r="O67" s="25"/>
      <c r="P67" s="30">
        <f>SUM(P64:P66)</f>
        <v>-36655.49</v>
      </c>
      <c r="Q67" s="13"/>
      <c r="R67" s="32">
        <f>IF(P$12=0,0,P67/P$12)</f>
        <v>0</v>
      </c>
      <c r="S67" s="13"/>
      <c r="T67" s="30">
        <f>SUM(T64:T66)</f>
        <v>-78629.286692307694</v>
      </c>
      <c r="U67" s="13"/>
      <c r="V67" s="32">
        <f>IF(T$12=0,0,T67/T$12)</f>
        <v>0</v>
      </c>
      <c r="W67" s="15"/>
      <c r="X67" s="30">
        <f>+P67-T67</f>
        <v>41973.796692307697</v>
      </c>
      <c r="Y67" s="15"/>
      <c r="Z67" s="32">
        <f>IF(T67=0,0,X67/T67)</f>
        <v>-0.53381886645569676</v>
      </c>
    </row>
    <row r="68" spans="1:26" ht="15.75" thickTop="1" x14ac:dyDescent="0.25">
      <c r="A68" s="9"/>
      <c r="C68" s="9"/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25">
      <c r="A69" s="9"/>
      <c r="B69" s="60">
        <v>44151.568108946762</v>
      </c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58" t="s">
        <v>314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3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160109.03000000003</v>
      </c>
      <c r="E12" s="4"/>
      <c r="F12" s="12"/>
      <c r="G12" s="4"/>
      <c r="H12" s="4">
        <f>SUM(OSRRefH13x_0)</f>
        <v>469766</v>
      </c>
      <c r="I12" s="4"/>
      <c r="J12" s="12"/>
      <c r="K12" s="4"/>
      <c r="L12" s="4">
        <f t="shared" ref="L12:L75" si="0">+D12-H12</f>
        <v>-309656.96999999997</v>
      </c>
      <c r="M12" s="4"/>
      <c r="N12" s="12">
        <f t="shared" ref="N12:N75" si="1">IF(H12=0,0,L12/H12)</f>
        <v>-0.65917280092641861</v>
      </c>
      <c r="O12" s="10"/>
      <c r="P12" s="4">
        <f>SUM(OSRRefP13x_0)</f>
        <v>2356596.73</v>
      </c>
      <c r="Q12" s="4"/>
      <c r="R12" s="12"/>
      <c r="S12" s="4"/>
      <c r="T12" s="4">
        <f>SUM(OSRRefT13x_0)</f>
        <v>4108911</v>
      </c>
      <c r="U12" s="4"/>
      <c r="V12" s="12"/>
      <c r="W12" s="4"/>
      <c r="X12" s="4">
        <f t="shared" ref="X12:X75" si="2">+P12-T12</f>
        <v>-1752314.27</v>
      </c>
      <c r="Y12" s="4"/>
      <c r="Z12" s="12">
        <f t="shared" ref="Z12:Z75" si="3">IF(T12=0,0,X12/T12)</f>
        <v>-0.42646683512979472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-11383.24</f>
        <v>-11383.24</v>
      </c>
      <c r="E13" s="2"/>
      <c r="F13" s="22"/>
      <c r="G13" s="2"/>
      <c r="H13" s="2">
        <v>391276</v>
      </c>
      <c r="I13" s="2"/>
      <c r="J13" s="22"/>
      <c r="K13" s="2"/>
      <c r="L13" s="2">
        <f t="shared" si="0"/>
        <v>-402659.24</v>
      </c>
      <c r="M13" s="2"/>
      <c r="N13" s="22">
        <f t="shared" si="1"/>
        <v>-1.029092609820178</v>
      </c>
      <c r="O13" s="11"/>
      <c r="P13" s="2">
        <f>-47460.32</f>
        <v>-47460.32</v>
      </c>
      <c r="Q13" s="2"/>
      <c r="R13" s="22"/>
      <c r="S13" s="2"/>
      <c r="T13" s="2">
        <v>3953672</v>
      </c>
      <c r="U13" s="2"/>
      <c r="V13" s="22"/>
      <c r="W13" s="2"/>
      <c r="X13" s="2">
        <f t="shared" si="2"/>
        <v>-4001132.32</v>
      </c>
      <c r="Y13" s="2"/>
      <c r="Z13" s="22">
        <f t="shared" si="3"/>
        <v>-1.0120041116207921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--17630.93</f>
        <v>17630.93</v>
      </c>
      <c r="E14" s="2"/>
      <c r="F14" s="22"/>
      <c r="G14" s="2"/>
      <c r="H14" s="2"/>
      <c r="I14" s="2"/>
      <c r="J14" s="22"/>
      <c r="K14" s="2"/>
      <c r="L14" s="2">
        <f t="shared" si="0"/>
        <v>17630.93</v>
      </c>
      <c r="M14" s="2"/>
      <c r="N14" s="22">
        <f t="shared" si="1"/>
        <v>0</v>
      </c>
      <c r="O14" s="11"/>
      <c r="P14" s="2">
        <f>--712327.57</f>
        <v>712327.57</v>
      </c>
      <c r="Q14" s="2"/>
      <c r="R14" s="22"/>
      <c r="S14" s="2"/>
      <c r="T14" s="2"/>
      <c r="U14" s="2"/>
      <c r="V14" s="22"/>
      <c r="W14" s="2"/>
      <c r="X14" s="2">
        <f t="shared" si="2"/>
        <v>712327.57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--2483.62</f>
        <v>2483.62</v>
      </c>
      <c r="E15" s="2"/>
      <c r="F15" s="22"/>
      <c r="G15" s="2"/>
      <c r="H15" s="2"/>
      <c r="I15" s="2"/>
      <c r="J15" s="22"/>
      <c r="K15" s="2"/>
      <c r="L15" s="2">
        <f t="shared" si="0"/>
        <v>2483.62</v>
      </c>
      <c r="M15" s="2"/>
      <c r="N15" s="22">
        <f t="shared" si="1"/>
        <v>0</v>
      </c>
      <c r="O15" s="11"/>
      <c r="P15" s="2">
        <f>--319139.52</f>
        <v>319139.52</v>
      </c>
      <c r="Q15" s="2"/>
      <c r="R15" s="22"/>
      <c r="S15" s="2"/>
      <c r="T15" s="2"/>
      <c r="U15" s="2"/>
      <c r="V15" s="22"/>
      <c r="W15" s="2"/>
      <c r="X15" s="2">
        <f t="shared" si="2"/>
        <v>319139.52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22"/>
      <c r="G16" s="2"/>
      <c r="H16" s="2"/>
      <c r="I16" s="2"/>
      <c r="J16" s="22"/>
      <c r="K16" s="2"/>
      <c r="L16" s="2">
        <f t="shared" si="0"/>
        <v>70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22"/>
      <c r="G17" s="2"/>
      <c r="H17" s="2"/>
      <c r="I17" s="2"/>
      <c r="J17" s="22"/>
      <c r="K17" s="2"/>
      <c r="L17" s="2">
        <f t="shared" si="0"/>
        <v>354.45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--157.47</f>
        <v>157.47</v>
      </c>
      <c r="E18" s="2"/>
      <c r="F18" s="22"/>
      <c r="G18" s="2"/>
      <c r="H18" s="2"/>
      <c r="I18" s="2"/>
      <c r="J18" s="22"/>
      <c r="K18" s="2"/>
      <c r="L18" s="2">
        <f t="shared" si="0"/>
        <v>157.47</v>
      </c>
      <c r="M18" s="2"/>
      <c r="N18" s="22">
        <f t="shared" si="1"/>
        <v>0</v>
      </c>
      <c r="O18" s="11"/>
      <c r="P18" s="2">
        <f>--197.37</f>
        <v>197.37</v>
      </c>
      <c r="Q18" s="2"/>
      <c r="R18" s="22"/>
      <c r="S18" s="2"/>
      <c r="T18" s="2"/>
      <c r="U18" s="2"/>
      <c r="V18" s="22"/>
      <c r="W18" s="2"/>
      <c r="X18" s="2">
        <f t="shared" si="2"/>
        <v>197.37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</f>
        <v>35.799999999999997</v>
      </c>
      <c r="E19" s="2"/>
      <c r="F19" s="22"/>
      <c r="G19" s="2"/>
      <c r="H19" s="2"/>
      <c r="I19" s="2"/>
      <c r="J19" s="22"/>
      <c r="K19" s="2"/>
      <c r="L19" s="2">
        <f t="shared" si="0"/>
        <v>35.799999999999997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0</f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--20.8</f>
        <v>20.8</v>
      </c>
      <c r="E21" s="2"/>
      <c r="F21" s="22"/>
      <c r="G21" s="2"/>
      <c r="H21" s="2"/>
      <c r="I21" s="2"/>
      <c r="J21" s="22"/>
      <c r="K21" s="2"/>
      <c r="L21" s="2">
        <f t="shared" si="0"/>
        <v>20.8</v>
      </c>
      <c r="M21" s="2"/>
      <c r="N21" s="22">
        <f t="shared" si="1"/>
        <v>0</v>
      </c>
      <c r="O21" s="11"/>
      <c r="P21" s="2">
        <f>--278.83</f>
        <v>278.83</v>
      </c>
      <c r="Q21" s="2"/>
      <c r="R21" s="22"/>
      <c r="S21" s="2"/>
      <c r="T21" s="2"/>
      <c r="U21" s="2"/>
      <c r="V21" s="22"/>
      <c r="W21" s="2"/>
      <c r="X21" s="2">
        <f t="shared" si="2"/>
        <v>278.83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--2328.89</f>
        <v>2328.89</v>
      </c>
      <c r="E22" s="2"/>
      <c r="F22" s="22"/>
      <c r="G22" s="2"/>
      <c r="H22" s="2"/>
      <c r="I22" s="2"/>
      <c r="J22" s="22"/>
      <c r="K22" s="2"/>
      <c r="L22" s="2">
        <f t="shared" si="0"/>
        <v>2328.89</v>
      </c>
      <c r="M22" s="2"/>
      <c r="N22" s="22">
        <f t="shared" si="1"/>
        <v>0</v>
      </c>
      <c r="O22" s="11"/>
      <c r="P22" s="2">
        <f>--35003.5</f>
        <v>35003.5</v>
      </c>
      <c r="Q22" s="2"/>
      <c r="R22" s="22"/>
      <c r="S22" s="2"/>
      <c r="T22" s="2"/>
      <c r="U22" s="2"/>
      <c r="V22" s="22"/>
      <c r="W22" s="2"/>
      <c r="X22" s="2">
        <f t="shared" si="2"/>
        <v>35003.5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--1769.95</f>
        <v>1769.95</v>
      </c>
      <c r="E23" s="2"/>
      <c r="F23" s="22"/>
      <c r="G23" s="2"/>
      <c r="H23" s="2"/>
      <c r="I23" s="2"/>
      <c r="J23" s="22"/>
      <c r="K23" s="2"/>
      <c r="L23" s="2">
        <f t="shared" si="0"/>
        <v>1769.95</v>
      </c>
      <c r="M23" s="2"/>
      <c r="N23" s="22">
        <f t="shared" si="1"/>
        <v>0</v>
      </c>
      <c r="O23" s="11"/>
      <c r="P23" s="2">
        <f>--14268.85</f>
        <v>14268.85</v>
      </c>
      <c r="Q23" s="2"/>
      <c r="R23" s="22"/>
      <c r="S23" s="2"/>
      <c r="T23" s="2"/>
      <c r="U23" s="2"/>
      <c r="V23" s="22"/>
      <c r="W23" s="2"/>
      <c r="X23" s="2">
        <f t="shared" si="2"/>
        <v>14268.85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--429.8</f>
        <v>429.8</v>
      </c>
      <c r="E24" s="2"/>
      <c r="F24" s="22"/>
      <c r="G24" s="2"/>
      <c r="H24" s="2"/>
      <c r="I24" s="2"/>
      <c r="J24" s="22"/>
      <c r="K24" s="2"/>
      <c r="L24" s="2">
        <f t="shared" si="0"/>
        <v>429.8</v>
      </c>
      <c r="M24" s="2"/>
      <c r="N24" s="22">
        <f t="shared" si="1"/>
        <v>0</v>
      </c>
      <c r="O24" s="11"/>
      <c r="P24" s="2">
        <f>--1667.96</f>
        <v>1667.96</v>
      </c>
      <c r="Q24" s="2"/>
      <c r="R24" s="22"/>
      <c r="S24" s="2"/>
      <c r="T24" s="2"/>
      <c r="U24" s="2"/>
      <c r="V24" s="22"/>
      <c r="W24" s="2"/>
      <c r="X24" s="2">
        <f t="shared" si="2"/>
        <v>1667.96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--54384.72</f>
        <v>54384.72</v>
      </c>
      <c r="E27" s="2"/>
      <c r="F27" s="22"/>
      <c r="G27" s="2"/>
      <c r="H27" s="2"/>
      <c r="I27" s="2"/>
      <c r="J27" s="22"/>
      <c r="K27" s="2"/>
      <c r="L27" s="2">
        <f t="shared" si="0"/>
        <v>54384.72</v>
      </c>
      <c r="M27" s="2"/>
      <c r="N27" s="22">
        <f t="shared" si="1"/>
        <v>0</v>
      </c>
      <c r="O27" s="11"/>
      <c r="P27" s="2">
        <f>--382804.91</f>
        <v>382804.91</v>
      </c>
      <c r="Q27" s="2"/>
      <c r="R27" s="22"/>
      <c r="S27" s="2"/>
      <c r="T27" s="2"/>
      <c r="U27" s="2"/>
      <c r="V27" s="22"/>
      <c r="W27" s="2"/>
      <c r="X27" s="2">
        <f t="shared" si="2"/>
        <v>382804.91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--22053.6</f>
        <v>22053.599999999999</v>
      </c>
      <c r="E28" s="2"/>
      <c r="F28" s="22"/>
      <c r="G28" s="2"/>
      <c r="H28" s="2"/>
      <c r="I28" s="2"/>
      <c r="J28" s="22"/>
      <c r="K28" s="2"/>
      <c r="L28" s="2">
        <f t="shared" si="0"/>
        <v>22053.599999999999</v>
      </c>
      <c r="M28" s="2"/>
      <c r="N28" s="22">
        <f t="shared" si="1"/>
        <v>0</v>
      </c>
      <c r="O28" s="11"/>
      <c r="P28" s="2">
        <f>--153087.22</f>
        <v>153087.22</v>
      </c>
      <c r="Q28" s="2"/>
      <c r="R28" s="22"/>
      <c r="S28" s="2"/>
      <c r="T28" s="2"/>
      <c r="U28" s="2"/>
      <c r="V28" s="22"/>
      <c r="W28" s="2"/>
      <c r="X28" s="2">
        <f t="shared" si="2"/>
        <v>153087.22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--6854.18</f>
        <v>6854.18</v>
      </c>
      <c r="E29" s="2"/>
      <c r="F29" s="22"/>
      <c r="G29" s="2"/>
      <c r="H29" s="2"/>
      <c r="I29" s="2"/>
      <c r="J29" s="22"/>
      <c r="K29" s="2"/>
      <c r="L29" s="2">
        <f t="shared" si="0"/>
        <v>6854.18</v>
      </c>
      <c r="M29" s="2"/>
      <c r="N29" s="22">
        <f t="shared" si="1"/>
        <v>0</v>
      </c>
      <c r="O29" s="11"/>
      <c r="P29" s="2">
        <f>--54783.68</f>
        <v>54783.68</v>
      </c>
      <c r="Q29" s="2"/>
      <c r="R29" s="22"/>
      <c r="S29" s="2"/>
      <c r="T29" s="2"/>
      <c r="U29" s="2"/>
      <c r="V29" s="22"/>
      <c r="W29" s="2"/>
      <c r="X29" s="2">
        <f t="shared" si="2"/>
        <v>54783.68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--30454.88</f>
        <v>30454.880000000001</v>
      </c>
      <c r="E30" s="2"/>
      <c r="F30" s="22"/>
      <c r="G30" s="2"/>
      <c r="H30" s="2"/>
      <c r="I30" s="2"/>
      <c r="J30" s="22"/>
      <c r="K30" s="2"/>
      <c r="L30" s="2">
        <f t="shared" si="0"/>
        <v>30454.880000000001</v>
      </c>
      <c r="M30" s="2"/>
      <c r="N30" s="22">
        <f t="shared" si="1"/>
        <v>0</v>
      </c>
      <c r="O30" s="11"/>
      <c r="P30" s="2">
        <f>--40246.04</f>
        <v>40246.04</v>
      </c>
      <c r="Q30" s="2"/>
      <c r="R30" s="22"/>
      <c r="S30" s="2"/>
      <c r="T30" s="2"/>
      <c r="U30" s="2"/>
      <c r="V30" s="22"/>
      <c r="W30" s="2"/>
      <c r="X30" s="2">
        <f t="shared" si="2"/>
        <v>40246.04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--1157.64</f>
        <v>1157.6400000000001</v>
      </c>
      <c r="E31" s="2"/>
      <c r="F31" s="22"/>
      <c r="G31" s="2"/>
      <c r="H31" s="2"/>
      <c r="I31" s="2"/>
      <c r="J31" s="22"/>
      <c r="K31" s="2"/>
      <c r="L31" s="2">
        <f t="shared" si="0"/>
        <v>1157.6400000000001</v>
      </c>
      <c r="M31" s="2"/>
      <c r="N31" s="22">
        <f t="shared" si="1"/>
        <v>0</v>
      </c>
      <c r="O31" s="11"/>
      <c r="P31" s="2">
        <f>--12489.16</f>
        <v>12489.16</v>
      </c>
      <c r="Q31" s="2"/>
      <c r="R31" s="22"/>
      <c r="S31" s="2"/>
      <c r="T31" s="2"/>
      <c r="U31" s="2"/>
      <c r="V31" s="22"/>
      <c r="W31" s="2"/>
      <c r="X31" s="2">
        <f t="shared" si="2"/>
        <v>12489.16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--4950.17</f>
        <v>4950.17</v>
      </c>
      <c r="E32" s="2"/>
      <c r="F32" s="22"/>
      <c r="G32" s="2"/>
      <c r="H32" s="2"/>
      <c r="I32" s="2"/>
      <c r="J32" s="22"/>
      <c r="K32" s="2"/>
      <c r="L32" s="2">
        <f t="shared" si="0"/>
        <v>4950.17</v>
      </c>
      <c r="M32" s="2"/>
      <c r="N32" s="22">
        <f t="shared" si="1"/>
        <v>0</v>
      </c>
      <c r="O32" s="11"/>
      <c r="P32" s="2">
        <f>--96956.61</f>
        <v>96956.61</v>
      </c>
      <c r="Q32" s="2"/>
      <c r="R32" s="22"/>
      <c r="S32" s="2"/>
      <c r="T32" s="2"/>
      <c r="U32" s="2"/>
      <c r="V32" s="22"/>
      <c r="W32" s="2"/>
      <c r="X32" s="2">
        <f t="shared" si="2"/>
        <v>96956.61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"4081", " - ", "TAXABLE SALES-ELECTRONICS")</f>
        <v xml:space="preserve">          4081 - TAXABLE SALES-ELECTRONICS</v>
      </c>
      <c r="C33" s="11"/>
      <c r="D33" s="2">
        <f t="shared" ref="D33:D34" si="5">0</f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--71.95</f>
        <v>71.95</v>
      </c>
      <c r="Q33" s="2"/>
      <c r="R33" s="22"/>
      <c r="S33" s="2"/>
      <c r="T33" s="2"/>
      <c r="U33" s="2"/>
      <c r="V33" s="22"/>
      <c r="W33" s="2"/>
      <c r="X33" s="2">
        <f t="shared" si="2"/>
        <v>71.95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5"/>
        <v>0</v>
      </c>
      <c r="E34" s="2"/>
      <c r="F34" s="22"/>
      <c r="G34" s="2"/>
      <c r="H34" s="2"/>
      <c r="I34" s="2"/>
      <c r="J34" s="22"/>
      <c r="K34" s="2"/>
      <c r="L34" s="2">
        <f t="shared" si="0"/>
        <v>0</v>
      </c>
      <c r="M34" s="2"/>
      <c r="N34" s="22">
        <f t="shared" si="1"/>
        <v>0</v>
      </c>
      <c r="O34" s="11"/>
      <c r="P34" s="2">
        <f>--9.99</f>
        <v>9.99</v>
      </c>
      <c r="Q34" s="2"/>
      <c r="R34" s="22"/>
      <c r="S34" s="2"/>
      <c r="T34" s="2"/>
      <c r="U34" s="2"/>
      <c r="V34" s="22"/>
      <c r="W34" s="2"/>
      <c r="X34" s="2">
        <f t="shared" si="2"/>
        <v>9.99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"4100", " - ", "NON-TAXABLE SALES")</f>
        <v xml:space="preserve">          4100 - NON-TAXABLE SALES</v>
      </c>
      <c r="C35" s="11"/>
      <c r="D35" s="2">
        <f>--135.79</f>
        <v>135.79</v>
      </c>
      <c r="E35" s="2"/>
      <c r="F35" s="22"/>
      <c r="G35" s="2"/>
      <c r="H35" s="2">
        <v>78490</v>
      </c>
      <c r="I35" s="2"/>
      <c r="J35" s="22"/>
      <c r="K35" s="2"/>
      <c r="L35" s="2">
        <f t="shared" si="0"/>
        <v>-78354.210000000006</v>
      </c>
      <c r="M35" s="2"/>
      <c r="N35" s="22">
        <f t="shared" si="1"/>
        <v>-0.99826997069690415</v>
      </c>
      <c r="O35" s="11"/>
      <c r="P35" s="2">
        <f>--164479.81</f>
        <v>164479.81</v>
      </c>
      <c r="Q35" s="2"/>
      <c r="R35" s="22"/>
      <c r="S35" s="2"/>
      <c r="T35" s="2">
        <v>155239</v>
      </c>
      <c r="U35" s="2"/>
      <c r="V35" s="22"/>
      <c r="W35" s="2"/>
      <c r="X35" s="2">
        <f t="shared" si="2"/>
        <v>9240.8099999999977</v>
      </c>
      <c r="Y35" s="2"/>
      <c r="Z35" s="22">
        <f t="shared" si="3"/>
        <v>5.9526343251373674E-2</v>
      </c>
    </row>
    <row r="36" spans="1:26" s="24" customFormat="1" hidden="1" outlineLevel="1" x14ac:dyDescent="0.25">
      <c r="A36" s="51"/>
      <c r="B36" s="11" t="str">
        <f>CONCATENATE("          ", "4101", " - ", "NON-TAXABLE SALES-NEW TEXT")</f>
        <v xml:space="preserve">          4101 - NON-TAXABLE SALES-NEW TEXT</v>
      </c>
      <c r="C36" s="11"/>
      <c r="D36" s="2">
        <f>--7260.05</f>
        <v>7260.05</v>
      </c>
      <c r="E36" s="2"/>
      <c r="F36" s="22"/>
      <c r="G36" s="2"/>
      <c r="H36" s="2"/>
      <c r="I36" s="2"/>
      <c r="J36" s="22"/>
      <c r="K36" s="2"/>
      <c r="L36" s="2">
        <f t="shared" si="0"/>
        <v>7260.05</v>
      </c>
      <c r="M36" s="2"/>
      <c r="N36" s="22">
        <f t="shared" si="1"/>
        <v>0</v>
      </c>
      <c r="O36" s="11"/>
      <c r="P36" s="2">
        <f>--77664.89</f>
        <v>77664.89</v>
      </c>
      <c r="Q36" s="2"/>
      <c r="R36" s="22"/>
      <c r="S36" s="2"/>
      <c r="T36" s="2"/>
      <c r="U36" s="2"/>
      <c r="V36" s="22"/>
      <c r="W36" s="2"/>
      <c r="X36" s="2">
        <f t="shared" si="2"/>
        <v>77664.89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"4102", " - ", "NON-TAXABLE SALES-USED TEXT")</f>
        <v xml:space="preserve">          4102 - NON-TAXABLE SALES-USED TEXT</v>
      </c>
      <c r="C37" s="11"/>
      <c r="D37" s="2">
        <f>--2341.65</f>
        <v>2341.65</v>
      </c>
      <c r="E37" s="2"/>
      <c r="F37" s="22"/>
      <c r="G37" s="2"/>
      <c r="H37" s="2"/>
      <c r="I37" s="2"/>
      <c r="J37" s="22"/>
      <c r="K37" s="2"/>
      <c r="L37" s="2">
        <f t="shared" si="0"/>
        <v>2341.65</v>
      </c>
      <c r="M37" s="2"/>
      <c r="N37" s="22">
        <f t="shared" si="1"/>
        <v>0</v>
      </c>
      <c r="O37" s="11"/>
      <c r="P37" s="2">
        <f>--32712.47</f>
        <v>32712.47</v>
      </c>
      <c r="Q37" s="2"/>
      <c r="R37" s="22"/>
      <c r="S37" s="2"/>
      <c r="T37" s="2"/>
      <c r="U37" s="2"/>
      <c r="V37" s="22"/>
      <c r="W37" s="2"/>
      <c r="X37" s="2">
        <f t="shared" si="2"/>
        <v>32712.47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"4103", " - ", "NON-TAXABLE SALES-RENTAL TEXT")</f>
        <v xml:space="preserve">          4103 - NON-TAXABLE SALES-RENTAL TEXT</v>
      </c>
      <c r="C38" s="11"/>
      <c r="D38" s="2">
        <f>0</f>
        <v>0</v>
      </c>
      <c r="E38" s="2"/>
      <c r="F38" s="22"/>
      <c r="G38" s="2"/>
      <c r="H38" s="2"/>
      <c r="I38" s="2"/>
      <c r="J38" s="22"/>
      <c r="K38" s="2"/>
      <c r="L38" s="2">
        <f t="shared" si="0"/>
        <v>0</v>
      </c>
      <c r="M38" s="2"/>
      <c r="N38" s="22">
        <f t="shared" si="1"/>
        <v>0</v>
      </c>
      <c r="O38" s="11"/>
      <c r="P38" s="2">
        <f>--284.97</f>
        <v>284.97000000000003</v>
      </c>
      <c r="Q38" s="2"/>
      <c r="R38" s="22"/>
      <c r="S38" s="2"/>
      <c r="T38" s="2"/>
      <c r="U38" s="2"/>
      <c r="V38" s="22"/>
      <c r="W38" s="2"/>
      <c r="X38" s="2">
        <f t="shared" si="2"/>
        <v>284.97000000000003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"4104", " - ", "NON-TAXABLE SALES-DIGITAL TEXT")</f>
        <v xml:space="preserve">          4104 - NON-TAXABLE SALES-DIGITAL TEXT</v>
      </c>
      <c r="C39" s="11"/>
      <c r="D39" s="2">
        <f>--6767.67</f>
        <v>6767.67</v>
      </c>
      <c r="E39" s="2"/>
      <c r="F39" s="22"/>
      <c r="G39" s="2"/>
      <c r="H39" s="2"/>
      <c r="I39" s="2"/>
      <c r="J39" s="22"/>
      <c r="K39" s="2"/>
      <c r="L39" s="2">
        <f t="shared" si="0"/>
        <v>6767.67</v>
      </c>
      <c r="M39" s="2"/>
      <c r="N39" s="22">
        <f t="shared" si="1"/>
        <v>0</v>
      </c>
      <c r="O39" s="11"/>
      <c r="P39" s="2">
        <f>--293475.52</f>
        <v>293475.52</v>
      </c>
      <c r="Q39" s="2"/>
      <c r="R39" s="22"/>
      <c r="S39" s="2"/>
      <c r="T39" s="2"/>
      <c r="U39" s="2"/>
      <c r="V39" s="22"/>
      <c r="W39" s="2"/>
      <c r="X39" s="2">
        <f t="shared" si="2"/>
        <v>293475.52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"4113", " - ", "NON-TAXABLE SALES-TRADE BOOKS")</f>
        <v xml:space="preserve">          4113 - NON-TAXABLE SALES-TRADE BOOKS</v>
      </c>
      <c r="C40" s="11"/>
      <c r="D40" s="2">
        <f>--1655.95</f>
        <v>1655.95</v>
      </c>
      <c r="E40" s="2"/>
      <c r="F40" s="22"/>
      <c r="G40" s="2"/>
      <c r="H40" s="2"/>
      <c r="I40" s="2"/>
      <c r="J40" s="22"/>
      <c r="K40" s="2"/>
      <c r="L40" s="2">
        <f t="shared" si="0"/>
        <v>1655.95</v>
      </c>
      <c r="M40" s="2"/>
      <c r="N40" s="22">
        <f t="shared" si="1"/>
        <v>0</v>
      </c>
      <c r="O40" s="11"/>
      <c r="P40" s="2">
        <f>--1655.95</f>
        <v>1655.95</v>
      </c>
      <c r="Q40" s="2"/>
      <c r="R40" s="22"/>
      <c r="S40" s="2"/>
      <c r="T40" s="2"/>
      <c r="U40" s="2"/>
      <c r="V40" s="22"/>
      <c r="W40" s="2"/>
      <c r="X40" s="2">
        <f t="shared" si="2"/>
        <v>1655.95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>--97.3</f>
        <v>97.3</v>
      </c>
      <c r="E41" s="2"/>
      <c r="F41" s="22"/>
      <c r="G41" s="2"/>
      <c r="H41" s="2"/>
      <c r="I41" s="2"/>
      <c r="J41" s="22"/>
      <c r="K41" s="2"/>
      <c r="L41" s="2">
        <f t="shared" si="0"/>
        <v>97.3</v>
      </c>
      <c r="M41" s="2"/>
      <c r="N41" s="22">
        <f t="shared" si="1"/>
        <v>0</v>
      </c>
      <c r="O41" s="11"/>
      <c r="P41" s="2">
        <f>--205.63</f>
        <v>205.63</v>
      </c>
      <c r="Q41" s="2"/>
      <c r="R41" s="22"/>
      <c r="S41" s="2"/>
      <c r="T41" s="2"/>
      <c r="U41" s="2"/>
      <c r="V41" s="22"/>
      <c r="W41" s="2"/>
      <c r="X41" s="2">
        <f t="shared" si="2"/>
        <v>205.63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>0</f>
        <v>0</v>
      </c>
      <c r="E42" s="2"/>
      <c r="F42" s="22"/>
      <c r="G42" s="2"/>
      <c r="H42" s="2"/>
      <c r="I42" s="2"/>
      <c r="J42" s="22"/>
      <c r="K42" s="2"/>
      <c r="L42" s="2">
        <f t="shared" si="0"/>
        <v>0</v>
      </c>
      <c r="M42" s="2"/>
      <c r="N42" s="22">
        <f t="shared" si="1"/>
        <v>0</v>
      </c>
      <c r="O42" s="11"/>
      <c r="P42" s="2">
        <f>--52.68</f>
        <v>52.68</v>
      </c>
      <c r="Q42" s="2"/>
      <c r="R42" s="22"/>
      <c r="S42" s="2"/>
      <c r="T42" s="2"/>
      <c r="U42" s="2"/>
      <c r="V42" s="22"/>
      <c r="W42" s="2"/>
      <c r="X42" s="2">
        <f t="shared" si="2"/>
        <v>52.68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>--160.95</f>
        <v>160.94999999999999</v>
      </c>
      <c r="E43" s="2"/>
      <c r="F43" s="22"/>
      <c r="G43" s="2"/>
      <c r="H43" s="2"/>
      <c r="I43" s="2"/>
      <c r="J43" s="22"/>
      <c r="K43" s="2"/>
      <c r="L43" s="2">
        <f t="shared" si="0"/>
        <v>160.94999999999999</v>
      </c>
      <c r="M43" s="2"/>
      <c r="N43" s="22">
        <f t="shared" si="1"/>
        <v>0</v>
      </c>
      <c r="O43" s="11"/>
      <c r="P43" s="2">
        <f>--2831.69</f>
        <v>2831.69</v>
      </c>
      <c r="Q43" s="2"/>
      <c r="R43" s="22"/>
      <c r="S43" s="2"/>
      <c r="T43" s="2"/>
      <c r="U43" s="2"/>
      <c r="V43" s="22"/>
      <c r="W43" s="2"/>
      <c r="X43" s="2">
        <f t="shared" si="2"/>
        <v>2831.69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"4131", " - ", "NON-TAXABLE SALES-FOOD")</f>
        <v xml:space="preserve">          4131 - NON-TAXABLE SALES-FOOD</v>
      </c>
      <c r="C44" s="11"/>
      <c r="D44" s="2">
        <f>--1521.48</f>
        <v>1521.48</v>
      </c>
      <c r="E44" s="2"/>
      <c r="F44" s="22"/>
      <c r="G44" s="2"/>
      <c r="H44" s="2"/>
      <c r="I44" s="2"/>
      <c r="J44" s="22"/>
      <c r="K44" s="2"/>
      <c r="L44" s="2">
        <f t="shared" si="0"/>
        <v>1521.48</v>
      </c>
      <c r="M44" s="2"/>
      <c r="N44" s="22">
        <f t="shared" si="1"/>
        <v>0</v>
      </c>
      <c r="O44" s="11"/>
      <c r="P44" s="2">
        <f>--5525.44</f>
        <v>5525.44</v>
      </c>
      <c r="Q44" s="2"/>
      <c r="R44" s="22"/>
      <c r="S44" s="2"/>
      <c r="T44" s="2"/>
      <c r="U44" s="2"/>
      <c r="V44" s="22"/>
      <c r="W44" s="2"/>
      <c r="X44" s="2">
        <f t="shared" si="2"/>
        <v>5525.44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"4132", " - ", "NON-TAXABLE SALES-JUICE")</f>
        <v xml:space="preserve">          4132 - NON-TAXABLE SALES-JUICE</v>
      </c>
      <c r="C45" s="11"/>
      <c r="D45" s="2">
        <f t="shared" ref="D45:D48" si="6">0</f>
        <v>0</v>
      </c>
      <c r="E45" s="2"/>
      <c r="F45" s="22"/>
      <c r="G45" s="2"/>
      <c r="H45" s="2"/>
      <c r="I45" s="2"/>
      <c r="J45" s="22"/>
      <c r="K45" s="2"/>
      <c r="L45" s="2">
        <f t="shared" si="0"/>
        <v>0</v>
      </c>
      <c r="M45" s="2"/>
      <c r="N45" s="22">
        <f t="shared" si="1"/>
        <v>0</v>
      </c>
      <c r="O45" s="11"/>
      <c r="P45" s="2">
        <f>--2054.37</f>
        <v>2054.37</v>
      </c>
      <c r="Q45" s="2"/>
      <c r="R45" s="22"/>
      <c r="S45" s="2"/>
      <c r="T45" s="2"/>
      <c r="U45" s="2"/>
      <c r="V45" s="22"/>
      <c r="W45" s="2"/>
      <c r="X45" s="2">
        <f t="shared" si="2"/>
        <v>2054.37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"4133", " - ", "NON-TAXABLE SALES-CANDY")</f>
        <v xml:space="preserve">          4133 - NON-TAXABLE SALES-CANDY</v>
      </c>
      <c r="C46" s="11"/>
      <c r="D46" s="2">
        <f t="shared" si="6"/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--80.71</f>
        <v>80.709999999999994</v>
      </c>
      <c r="Q46" s="2"/>
      <c r="R46" s="22"/>
      <c r="S46" s="2"/>
      <c r="T46" s="2"/>
      <c r="U46" s="2"/>
      <c r="V46" s="22"/>
      <c r="W46" s="2"/>
      <c r="X46" s="2">
        <f t="shared" si="2"/>
        <v>80.709999999999994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"4134", " - ", "NON-TAXABLE SALES-SODA")</f>
        <v xml:space="preserve">          4134 - NON-TAXABLE SALES-SODA</v>
      </c>
      <c r="C47" s="11"/>
      <c r="D47" s="2">
        <f t="shared" si="6"/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--45.53</f>
        <v>45.53</v>
      </c>
      <c r="Q47" s="2"/>
      <c r="R47" s="22"/>
      <c r="S47" s="2"/>
      <c r="T47" s="2"/>
      <c r="U47" s="2"/>
      <c r="V47" s="22"/>
      <c r="W47" s="2"/>
      <c r="X47" s="2">
        <f t="shared" si="2"/>
        <v>45.53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"4137", " - ", "NON-TAXABLE SALES-WATER")</f>
        <v xml:space="preserve">          4137 - NON-TAXABLE SALES-WATER</v>
      </c>
      <c r="C48" s="11"/>
      <c r="D48" s="2">
        <f t="shared" si="6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--68.25</f>
        <v>68.25</v>
      </c>
      <c r="Q48" s="2"/>
      <c r="R48" s="22"/>
      <c r="S48" s="2"/>
      <c r="T48" s="2"/>
      <c r="U48" s="2"/>
      <c r="V48" s="22"/>
      <c r="W48" s="2"/>
      <c r="X48" s="2">
        <f t="shared" si="2"/>
        <v>68.25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"4140", " - ", "NON-TAXABLE SALES-LOGO CLOTHIN")</f>
        <v xml:space="preserve">          4140 - NON-TAXABLE SALES-LOGO CLOTHIN</v>
      </c>
      <c r="C49" s="11"/>
      <c r="D49" s="2">
        <f>--13163.04</f>
        <v>13163.04</v>
      </c>
      <c r="E49" s="2"/>
      <c r="F49" s="22"/>
      <c r="G49" s="2"/>
      <c r="H49" s="2"/>
      <c r="I49" s="2"/>
      <c r="J49" s="22"/>
      <c r="K49" s="2"/>
      <c r="L49" s="2">
        <f t="shared" si="0"/>
        <v>13163.04</v>
      </c>
      <c r="M49" s="2"/>
      <c r="N49" s="22">
        <f t="shared" si="1"/>
        <v>0</v>
      </c>
      <c r="O49" s="11"/>
      <c r="P49" s="2">
        <f>--30615.48</f>
        <v>30615.48</v>
      </c>
      <c r="Q49" s="2"/>
      <c r="R49" s="22"/>
      <c r="S49" s="2"/>
      <c r="T49" s="2"/>
      <c r="U49" s="2"/>
      <c r="V49" s="22"/>
      <c r="W49" s="2"/>
      <c r="X49" s="2">
        <f t="shared" si="2"/>
        <v>30615.48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"4141", " - ", "NON-TAXABLE SALES-LOGO GIFTS")</f>
        <v xml:space="preserve">          4141 - NON-TAXABLE SALES-LOGO GIFTS</v>
      </c>
      <c r="C50" s="11"/>
      <c r="D50" s="2">
        <f>--437.71</f>
        <v>437.71</v>
      </c>
      <c r="E50" s="2"/>
      <c r="F50" s="22"/>
      <c r="G50" s="2"/>
      <c r="H50" s="2"/>
      <c r="I50" s="2"/>
      <c r="J50" s="22"/>
      <c r="K50" s="2"/>
      <c r="L50" s="2">
        <f t="shared" si="0"/>
        <v>437.71</v>
      </c>
      <c r="M50" s="2"/>
      <c r="N50" s="22">
        <f t="shared" si="1"/>
        <v>0</v>
      </c>
      <c r="O50" s="11"/>
      <c r="P50" s="2">
        <f>--3382.7</f>
        <v>3382.7</v>
      </c>
      <c r="Q50" s="2"/>
      <c r="R50" s="22"/>
      <c r="S50" s="2"/>
      <c r="T50" s="2"/>
      <c r="U50" s="2"/>
      <c r="V50" s="22"/>
      <c r="W50" s="2"/>
      <c r="X50" s="2">
        <f t="shared" si="2"/>
        <v>3382.7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"4142", " - ", "NON-TAXABLE SALES-EVERYDAY GIF")</f>
        <v xml:space="preserve">          4142 - NON-TAXABLE SALES-EVERYDAY GIF</v>
      </c>
      <c r="C51" s="11"/>
      <c r="D51" s="2">
        <f>--310.68</f>
        <v>310.68</v>
      </c>
      <c r="E51" s="2"/>
      <c r="F51" s="22"/>
      <c r="G51" s="2"/>
      <c r="H51" s="2"/>
      <c r="I51" s="2"/>
      <c r="J51" s="22"/>
      <c r="K51" s="2"/>
      <c r="L51" s="2">
        <f t="shared" si="0"/>
        <v>310.68</v>
      </c>
      <c r="M51" s="2"/>
      <c r="N51" s="22">
        <f t="shared" si="1"/>
        <v>0</v>
      </c>
      <c r="O51" s="11"/>
      <c r="P51" s="2">
        <f>--1320.41</f>
        <v>1320.41</v>
      </c>
      <c r="Q51" s="2"/>
      <c r="R51" s="22"/>
      <c r="S51" s="2"/>
      <c r="T51" s="2"/>
      <c r="U51" s="2"/>
      <c r="V51" s="22"/>
      <c r="W51" s="2"/>
      <c r="X51" s="2">
        <f t="shared" si="2"/>
        <v>1320.41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"4143", " - ", "NON-TAXABLE SALES-CARDS")</f>
        <v xml:space="preserve">          4143 - NON-TAXABLE SALES-CARDS</v>
      </c>
      <c r="C52" s="11"/>
      <c r="D52" s="2">
        <f>--9.99</f>
        <v>9.99</v>
      </c>
      <c r="E52" s="2"/>
      <c r="F52" s="22"/>
      <c r="G52" s="2"/>
      <c r="H52" s="2"/>
      <c r="I52" s="2"/>
      <c r="J52" s="22"/>
      <c r="K52" s="2"/>
      <c r="L52" s="2">
        <f t="shared" si="0"/>
        <v>9.99</v>
      </c>
      <c r="M52" s="2"/>
      <c r="N52" s="22">
        <f t="shared" si="1"/>
        <v>0</v>
      </c>
      <c r="O52" s="11"/>
      <c r="P52" s="2">
        <f>--29.97</f>
        <v>29.97</v>
      </c>
      <c r="Q52" s="2"/>
      <c r="R52" s="22"/>
      <c r="S52" s="2"/>
      <c r="T52" s="2"/>
      <c r="U52" s="2"/>
      <c r="V52" s="22"/>
      <c r="W52" s="2"/>
      <c r="X52" s="2">
        <f t="shared" si="2"/>
        <v>29.97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"4144", " - ", "NON-TAXABLE SALES-ACCESSORIES")</f>
        <v xml:space="preserve">          4144 - NON-TAXABLE SALES-ACCESSORIES</v>
      </c>
      <c r="C53" s="11"/>
      <c r="D53" s="2">
        <f>--154</f>
        <v>154</v>
      </c>
      <c r="E53" s="2"/>
      <c r="F53" s="22"/>
      <c r="G53" s="2"/>
      <c r="H53" s="2"/>
      <c r="I53" s="2"/>
      <c r="J53" s="22"/>
      <c r="K53" s="2"/>
      <c r="L53" s="2">
        <f t="shared" si="0"/>
        <v>154</v>
      </c>
      <c r="M53" s="2"/>
      <c r="N53" s="22">
        <f t="shared" si="1"/>
        <v>0</v>
      </c>
      <c r="O53" s="11"/>
      <c r="P53" s="2">
        <f>--369.75</f>
        <v>369.75</v>
      </c>
      <c r="Q53" s="2"/>
      <c r="R53" s="22"/>
      <c r="S53" s="2"/>
      <c r="T53" s="2"/>
      <c r="U53" s="2"/>
      <c r="V53" s="22"/>
      <c r="W53" s="2"/>
      <c r="X53" s="2">
        <f t="shared" si="2"/>
        <v>369.75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"4145", " - ", "NON-TAXABLE SALES-SPECIAL ORDE")</f>
        <v xml:space="preserve">          4145 - NON-TAXABLE SALES-SPECIAL ORDE</v>
      </c>
      <c r="C54" s="11"/>
      <c r="D54" s="2">
        <f>0</f>
        <v>0</v>
      </c>
      <c r="E54" s="2"/>
      <c r="F54" s="22"/>
      <c r="G54" s="2"/>
      <c r="H54" s="2"/>
      <c r="I54" s="2"/>
      <c r="J54" s="22"/>
      <c r="K54" s="2"/>
      <c r="L54" s="2">
        <f t="shared" si="0"/>
        <v>0</v>
      </c>
      <c r="M54" s="2"/>
      <c r="N54" s="22">
        <f t="shared" si="1"/>
        <v>0</v>
      </c>
      <c r="O54" s="11"/>
      <c r="P54" s="2">
        <f>--35846</f>
        <v>35846</v>
      </c>
      <c r="Q54" s="2"/>
      <c r="R54" s="22"/>
      <c r="S54" s="2"/>
      <c r="T54" s="2"/>
      <c r="U54" s="2"/>
      <c r="V54" s="22"/>
      <c r="W54" s="2"/>
      <c r="X54" s="2">
        <f t="shared" si="2"/>
        <v>35846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"4146", " - ", "NON-TAXABLE SALES-COIN OP MACH")</f>
        <v xml:space="preserve">          4146 - NON-TAXABLE SALES-COIN OP MACH</v>
      </c>
      <c r="C55" s="11"/>
      <c r="D55" s="2">
        <f>--21.3</f>
        <v>21.3</v>
      </c>
      <c r="E55" s="2"/>
      <c r="F55" s="22"/>
      <c r="G55" s="2"/>
      <c r="H55" s="2"/>
      <c r="I55" s="2"/>
      <c r="J55" s="22"/>
      <c r="K55" s="2"/>
      <c r="L55" s="2">
        <f t="shared" si="0"/>
        <v>21.3</v>
      </c>
      <c r="M55" s="2"/>
      <c r="N55" s="22">
        <f t="shared" si="1"/>
        <v>0</v>
      </c>
      <c r="O55" s="11"/>
      <c r="P55" s="2">
        <f t="shared" ref="P55:P56" si="7">--86.5</f>
        <v>86.5</v>
      </c>
      <c r="Q55" s="2"/>
      <c r="R55" s="22"/>
      <c r="S55" s="2"/>
      <c r="T55" s="2"/>
      <c r="U55" s="2"/>
      <c r="V55" s="22"/>
      <c r="W55" s="2"/>
      <c r="X55" s="2">
        <f t="shared" si="2"/>
        <v>86.5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"4147", " - ", "NON-TAXABLE SALES-MISC")</f>
        <v xml:space="preserve">          4147 - NON-TAXABLE SALES-MISC</v>
      </c>
      <c r="C56" s="11"/>
      <c r="D56" s="2">
        <f>--38.5</f>
        <v>38.5</v>
      </c>
      <c r="E56" s="2"/>
      <c r="F56" s="22"/>
      <c r="G56" s="2"/>
      <c r="H56" s="2"/>
      <c r="I56" s="2"/>
      <c r="J56" s="22"/>
      <c r="K56" s="2"/>
      <c r="L56" s="2">
        <f t="shared" si="0"/>
        <v>38.5</v>
      </c>
      <c r="M56" s="2"/>
      <c r="N56" s="22">
        <f t="shared" si="1"/>
        <v>0</v>
      </c>
      <c r="O56" s="11"/>
      <c r="P56" s="2">
        <f t="shared" si="7"/>
        <v>86.5</v>
      </c>
      <c r="Q56" s="2"/>
      <c r="R56" s="22"/>
      <c r="S56" s="2"/>
      <c r="T56" s="2"/>
      <c r="U56" s="2"/>
      <c r="V56" s="22"/>
      <c r="W56" s="2"/>
      <c r="X56" s="2">
        <f t="shared" si="2"/>
        <v>86.5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"4153", " - ", "NON-TAXABLE SALES-FOOD")</f>
        <v xml:space="preserve">          4153 - NON-TAXABLE SALES-FOOD</v>
      </c>
      <c r="C57" s="11"/>
      <c r="D57" s="2">
        <f>0</f>
        <v>0</v>
      </c>
      <c r="E57" s="2"/>
      <c r="F57" s="22"/>
      <c r="G57" s="2"/>
      <c r="H57" s="2"/>
      <c r="I57" s="2"/>
      <c r="J57" s="22"/>
      <c r="K57" s="2"/>
      <c r="L57" s="2">
        <f t="shared" si="0"/>
        <v>0</v>
      </c>
      <c r="M57" s="2"/>
      <c r="N57" s="22">
        <f t="shared" si="1"/>
        <v>0</v>
      </c>
      <c r="O57" s="11"/>
      <c r="P57" s="2">
        <f>--110</f>
        <v>110</v>
      </c>
      <c r="Q57" s="2"/>
      <c r="R57" s="22"/>
      <c r="S57" s="2"/>
      <c r="T57" s="2"/>
      <c r="U57" s="2"/>
      <c r="V57" s="22"/>
      <c r="W57" s="2"/>
      <c r="X57" s="2">
        <f t="shared" si="2"/>
        <v>110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"4201", " - ", "SALES RETURN TAXABLE-NEW TEXT")</f>
        <v xml:space="preserve">          4201 - SALES RETURN TAXABLE-NEW TEXT</v>
      </c>
      <c r="C58" s="11"/>
      <c r="D58" s="2">
        <f>-1512.25</f>
        <v>-1512.25</v>
      </c>
      <c r="E58" s="2"/>
      <c r="F58" s="22"/>
      <c r="G58" s="2"/>
      <c r="H58" s="2"/>
      <c r="I58" s="2"/>
      <c r="J58" s="22"/>
      <c r="K58" s="2"/>
      <c r="L58" s="2">
        <f t="shared" si="0"/>
        <v>-1512.25</v>
      </c>
      <c r="M58" s="2"/>
      <c r="N58" s="22">
        <f t="shared" si="1"/>
        <v>0</v>
      </c>
      <c r="O58" s="11"/>
      <c r="P58" s="2">
        <f>-33761.24</f>
        <v>-33761.24</v>
      </c>
      <c r="Q58" s="2"/>
      <c r="R58" s="22"/>
      <c r="S58" s="2"/>
      <c r="T58" s="2"/>
      <c r="U58" s="2"/>
      <c r="V58" s="22"/>
      <c r="W58" s="2"/>
      <c r="X58" s="2">
        <f t="shared" si="2"/>
        <v>-33761.24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"4202", " - ", "SALES RETURN TAXABLE-USED TEXT")</f>
        <v xml:space="preserve">          4202 - SALES RETURN TAXABLE-USED TEXT</v>
      </c>
      <c r="C59" s="11"/>
      <c r="D59" s="2">
        <f>-136.05</f>
        <v>-136.05000000000001</v>
      </c>
      <c r="E59" s="2"/>
      <c r="F59" s="22"/>
      <c r="G59" s="2"/>
      <c r="H59" s="2"/>
      <c r="I59" s="2"/>
      <c r="J59" s="22"/>
      <c r="K59" s="2"/>
      <c r="L59" s="2">
        <f t="shared" si="0"/>
        <v>-136.05000000000001</v>
      </c>
      <c r="M59" s="2"/>
      <c r="N59" s="22">
        <f t="shared" si="1"/>
        <v>0</v>
      </c>
      <c r="O59" s="11"/>
      <c r="P59" s="2">
        <f>-10529</f>
        <v>-10529</v>
      </c>
      <c r="Q59" s="2"/>
      <c r="R59" s="22"/>
      <c r="S59" s="2"/>
      <c r="T59" s="2"/>
      <c r="U59" s="2"/>
      <c r="V59" s="22"/>
      <c r="W59" s="2"/>
      <c r="X59" s="2">
        <f t="shared" si="2"/>
        <v>-10529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"4204", " - ", "SALES RETURN TAXABLE-DIGITAL T")</f>
        <v xml:space="preserve">          4204 - SALES RETURN TAXABLE-DIGITAL T</v>
      </c>
      <c r="C60" s="11"/>
      <c r="D60" s="2">
        <f>-383.9</f>
        <v>-383.9</v>
      </c>
      <c r="E60" s="2"/>
      <c r="F60" s="22"/>
      <c r="G60" s="2"/>
      <c r="H60" s="2"/>
      <c r="I60" s="2"/>
      <c r="J60" s="22"/>
      <c r="K60" s="2"/>
      <c r="L60" s="2">
        <f t="shared" si="0"/>
        <v>-383.9</v>
      </c>
      <c r="M60" s="2"/>
      <c r="N60" s="22">
        <f t="shared" si="1"/>
        <v>0</v>
      </c>
      <c r="O60" s="11"/>
      <c r="P60" s="2">
        <f>-1630.85</f>
        <v>-1630.85</v>
      </c>
      <c r="Q60" s="2"/>
      <c r="R60" s="22"/>
      <c r="S60" s="2"/>
      <c r="T60" s="2"/>
      <c r="U60" s="2"/>
      <c r="V60" s="22"/>
      <c r="W60" s="2"/>
      <c r="X60" s="2">
        <f t="shared" si="2"/>
        <v>-1630.85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"4226", " - ", "SALES RETURN TAXABLE-WRITING I")</f>
        <v xml:space="preserve">          4226 - SALES RETURN TAXABLE-WRITING I</v>
      </c>
      <c r="C61" s="11"/>
      <c r="D61" s="2">
        <f>-5.36</f>
        <v>-5.36</v>
      </c>
      <c r="E61" s="2"/>
      <c r="F61" s="22"/>
      <c r="G61" s="2"/>
      <c r="H61" s="2"/>
      <c r="I61" s="2"/>
      <c r="J61" s="22"/>
      <c r="K61" s="2"/>
      <c r="L61" s="2">
        <f t="shared" si="0"/>
        <v>-5.36</v>
      </c>
      <c r="M61" s="2"/>
      <c r="N61" s="22">
        <f t="shared" si="1"/>
        <v>0</v>
      </c>
      <c r="O61" s="11"/>
      <c r="P61" s="2">
        <f>-34.23</f>
        <v>-34.229999999999997</v>
      </c>
      <c r="Q61" s="2"/>
      <c r="R61" s="22"/>
      <c r="S61" s="2"/>
      <c r="T61" s="2"/>
      <c r="U61" s="2"/>
      <c r="V61" s="22"/>
      <c r="W61" s="2"/>
      <c r="X61" s="2">
        <f t="shared" si="2"/>
        <v>-34.229999999999997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"4227", " - ", "SALES RETURN TAXABLE-SCHOOL SU")</f>
        <v xml:space="preserve">          4227 - SALES RETURN TAXABLE-SCHOOL SU</v>
      </c>
      <c r="C62" s="11"/>
      <c r="D62" s="2">
        <f>-9.99</f>
        <v>-9.99</v>
      </c>
      <c r="E62" s="2"/>
      <c r="F62" s="22"/>
      <c r="G62" s="2"/>
      <c r="H62" s="2"/>
      <c r="I62" s="2"/>
      <c r="J62" s="22"/>
      <c r="K62" s="2"/>
      <c r="L62" s="2">
        <f t="shared" si="0"/>
        <v>-9.99</v>
      </c>
      <c r="M62" s="2"/>
      <c r="N62" s="22">
        <f t="shared" si="1"/>
        <v>0</v>
      </c>
      <c r="O62" s="11"/>
      <c r="P62" s="2">
        <f>-578.66</f>
        <v>-578.66</v>
      </c>
      <c r="Q62" s="2"/>
      <c r="R62" s="22"/>
      <c r="S62" s="2"/>
      <c r="T62" s="2"/>
      <c r="U62" s="2"/>
      <c r="V62" s="22"/>
      <c r="W62" s="2"/>
      <c r="X62" s="2">
        <f t="shared" si="2"/>
        <v>-578.66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"4228", " - ", "SALES RETURN TAXABLE-ART/TECH")</f>
        <v xml:space="preserve">          4228 - SALES RETURN TAXABLE-ART/TECH</v>
      </c>
      <c r="C63" s="11"/>
      <c r="D63" s="2">
        <f>0</f>
        <v>0</v>
      </c>
      <c r="E63" s="2"/>
      <c r="F63" s="22"/>
      <c r="G63" s="2"/>
      <c r="H63" s="2"/>
      <c r="I63" s="2"/>
      <c r="J63" s="22"/>
      <c r="K63" s="2"/>
      <c r="L63" s="2">
        <f t="shared" si="0"/>
        <v>0</v>
      </c>
      <c r="M63" s="2"/>
      <c r="N63" s="22">
        <f t="shared" si="1"/>
        <v>0</v>
      </c>
      <c r="O63" s="11"/>
      <c r="P63" s="2">
        <f>-222.2</f>
        <v>-222.2</v>
      </c>
      <c r="Q63" s="2"/>
      <c r="R63" s="22"/>
      <c r="S63" s="2"/>
      <c r="T63" s="2"/>
      <c r="U63" s="2"/>
      <c r="V63" s="22"/>
      <c r="W63" s="2"/>
      <c r="X63" s="2">
        <f t="shared" si="2"/>
        <v>-222.2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"4240", " - ", "SALES RETURN TAXABLE-LOGO CLOT")</f>
        <v xml:space="preserve">          4240 - SALES RETURN TAXABLE-LOGO CLOT</v>
      </c>
      <c r="C64" s="11"/>
      <c r="D64" s="2">
        <f>-2239.56</f>
        <v>-2239.56</v>
      </c>
      <c r="E64" s="2"/>
      <c r="F64" s="22"/>
      <c r="G64" s="2"/>
      <c r="H64" s="2"/>
      <c r="I64" s="2"/>
      <c r="J64" s="22"/>
      <c r="K64" s="2"/>
      <c r="L64" s="2">
        <f t="shared" si="0"/>
        <v>-2239.56</v>
      </c>
      <c r="M64" s="2"/>
      <c r="N64" s="22">
        <f t="shared" si="1"/>
        <v>0</v>
      </c>
      <c r="O64" s="11"/>
      <c r="P64" s="2">
        <f>-13849.52</f>
        <v>-13849.52</v>
      </c>
      <c r="Q64" s="2"/>
      <c r="R64" s="22"/>
      <c r="S64" s="2"/>
      <c r="T64" s="2"/>
      <c r="U64" s="2"/>
      <c r="V64" s="22"/>
      <c r="W64" s="2"/>
      <c r="X64" s="2">
        <f t="shared" si="2"/>
        <v>-13849.52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"4241", " - ", "SALES RETURN TAXABLE-LOGO GIFT")</f>
        <v xml:space="preserve">          4241 - SALES RETURN TAXABLE-LOGO GIFT</v>
      </c>
      <c r="C65" s="11"/>
      <c r="D65" s="2">
        <f>-379.45</f>
        <v>-379.45</v>
      </c>
      <c r="E65" s="2"/>
      <c r="F65" s="22"/>
      <c r="G65" s="2"/>
      <c r="H65" s="2"/>
      <c r="I65" s="2"/>
      <c r="J65" s="22"/>
      <c r="K65" s="2"/>
      <c r="L65" s="2">
        <f t="shared" si="0"/>
        <v>-379.45</v>
      </c>
      <c r="M65" s="2"/>
      <c r="N65" s="22">
        <f t="shared" si="1"/>
        <v>0</v>
      </c>
      <c r="O65" s="11"/>
      <c r="P65" s="2">
        <f>-2696.56</f>
        <v>-2696.56</v>
      </c>
      <c r="Q65" s="2"/>
      <c r="R65" s="22"/>
      <c r="S65" s="2"/>
      <c r="T65" s="2"/>
      <c r="U65" s="2"/>
      <c r="V65" s="22"/>
      <c r="W65" s="2"/>
      <c r="X65" s="2">
        <f t="shared" si="2"/>
        <v>-2696.56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"4242", " - ", "SALES RETURN TAXABLE-EVERYDAY")</f>
        <v xml:space="preserve">          4242 - SALES RETURN TAXABLE-EVERYDAY</v>
      </c>
      <c r="C66" s="11"/>
      <c r="D66" s="2">
        <f>-266.95</f>
        <v>-266.95</v>
      </c>
      <c r="E66" s="2"/>
      <c r="F66" s="22"/>
      <c r="G66" s="2"/>
      <c r="H66" s="2"/>
      <c r="I66" s="2"/>
      <c r="J66" s="22"/>
      <c r="K66" s="2"/>
      <c r="L66" s="2">
        <f t="shared" si="0"/>
        <v>-266.95</v>
      </c>
      <c r="M66" s="2"/>
      <c r="N66" s="22">
        <f t="shared" si="1"/>
        <v>0</v>
      </c>
      <c r="O66" s="11"/>
      <c r="P66" s="2">
        <f>-1321.51</f>
        <v>-1321.51</v>
      </c>
      <c r="Q66" s="2"/>
      <c r="R66" s="22"/>
      <c r="S66" s="2"/>
      <c r="T66" s="2"/>
      <c r="U66" s="2"/>
      <c r="V66" s="22"/>
      <c r="W66" s="2"/>
      <c r="X66" s="2">
        <f t="shared" si="2"/>
        <v>-1321.51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"4243", " - ", "SALES RETURN TAXABLE-CARDS")</f>
        <v xml:space="preserve">          4243 - SALES RETURN TAXABLE-CARDS</v>
      </c>
      <c r="C67" s="11"/>
      <c r="D67" s="2">
        <f>-829.55</f>
        <v>-829.55</v>
      </c>
      <c r="E67" s="2"/>
      <c r="F67" s="22"/>
      <c r="G67" s="2"/>
      <c r="H67" s="2"/>
      <c r="I67" s="2"/>
      <c r="J67" s="22"/>
      <c r="K67" s="2"/>
      <c r="L67" s="2">
        <f t="shared" si="0"/>
        <v>-829.55</v>
      </c>
      <c r="M67" s="2"/>
      <c r="N67" s="22">
        <f t="shared" si="1"/>
        <v>0</v>
      </c>
      <c r="O67" s="11"/>
      <c r="P67" s="2">
        <f>-982.92</f>
        <v>-982.92</v>
      </c>
      <c r="Q67" s="2"/>
      <c r="R67" s="22"/>
      <c r="S67" s="2"/>
      <c r="T67" s="2"/>
      <c r="U67" s="2"/>
      <c r="V67" s="22"/>
      <c r="W67" s="2"/>
      <c r="X67" s="2">
        <f t="shared" si="2"/>
        <v>-982.92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"4244", " - ", "SALES RETURN TAXABLE-ACCESSORI")</f>
        <v xml:space="preserve">          4244 - SALES RETURN TAXABLE-ACCESSORI</v>
      </c>
      <c r="C68" s="11"/>
      <c r="D68" s="2">
        <f>0</f>
        <v>0</v>
      </c>
      <c r="E68" s="2"/>
      <c r="F68" s="22"/>
      <c r="G68" s="2"/>
      <c r="H68" s="2"/>
      <c r="I68" s="2"/>
      <c r="J68" s="22"/>
      <c r="K68" s="2"/>
      <c r="L68" s="2">
        <f t="shared" si="0"/>
        <v>0</v>
      </c>
      <c r="M68" s="2"/>
      <c r="N68" s="22">
        <f t="shared" si="1"/>
        <v>0</v>
      </c>
      <c r="O68" s="11"/>
      <c r="P68" s="2">
        <f>-410.99</f>
        <v>-410.99</v>
      </c>
      <c r="Q68" s="2"/>
      <c r="R68" s="22"/>
      <c r="S68" s="2"/>
      <c r="T68" s="2"/>
      <c r="U68" s="2"/>
      <c r="V68" s="22"/>
      <c r="W68" s="2"/>
      <c r="X68" s="2">
        <f t="shared" si="2"/>
        <v>-410.99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"4245", " - ", "SALES RETURN TAXABLE-SPECIAL O")</f>
        <v xml:space="preserve">          4245 - SALES RETURN TAXABLE-SPECIAL O</v>
      </c>
      <c r="C69" s="11"/>
      <c r="D69" s="2">
        <f>-363.98</f>
        <v>-363.98</v>
      </c>
      <c r="E69" s="2"/>
      <c r="F69" s="22"/>
      <c r="G69" s="2"/>
      <c r="H69" s="2"/>
      <c r="I69" s="2"/>
      <c r="J69" s="22"/>
      <c r="K69" s="2"/>
      <c r="L69" s="2">
        <f t="shared" si="0"/>
        <v>-363.98</v>
      </c>
      <c r="M69" s="2"/>
      <c r="N69" s="22">
        <f t="shared" si="1"/>
        <v>0</v>
      </c>
      <c r="O69" s="11"/>
      <c r="P69" s="2">
        <f>-1546.93</f>
        <v>-1546.93</v>
      </c>
      <c r="Q69" s="2"/>
      <c r="R69" s="22"/>
      <c r="S69" s="2"/>
      <c r="T69" s="2"/>
      <c r="U69" s="2"/>
      <c r="V69" s="22"/>
      <c r="W69" s="2"/>
      <c r="X69" s="2">
        <f t="shared" si="2"/>
        <v>-1546.93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"4301", " - ", "SALES RETURN NON TAXABLE-NEW T")</f>
        <v xml:space="preserve">          4301 - SALES RETURN NON TAXABLE-NEW T</v>
      </c>
      <c r="C70" s="11"/>
      <c r="D70" s="2">
        <f>-535.49</f>
        <v>-535.49</v>
      </c>
      <c r="E70" s="2"/>
      <c r="F70" s="22"/>
      <c r="G70" s="2"/>
      <c r="H70" s="2"/>
      <c r="I70" s="2"/>
      <c r="J70" s="22"/>
      <c r="K70" s="2"/>
      <c r="L70" s="2">
        <f t="shared" si="0"/>
        <v>-535.49</v>
      </c>
      <c r="M70" s="2"/>
      <c r="N70" s="22">
        <f t="shared" si="1"/>
        <v>0</v>
      </c>
      <c r="O70" s="11"/>
      <c r="P70" s="2">
        <f>-2376.17</f>
        <v>-2376.17</v>
      </c>
      <c r="Q70" s="2"/>
      <c r="R70" s="22"/>
      <c r="S70" s="2"/>
      <c r="T70" s="2"/>
      <c r="U70" s="2"/>
      <c r="V70" s="22"/>
      <c r="W70" s="2"/>
      <c r="X70" s="2">
        <f t="shared" si="2"/>
        <v>-2376.17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"4302", " - ", "SALES RETURN NON TAXABLE-TEXT")</f>
        <v xml:space="preserve">          4302 - SALES RETURN NON TAXABLE-TEXT</v>
      </c>
      <c r="C71" s="11"/>
      <c r="D71" s="2">
        <f>-169.72</f>
        <v>-169.72</v>
      </c>
      <c r="E71" s="2"/>
      <c r="F71" s="22"/>
      <c r="G71" s="2"/>
      <c r="H71" s="2"/>
      <c r="I71" s="2"/>
      <c r="J71" s="22"/>
      <c r="K71" s="2"/>
      <c r="L71" s="2">
        <f t="shared" si="0"/>
        <v>-169.72</v>
      </c>
      <c r="M71" s="2"/>
      <c r="N71" s="22">
        <f t="shared" si="1"/>
        <v>0</v>
      </c>
      <c r="O71" s="11"/>
      <c r="P71" s="2">
        <f>-1316.8</f>
        <v>-1316.8</v>
      </c>
      <c r="Q71" s="2"/>
      <c r="R71" s="22"/>
      <c r="S71" s="2"/>
      <c r="T71" s="2"/>
      <c r="U71" s="2"/>
      <c r="V71" s="22"/>
      <c r="W71" s="2"/>
      <c r="X71" s="2">
        <f t="shared" si="2"/>
        <v>-1316.8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"4304", " - ", "SALES RETURN NON TAXABLE-DIGIT")</f>
        <v xml:space="preserve">          4304 - SALES RETURN NON TAXABLE-DIGIT</v>
      </c>
      <c r="C72" s="11"/>
      <c r="D72" s="2">
        <f>-692.75</f>
        <v>-692.75</v>
      </c>
      <c r="E72" s="2"/>
      <c r="F72" s="22"/>
      <c r="G72" s="2"/>
      <c r="H72" s="2"/>
      <c r="I72" s="2"/>
      <c r="J72" s="22"/>
      <c r="K72" s="2"/>
      <c r="L72" s="2">
        <f t="shared" si="0"/>
        <v>-692.75</v>
      </c>
      <c r="M72" s="2"/>
      <c r="N72" s="22">
        <f t="shared" si="1"/>
        <v>0</v>
      </c>
      <c r="O72" s="11"/>
      <c r="P72" s="2">
        <f>-14102.11</f>
        <v>-14102.11</v>
      </c>
      <c r="Q72" s="2"/>
      <c r="R72" s="22"/>
      <c r="S72" s="2"/>
      <c r="T72" s="2"/>
      <c r="U72" s="2"/>
      <c r="V72" s="22"/>
      <c r="W72" s="2"/>
      <c r="X72" s="2">
        <f t="shared" si="2"/>
        <v>-14102.11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"4340", " - ", "SALES RETURN NON TAXABLE-LOGO")</f>
        <v xml:space="preserve">          4340 - SALES RETURN NON TAXABLE-LOGO</v>
      </c>
      <c r="C73" s="11"/>
      <c r="D73" s="2">
        <f>-195.69</f>
        <v>-195.69</v>
      </c>
      <c r="E73" s="2"/>
      <c r="F73" s="22"/>
      <c r="G73" s="2"/>
      <c r="H73" s="2"/>
      <c r="I73" s="2"/>
      <c r="J73" s="22"/>
      <c r="K73" s="2"/>
      <c r="L73" s="2">
        <f t="shared" si="0"/>
        <v>-195.69</v>
      </c>
      <c r="M73" s="2"/>
      <c r="N73" s="22">
        <f t="shared" si="1"/>
        <v>0</v>
      </c>
      <c r="O73" s="11"/>
      <c r="P73" s="2">
        <f>-736.73</f>
        <v>-736.73</v>
      </c>
      <c r="Q73" s="2"/>
      <c r="R73" s="22"/>
      <c r="S73" s="2"/>
      <c r="T73" s="2"/>
      <c r="U73" s="2"/>
      <c r="V73" s="22"/>
      <c r="W73" s="2"/>
      <c r="X73" s="2">
        <f t="shared" si="2"/>
        <v>-736.73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"4341", " - ", "SALES RETURN NON TAXABLE-LOGO")</f>
        <v xml:space="preserve">          4341 - SALES RETURN NON TAXABLE-LOGO</v>
      </c>
      <c r="C74" s="11"/>
      <c r="D74" s="2">
        <f t="shared" ref="D74:D75" si="8">0</f>
        <v>0</v>
      </c>
      <c r="E74" s="2"/>
      <c r="F74" s="22"/>
      <c r="G74" s="2"/>
      <c r="H74" s="2"/>
      <c r="I74" s="2"/>
      <c r="J74" s="22"/>
      <c r="K74" s="2"/>
      <c r="L74" s="2">
        <f t="shared" si="0"/>
        <v>0</v>
      </c>
      <c r="M74" s="2"/>
      <c r="N74" s="22">
        <f t="shared" si="1"/>
        <v>0</v>
      </c>
      <c r="O74" s="11"/>
      <c r="P74" s="2">
        <f>-146.9</f>
        <v>-146.9</v>
      </c>
      <c r="Q74" s="2"/>
      <c r="R74" s="22"/>
      <c r="S74" s="2"/>
      <c r="T74" s="2"/>
      <c r="U74" s="2"/>
      <c r="V74" s="22"/>
      <c r="W74" s="2"/>
      <c r="X74" s="2">
        <f t="shared" si="2"/>
        <v>-146.9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"4342", " - ", "SALES RETURN NON TAXABLE-EVERY")</f>
        <v xml:space="preserve">          4342 - SALES RETURN NON TAXABLE-EVERY</v>
      </c>
      <c r="C75" s="11"/>
      <c r="D75" s="2">
        <f t="shared" si="8"/>
        <v>0</v>
      </c>
      <c r="E75" s="2"/>
      <c r="F75" s="22"/>
      <c r="G75" s="2"/>
      <c r="H75" s="2"/>
      <c r="I75" s="2"/>
      <c r="J75" s="22"/>
      <c r="K75" s="2"/>
      <c r="L75" s="2">
        <f t="shared" si="0"/>
        <v>0</v>
      </c>
      <c r="M75" s="2"/>
      <c r="N75" s="22">
        <f t="shared" si="1"/>
        <v>0</v>
      </c>
      <c r="O75" s="11"/>
      <c r="P75" s="2">
        <f>-118.7</f>
        <v>-118.7</v>
      </c>
      <c r="Q75" s="2"/>
      <c r="R75" s="22"/>
      <c r="S75" s="2"/>
      <c r="T75" s="2"/>
      <c r="U75" s="2"/>
      <c r="V75" s="22"/>
      <c r="W75" s="2"/>
      <c r="X75" s="2">
        <f t="shared" si="2"/>
        <v>-118.7</v>
      </c>
      <c r="Y75" s="2"/>
      <c r="Z75" s="22">
        <f t="shared" si="3"/>
        <v>0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collapsed="1" x14ac:dyDescent="0.25">
      <c r="A77" s="10"/>
      <c r="B77" s="25" t="s">
        <v>8</v>
      </c>
      <c r="C77" s="10"/>
      <c r="D77" s="4">
        <f>SUM(OSRRefD16x_0)</f>
        <v>97529.329999999973</v>
      </c>
      <c r="E77" s="4"/>
      <c r="F77" s="12">
        <f t="shared" ref="F77:F110" si="9">IF(D$12=0,0,D77/D$12)</f>
        <v>0.60914321946738392</v>
      </c>
      <c r="G77" s="4"/>
      <c r="H77" s="4">
        <f>SUM(OSRRefH16x_0)</f>
        <v>219341</v>
      </c>
      <c r="I77" s="4"/>
      <c r="J77" s="12">
        <f t="shared" ref="J77:J110" si="10">IF(H$12=0,0,H77/H$12)</f>
        <v>0.46691544300779536</v>
      </c>
      <c r="K77" s="4"/>
      <c r="L77" s="4">
        <f t="shared" ref="L77:L110" si="11">+D77-H77</f>
        <v>-121811.67000000003</v>
      </c>
      <c r="M77" s="4"/>
      <c r="N77" s="12">
        <f t="shared" ref="N77:N110" si="12">IF(H77=0,0,L77/H77)</f>
        <v>-0.55535294359011778</v>
      </c>
      <c r="O77" s="10"/>
      <c r="P77" s="4">
        <f>SUM(OSRRefP16x_0)</f>
        <v>1549272.27</v>
      </c>
      <c r="Q77" s="4"/>
      <c r="R77" s="12">
        <f t="shared" ref="R77:R110" si="13">IF(P$12=0,0,P77/P$12)</f>
        <v>0.65741934132277269</v>
      </c>
      <c r="S77" s="4"/>
      <c r="T77" s="4">
        <f>SUM(OSRRefT16x_0)</f>
        <v>2524678</v>
      </c>
      <c r="U77" s="4"/>
      <c r="V77" s="12">
        <f t="shared" ref="V77:V110" si="14">IF(T$12=0,0,T77/T$12)</f>
        <v>0.61443968973774321</v>
      </c>
      <c r="W77" s="4"/>
      <c r="X77" s="4">
        <f t="shared" ref="X77:X110" si="15">+P77-T77</f>
        <v>-975405.73</v>
      </c>
      <c r="Y77" s="4"/>
      <c r="Z77" s="12">
        <f t="shared" ref="Z77:Z110" si="16">IF(T77=0,0,X77/T77)</f>
        <v>-0.38634856801540629</v>
      </c>
    </row>
    <row r="78" spans="1:26" s="24" customFormat="1" hidden="1" outlineLevel="1" x14ac:dyDescent="0.25">
      <c r="A78" s="51"/>
      <c r="B78" s="11" t="str">
        <f>CONCATENATE("          ", "5000", " - ", "PURCHASES @ COST")</f>
        <v xml:space="preserve">          5000 - PURCHASES @ COST</v>
      </c>
      <c r="C78" s="11"/>
      <c r="D78" s="2"/>
      <c r="E78" s="2"/>
      <c r="F78" s="22">
        <f t="shared" si="9"/>
        <v>0</v>
      </c>
      <c r="G78" s="2"/>
      <c r="H78" s="2">
        <v>219341</v>
      </c>
      <c r="I78" s="2"/>
      <c r="J78" s="22">
        <f t="shared" si="10"/>
        <v>0.46691544300779536</v>
      </c>
      <c r="K78" s="2"/>
      <c r="L78" s="2">
        <f t="shared" si="11"/>
        <v>-219341</v>
      </c>
      <c r="M78" s="2"/>
      <c r="N78" s="22">
        <f t="shared" si="12"/>
        <v>-1</v>
      </c>
      <c r="O78" s="11"/>
      <c r="P78" s="2"/>
      <c r="Q78" s="2"/>
      <c r="R78" s="22">
        <f t="shared" si="13"/>
        <v>0</v>
      </c>
      <c r="S78" s="2"/>
      <c r="T78" s="2">
        <v>2524678</v>
      </c>
      <c r="U78" s="2"/>
      <c r="V78" s="22">
        <f t="shared" si="14"/>
        <v>0.61443968973774321</v>
      </c>
      <c r="W78" s="2"/>
      <c r="X78" s="2">
        <f t="shared" si="15"/>
        <v>-2524678</v>
      </c>
      <c r="Y78" s="2"/>
      <c r="Z78" s="22">
        <f t="shared" si="16"/>
        <v>-1</v>
      </c>
    </row>
    <row r="79" spans="1:26" s="24" customFormat="1" hidden="1" outlineLevel="1" x14ac:dyDescent="0.25">
      <c r="A79" s="51"/>
      <c r="B79" s="11" t="str">
        <f>CONCATENATE("          ", "5001", " - ", "PURCHASES @ COST-NEW TEXT")</f>
        <v xml:space="preserve">          5001 - PURCHASES @ COST-NEW TEXT</v>
      </c>
      <c r="C79" s="11"/>
      <c r="D79" s="2">
        <v>55775.07</v>
      </c>
      <c r="E79" s="2"/>
      <c r="F79" s="22">
        <f t="shared" si="9"/>
        <v>0.34835680411029901</v>
      </c>
      <c r="G79" s="2"/>
      <c r="H79" s="2"/>
      <c r="I79" s="2"/>
      <c r="J79" s="22">
        <f t="shared" si="10"/>
        <v>0</v>
      </c>
      <c r="K79" s="2"/>
      <c r="L79" s="2">
        <f t="shared" si="11"/>
        <v>55775.07</v>
      </c>
      <c r="M79" s="2"/>
      <c r="N79" s="22">
        <f t="shared" si="12"/>
        <v>0</v>
      </c>
      <c r="O79" s="11"/>
      <c r="P79" s="2">
        <v>1349196.8299999998</v>
      </c>
      <c r="Q79" s="2"/>
      <c r="R79" s="22">
        <f t="shared" si="13"/>
        <v>0.57251918108194944</v>
      </c>
      <c r="S79" s="2"/>
      <c r="T79" s="2"/>
      <c r="U79" s="2"/>
      <c r="V79" s="22">
        <f t="shared" si="14"/>
        <v>0</v>
      </c>
      <c r="W79" s="2"/>
      <c r="X79" s="2">
        <f t="shared" si="15"/>
        <v>1349196.8299999998</v>
      </c>
      <c r="Y79" s="2"/>
      <c r="Z79" s="22">
        <f t="shared" si="16"/>
        <v>0</v>
      </c>
    </row>
    <row r="80" spans="1:26" s="24" customFormat="1" hidden="1" outlineLevel="1" x14ac:dyDescent="0.25">
      <c r="A80" s="51"/>
      <c r="B80" s="11" t="str">
        <f>CONCATENATE("          ", "5002", " - ", "PURCHASES @ COST-USED TEXT")</f>
        <v xml:space="preserve">          5002 - PURCHASES @ COST-USED TEXT</v>
      </c>
      <c r="C80" s="11"/>
      <c r="D80" s="2">
        <v>6331.95</v>
      </c>
      <c r="E80" s="2"/>
      <c r="F80" s="22">
        <f t="shared" si="9"/>
        <v>3.9547738188158398E-2</v>
      </c>
      <c r="G80" s="2"/>
      <c r="H80" s="2"/>
      <c r="I80" s="2"/>
      <c r="J80" s="22">
        <f t="shared" si="10"/>
        <v>0</v>
      </c>
      <c r="K80" s="2"/>
      <c r="L80" s="2">
        <f t="shared" si="11"/>
        <v>6331.95</v>
      </c>
      <c r="M80" s="2"/>
      <c r="N80" s="22">
        <f t="shared" si="12"/>
        <v>0</v>
      </c>
      <c r="O80" s="11"/>
      <c r="P80" s="2">
        <v>303063.33</v>
      </c>
      <c r="Q80" s="2"/>
      <c r="R80" s="22">
        <f t="shared" si="13"/>
        <v>0.12860211768179786</v>
      </c>
      <c r="S80" s="2"/>
      <c r="T80" s="2"/>
      <c r="U80" s="2"/>
      <c r="V80" s="22">
        <f t="shared" si="14"/>
        <v>0</v>
      </c>
      <c r="W80" s="2"/>
      <c r="X80" s="2">
        <f t="shared" si="15"/>
        <v>303063.33</v>
      </c>
      <c r="Y80" s="2"/>
      <c r="Z80" s="22">
        <f t="shared" si="16"/>
        <v>0</v>
      </c>
    </row>
    <row r="81" spans="1:26" s="24" customFormat="1" hidden="1" outlineLevel="1" x14ac:dyDescent="0.25">
      <c r="A81" s="51"/>
      <c r="B81" s="11" t="str">
        <f>CONCATENATE("          ", "5003", " - ", "PURCHASES @ COST-RENTAL TEXT")</f>
        <v xml:space="preserve">          5003 - PURCHASES @ COST-RENTAL TEXT</v>
      </c>
      <c r="C81" s="11"/>
      <c r="D81" s="2">
        <v>10600.69</v>
      </c>
      <c r="E81" s="2"/>
      <c r="F81" s="22">
        <f t="shared" si="9"/>
        <v>6.6209195071633364E-2</v>
      </c>
      <c r="G81" s="2"/>
      <c r="H81" s="2"/>
      <c r="I81" s="2"/>
      <c r="J81" s="22">
        <f t="shared" si="10"/>
        <v>0</v>
      </c>
      <c r="K81" s="2"/>
      <c r="L81" s="2">
        <f t="shared" si="11"/>
        <v>10600.69</v>
      </c>
      <c r="M81" s="2"/>
      <c r="N81" s="22">
        <f t="shared" si="12"/>
        <v>0</v>
      </c>
      <c r="O81" s="11"/>
      <c r="P81" s="2">
        <v>-485.41</v>
      </c>
      <c r="Q81" s="2"/>
      <c r="R81" s="22">
        <f t="shared" si="13"/>
        <v>-2.059792385437113E-4</v>
      </c>
      <c r="S81" s="2"/>
      <c r="T81" s="2"/>
      <c r="U81" s="2"/>
      <c r="V81" s="22">
        <f t="shared" si="14"/>
        <v>0</v>
      </c>
      <c r="W81" s="2"/>
      <c r="X81" s="2">
        <f t="shared" si="15"/>
        <v>-485.41</v>
      </c>
      <c r="Y81" s="2"/>
      <c r="Z81" s="22">
        <f t="shared" si="16"/>
        <v>0</v>
      </c>
    </row>
    <row r="82" spans="1:26" s="24" customFormat="1" hidden="1" outlineLevel="1" x14ac:dyDescent="0.25">
      <c r="A82" s="51"/>
      <c r="B82" s="11" t="str">
        <f>CONCATENATE("          ", "5004", " - ", "PURCHASES @ COST-DIGITAL TEXT")</f>
        <v xml:space="preserve">          5004 - PURCHASES @ COST-DIGITAL TEXT</v>
      </c>
      <c r="C82" s="11"/>
      <c r="D82" s="2">
        <v>12903.46</v>
      </c>
      <c r="E82" s="2"/>
      <c r="F82" s="22">
        <f t="shared" si="9"/>
        <v>8.059170678880509E-2</v>
      </c>
      <c r="G82" s="2"/>
      <c r="H82" s="2"/>
      <c r="I82" s="2"/>
      <c r="J82" s="22">
        <f t="shared" si="10"/>
        <v>0</v>
      </c>
      <c r="K82" s="2"/>
      <c r="L82" s="2">
        <f t="shared" si="11"/>
        <v>12903.46</v>
      </c>
      <c r="M82" s="2"/>
      <c r="N82" s="22">
        <f t="shared" si="12"/>
        <v>0</v>
      </c>
      <c r="O82" s="11"/>
      <c r="P82" s="2">
        <v>195519.53</v>
      </c>
      <c r="Q82" s="2"/>
      <c r="R82" s="22">
        <f t="shared" si="13"/>
        <v>8.2966902020610037E-2</v>
      </c>
      <c r="S82" s="2"/>
      <c r="T82" s="2"/>
      <c r="U82" s="2"/>
      <c r="V82" s="22">
        <f t="shared" si="14"/>
        <v>0</v>
      </c>
      <c r="W82" s="2"/>
      <c r="X82" s="2">
        <f t="shared" si="15"/>
        <v>195519.53</v>
      </c>
      <c r="Y82" s="2"/>
      <c r="Z82" s="22">
        <f t="shared" si="16"/>
        <v>0</v>
      </c>
    </row>
    <row r="83" spans="1:26" s="24" customFormat="1" hidden="1" outlineLevel="1" x14ac:dyDescent="0.25">
      <c r="A83" s="51"/>
      <c r="B83" s="11" t="str">
        <f>CONCATENATE("          ", "5011", " - ", "PURCHASES @ COST-NO VALUE TEXT")</f>
        <v xml:space="preserve">          5011 - PURCHASES @ COST-NO VALUE TEXT</v>
      </c>
      <c r="C83" s="11"/>
      <c r="D83" s="2">
        <v>67.17</v>
      </c>
      <c r="E83" s="2"/>
      <c r="F83" s="22">
        <f t="shared" si="9"/>
        <v>4.1952661882968116E-4</v>
      </c>
      <c r="G83" s="2"/>
      <c r="H83" s="2"/>
      <c r="I83" s="2"/>
      <c r="J83" s="22">
        <f t="shared" si="10"/>
        <v>0</v>
      </c>
      <c r="K83" s="2"/>
      <c r="L83" s="2">
        <f t="shared" si="11"/>
        <v>67.17</v>
      </c>
      <c r="M83" s="2"/>
      <c r="N83" s="22">
        <f t="shared" si="12"/>
        <v>0</v>
      </c>
      <c r="O83" s="11"/>
      <c r="P83" s="2">
        <v>67.17</v>
      </c>
      <c r="Q83" s="2"/>
      <c r="R83" s="22">
        <f t="shared" si="13"/>
        <v>2.8502967497540405E-5</v>
      </c>
      <c r="S83" s="2"/>
      <c r="T83" s="2"/>
      <c r="U83" s="2"/>
      <c r="V83" s="22">
        <f t="shared" si="14"/>
        <v>0</v>
      </c>
      <c r="W83" s="2"/>
      <c r="X83" s="2">
        <f t="shared" si="15"/>
        <v>67.17</v>
      </c>
      <c r="Y83" s="2"/>
      <c r="Z83" s="22">
        <f t="shared" si="16"/>
        <v>0</v>
      </c>
    </row>
    <row r="84" spans="1:26" s="24" customFormat="1" hidden="1" outlineLevel="1" x14ac:dyDescent="0.25">
      <c r="A84" s="51"/>
      <c r="B84" s="11" t="str">
        <f>CONCATENATE("          ", "5013", " - ", "PURCHASES @ COST-TRADE BOOKS")</f>
        <v xml:space="preserve">          5013 - PURCHASES @ COST-TRADE BOOKS</v>
      </c>
      <c r="C84" s="11"/>
      <c r="D84" s="2">
        <v>1384.46</v>
      </c>
      <c r="E84" s="2"/>
      <c r="F84" s="22">
        <f t="shared" si="9"/>
        <v>8.6469826217796704E-3</v>
      </c>
      <c r="G84" s="2"/>
      <c r="H84" s="2"/>
      <c r="I84" s="2"/>
      <c r="J84" s="22">
        <f t="shared" si="10"/>
        <v>0</v>
      </c>
      <c r="K84" s="2"/>
      <c r="L84" s="2">
        <f t="shared" si="11"/>
        <v>1384.46</v>
      </c>
      <c r="M84" s="2"/>
      <c r="N84" s="22">
        <f t="shared" si="12"/>
        <v>0</v>
      </c>
      <c r="O84" s="11"/>
      <c r="P84" s="2">
        <v>1483.64</v>
      </c>
      <c r="Q84" s="2"/>
      <c r="R84" s="22">
        <f t="shared" si="13"/>
        <v>6.2956889531116348E-4</v>
      </c>
      <c r="S84" s="2"/>
      <c r="T84" s="2"/>
      <c r="U84" s="2"/>
      <c r="V84" s="22">
        <f t="shared" si="14"/>
        <v>0</v>
      </c>
      <c r="W84" s="2"/>
      <c r="X84" s="2">
        <f t="shared" si="15"/>
        <v>1483.64</v>
      </c>
      <c r="Y84" s="2"/>
      <c r="Z84" s="22">
        <f t="shared" si="16"/>
        <v>0</v>
      </c>
    </row>
    <row r="85" spans="1:26" s="24" customFormat="1" hidden="1" outlineLevel="1" x14ac:dyDescent="0.25">
      <c r="A85" s="51"/>
      <c r="B85" s="11" t="str">
        <f>CONCATENATE("          ", "5014", " - ", "PURCHASES @ COST-REMAINDERS")</f>
        <v xml:space="preserve">          5014 - PURCHASES @ COST-REMAINDERS</v>
      </c>
      <c r="C85" s="11"/>
      <c r="D85" s="2">
        <v>102.92</v>
      </c>
      <c r="E85" s="2"/>
      <c r="F85" s="22">
        <f t="shared" si="9"/>
        <v>6.4281196382240272E-4</v>
      </c>
      <c r="G85" s="2"/>
      <c r="H85" s="2"/>
      <c r="I85" s="2"/>
      <c r="J85" s="22">
        <f t="shared" si="10"/>
        <v>0</v>
      </c>
      <c r="K85" s="2"/>
      <c r="L85" s="2">
        <f t="shared" si="11"/>
        <v>102.92</v>
      </c>
      <c r="M85" s="2"/>
      <c r="N85" s="22">
        <f t="shared" si="12"/>
        <v>0</v>
      </c>
      <c r="O85" s="11"/>
      <c r="P85" s="2">
        <v>90.41</v>
      </c>
      <c r="Q85" s="2"/>
      <c r="R85" s="22">
        <f t="shared" si="13"/>
        <v>3.8364646292282685E-5</v>
      </c>
      <c r="S85" s="2"/>
      <c r="T85" s="2"/>
      <c r="U85" s="2"/>
      <c r="V85" s="22">
        <f t="shared" si="14"/>
        <v>0</v>
      </c>
      <c r="W85" s="2"/>
      <c r="X85" s="2">
        <f t="shared" si="15"/>
        <v>90.41</v>
      </c>
      <c r="Y85" s="2"/>
      <c r="Z85" s="22">
        <f t="shared" si="16"/>
        <v>0</v>
      </c>
    </row>
    <row r="86" spans="1:26" s="24" customFormat="1" hidden="1" outlineLevel="1" x14ac:dyDescent="0.25">
      <c r="A86" s="51"/>
      <c r="B86" s="11" t="str">
        <f>CONCATENATE("          ", "5025", " - ", "PURCHASES @ COST-TEST FORMS")</f>
        <v xml:space="preserve">          5025 - PURCHASES @ COST-TEST FORMS</v>
      </c>
      <c r="C86" s="11"/>
      <c r="D86" s="2">
        <v>599.29</v>
      </c>
      <c r="E86" s="2"/>
      <c r="F86" s="22">
        <f t="shared" si="9"/>
        <v>3.7430118713479175E-3</v>
      </c>
      <c r="G86" s="2"/>
      <c r="H86" s="2"/>
      <c r="I86" s="2"/>
      <c r="J86" s="22">
        <f t="shared" si="10"/>
        <v>0</v>
      </c>
      <c r="K86" s="2"/>
      <c r="L86" s="2">
        <f t="shared" si="11"/>
        <v>599.29</v>
      </c>
      <c r="M86" s="2"/>
      <c r="N86" s="22">
        <f t="shared" si="12"/>
        <v>0</v>
      </c>
      <c r="O86" s="11"/>
      <c r="P86" s="2">
        <v>599.29</v>
      </c>
      <c r="Q86" s="2"/>
      <c r="R86" s="22">
        <f t="shared" si="13"/>
        <v>2.5430316200090796E-4</v>
      </c>
      <c r="S86" s="2"/>
      <c r="T86" s="2"/>
      <c r="U86" s="2"/>
      <c r="V86" s="22">
        <f t="shared" si="14"/>
        <v>0</v>
      </c>
      <c r="W86" s="2"/>
      <c r="X86" s="2">
        <f t="shared" si="15"/>
        <v>599.29</v>
      </c>
      <c r="Y86" s="2"/>
      <c r="Z86" s="22">
        <f t="shared" si="16"/>
        <v>0</v>
      </c>
    </row>
    <row r="87" spans="1:26" s="24" customFormat="1" hidden="1" outlineLevel="1" x14ac:dyDescent="0.25">
      <c r="A87" s="51"/>
      <c r="B87" s="11" t="str">
        <f>CONCATENATE("          ", "5026", " - ", "PURCHASES @ COST-WRITING INSTR")</f>
        <v xml:space="preserve">          5026 - PURCHASES @ COST-WRITING INSTR</v>
      </c>
      <c r="C87" s="11"/>
      <c r="D87" s="2">
        <v>380.02</v>
      </c>
      <c r="E87" s="2"/>
      <c r="F87" s="22">
        <f t="shared" si="9"/>
        <v>2.3735076029128394E-3</v>
      </c>
      <c r="G87" s="2"/>
      <c r="H87" s="2"/>
      <c r="I87" s="2"/>
      <c r="J87" s="22">
        <f t="shared" si="10"/>
        <v>0</v>
      </c>
      <c r="K87" s="2"/>
      <c r="L87" s="2">
        <f t="shared" si="11"/>
        <v>380.02</v>
      </c>
      <c r="M87" s="2"/>
      <c r="N87" s="22">
        <f t="shared" si="12"/>
        <v>0</v>
      </c>
      <c r="O87" s="11"/>
      <c r="P87" s="2">
        <v>380.02</v>
      </c>
      <c r="Q87" s="2"/>
      <c r="R87" s="22">
        <f t="shared" si="13"/>
        <v>1.6125796796807062E-4</v>
      </c>
      <c r="S87" s="2"/>
      <c r="T87" s="2"/>
      <c r="U87" s="2"/>
      <c r="V87" s="22">
        <f t="shared" si="14"/>
        <v>0</v>
      </c>
      <c r="W87" s="2"/>
      <c r="X87" s="2">
        <f t="shared" si="15"/>
        <v>380.02</v>
      </c>
      <c r="Y87" s="2"/>
      <c r="Z87" s="22">
        <f t="shared" si="16"/>
        <v>0</v>
      </c>
    </row>
    <row r="88" spans="1:26" s="24" customFormat="1" hidden="1" outlineLevel="1" x14ac:dyDescent="0.25">
      <c r="A88" s="51"/>
      <c r="B88" s="11" t="str">
        <f>CONCATENATE("          ", "5027", " - ", "PURCHASES @ COST-SCHOOL SUPPLI")</f>
        <v xml:space="preserve">          5027 - PURCHASES @ COST-SCHOOL SUPPLI</v>
      </c>
      <c r="C88" s="11"/>
      <c r="D88" s="2">
        <v>10567.95</v>
      </c>
      <c r="E88" s="2"/>
      <c r="F88" s="22">
        <f t="shared" si="9"/>
        <v>6.6004709415827451E-2</v>
      </c>
      <c r="G88" s="2"/>
      <c r="H88" s="2"/>
      <c r="I88" s="2"/>
      <c r="J88" s="22">
        <f t="shared" si="10"/>
        <v>0</v>
      </c>
      <c r="K88" s="2"/>
      <c r="L88" s="2">
        <f t="shared" si="11"/>
        <v>10567.95</v>
      </c>
      <c r="M88" s="2"/>
      <c r="N88" s="22">
        <f t="shared" si="12"/>
        <v>0</v>
      </c>
      <c r="O88" s="11"/>
      <c r="P88" s="2">
        <v>19071.350000000002</v>
      </c>
      <c r="Q88" s="2"/>
      <c r="R88" s="22">
        <f t="shared" si="13"/>
        <v>8.0927507694538818E-3</v>
      </c>
      <c r="S88" s="2"/>
      <c r="T88" s="2"/>
      <c r="U88" s="2"/>
      <c r="V88" s="22">
        <f t="shared" si="14"/>
        <v>0</v>
      </c>
      <c r="W88" s="2"/>
      <c r="X88" s="2">
        <f t="shared" si="15"/>
        <v>19071.350000000002</v>
      </c>
      <c r="Y88" s="2"/>
      <c r="Z88" s="22">
        <f t="shared" si="16"/>
        <v>0</v>
      </c>
    </row>
    <row r="89" spans="1:26" s="24" customFormat="1" hidden="1" outlineLevel="1" x14ac:dyDescent="0.25">
      <c r="A89" s="51"/>
      <c r="B89" s="11" t="str">
        <f>CONCATENATE("          ", "5028", " - ", "PURCHASES @ COST-ART/TECH")</f>
        <v xml:space="preserve">          5028 - PURCHASES @ COST-ART/TECH</v>
      </c>
      <c r="C89" s="11"/>
      <c r="D89" s="2">
        <v>41425.96</v>
      </c>
      <c r="E89" s="2"/>
      <c r="F89" s="22">
        <f t="shared" si="9"/>
        <v>0.25873593762950153</v>
      </c>
      <c r="G89" s="2"/>
      <c r="H89" s="2"/>
      <c r="I89" s="2"/>
      <c r="J89" s="22">
        <f t="shared" si="10"/>
        <v>0</v>
      </c>
      <c r="K89" s="2"/>
      <c r="L89" s="2">
        <f t="shared" si="11"/>
        <v>41425.96</v>
      </c>
      <c r="M89" s="2"/>
      <c r="N89" s="22">
        <f t="shared" si="12"/>
        <v>0</v>
      </c>
      <c r="O89" s="11"/>
      <c r="P89" s="2">
        <v>41342.559999999998</v>
      </c>
      <c r="Q89" s="2"/>
      <c r="R89" s="22">
        <f t="shared" si="13"/>
        <v>1.7543332498810689E-2</v>
      </c>
      <c r="S89" s="2"/>
      <c r="T89" s="2"/>
      <c r="U89" s="2"/>
      <c r="V89" s="22">
        <f t="shared" si="14"/>
        <v>0</v>
      </c>
      <c r="W89" s="2"/>
      <c r="X89" s="2">
        <f t="shared" si="15"/>
        <v>41342.559999999998</v>
      </c>
      <c r="Y89" s="2"/>
      <c r="Z89" s="22">
        <f t="shared" si="16"/>
        <v>0</v>
      </c>
    </row>
    <row r="90" spans="1:26" s="24" customFormat="1" hidden="1" outlineLevel="1" x14ac:dyDescent="0.25">
      <c r="A90" s="51"/>
      <c r="B90" s="11" t="str">
        <f>CONCATENATE("          ", "5031", " - ", "PURCHASES @ COST-FOOD")</f>
        <v xml:space="preserve">          5031 - PURCHASES @ COST-FOOD</v>
      </c>
      <c r="C90" s="11"/>
      <c r="D90" s="2">
        <v>4469.18</v>
      </c>
      <c r="E90" s="2"/>
      <c r="F90" s="22">
        <f t="shared" si="9"/>
        <v>2.7913353793974017E-2</v>
      </c>
      <c r="G90" s="2"/>
      <c r="H90" s="2"/>
      <c r="I90" s="2"/>
      <c r="J90" s="22">
        <f t="shared" si="10"/>
        <v>0</v>
      </c>
      <c r="K90" s="2"/>
      <c r="L90" s="2">
        <f t="shared" si="11"/>
        <v>4469.18</v>
      </c>
      <c r="M90" s="2"/>
      <c r="N90" s="22">
        <f t="shared" si="12"/>
        <v>0</v>
      </c>
      <c r="O90" s="11"/>
      <c r="P90" s="2">
        <v>8535.1</v>
      </c>
      <c r="Q90" s="2"/>
      <c r="R90" s="22">
        <f t="shared" si="13"/>
        <v>3.6217906489244768E-3</v>
      </c>
      <c r="S90" s="2"/>
      <c r="T90" s="2"/>
      <c r="U90" s="2"/>
      <c r="V90" s="22">
        <f t="shared" si="14"/>
        <v>0</v>
      </c>
      <c r="W90" s="2"/>
      <c r="X90" s="2">
        <f t="shared" si="15"/>
        <v>8535.1</v>
      </c>
      <c r="Y90" s="2"/>
      <c r="Z90" s="22">
        <f t="shared" si="16"/>
        <v>0</v>
      </c>
    </row>
    <row r="91" spans="1:26" s="24" customFormat="1" hidden="1" outlineLevel="1" x14ac:dyDescent="0.25">
      <c r="A91" s="51"/>
      <c r="B91" s="11" t="str">
        <f>CONCATENATE("          ", "5040", " - ", "PURCHASES @ COST-LOGO CLOTHING")</f>
        <v xml:space="preserve">          5040 - PURCHASES @ COST-LOGO CLOTHING</v>
      </c>
      <c r="C91" s="11"/>
      <c r="D91" s="2">
        <v>25420.9</v>
      </c>
      <c r="E91" s="2"/>
      <c r="F91" s="22">
        <f t="shared" si="9"/>
        <v>0.15877243151120207</v>
      </c>
      <c r="G91" s="2"/>
      <c r="H91" s="2"/>
      <c r="I91" s="2"/>
      <c r="J91" s="22">
        <f t="shared" si="10"/>
        <v>0</v>
      </c>
      <c r="K91" s="2"/>
      <c r="L91" s="2">
        <f t="shared" si="11"/>
        <v>25420.9</v>
      </c>
      <c r="M91" s="2"/>
      <c r="N91" s="22">
        <f t="shared" si="12"/>
        <v>0</v>
      </c>
      <c r="O91" s="11"/>
      <c r="P91" s="2">
        <v>39170.950000000004</v>
      </c>
      <c r="Q91" s="2"/>
      <c r="R91" s="22">
        <f t="shared" si="13"/>
        <v>1.6621829904686324E-2</v>
      </c>
      <c r="S91" s="2"/>
      <c r="T91" s="2"/>
      <c r="U91" s="2"/>
      <c r="V91" s="22">
        <f t="shared" si="14"/>
        <v>0</v>
      </c>
      <c r="W91" s="2"/>
      <c r="X91" s="2">
        <f t="shared" si="15"/>
        <v>39170.950000000004</v>
      </c>
      <c r="Y91" s="2"/>
      <c r="Z91" s="22">
        <f t="shared" si="16"/>
        <v>0</v>
      </c>
    </row>
    <row r="92" spans="1:26" s="24" customFormat="1" hidden="1" outlineLevel="1" x14ac:dyDescent="0.25">
      <c r="A92" s="51"/>
      <c r="B92" s="11" t="str">
        <f>CONCATENATE("          ", "5041", " - ", "PURCHASES @ COST-LOGO GIFTS")</f>
        <v xml:space="preserve">          5041 - PURCHASES @ COST-LOGO GIFTS</v>
      </c>
      <c r="C92" s="11"/>
      <c r="D92" s="2">
        <v>15289.8</v>
      </c>
      <c r="E92" s="2"/>
      <c r="F92" s="22">
        <f t="shared" si="9"/>
        <v>9.5496175325026925E-2</v>
      </c>
      <c r="G92" s="2"/>
      <c r="H92" s="2"/>
      <c r="I92" s="2"/>
      <c r="J92" s="22">
        <f t="shared" si="10"/>
        <v>0</v>
      </c>
      <c r="K92" s="2"/>
      <c r="L92" s="2">
        <f t="shared" si="11"/>
        <v>15289.8</v>
      </c>
      <c r="M92" s="2"/>
      <c r="N92" s="22">
        <f t="shared" si="12"/>
        <v>0</v>
      </c>
      <c r="O92" s="11"/>
      <c r="P92" s="2">
        <v>17287.34</v>
      </c>
      <c r="Q92" s="2"/>
      <c r="R92" s="22">
        <f t="shared" si="13"/>
        <v>7.3357226461058531E-3</v>
      </c>
      <c r="S92" s="2"/>
      <c r="T92" s="2"/>
      <c r="U92" s="2"/>
      <c r="V92" s="22">
        <f t="shared" si="14"/>
        <v>0</v>
      </c>
      <c r="W92" s="2"/>
      <c r="X92" s="2">
        <f t="shared" si="15"/>
        <v>17287.34</v>
      </c>
      <c r="Y92" s="2"/>
      <c r="Z92" s="22">
        <f t="shared" si="16"/>
        <v>0</v>
      </c>
    </row>
    <row r="93" spans="1:26" s="24" customFormat="1" hidden="1" outlineLevel="1" x14ac:dyDescent="0.25">
      <c r="A93" s="51"/>
      <c r="B93" s="11" t="str">
        <f>CONCATENATE("          ", "5042", " - ", "PURCHASES @ COST-EVERYDAY GIFT")</f>
        <v xml:space="preserve">          5042 - PURCHASES @ COST-EVERYDAY GIFT</v>
      </c>
      <c r="C93" s="11"/>
      <c r="D93" s="2">
        <v>9421.5300000000007</v>
      </c>
      <c r="E93" s="2"/>
      <c r="F93" s="22">
        <f t="shared" si="9"/>
        <v>5.8844463675783928E-2</v>
      </c>
      <c r="G93" s="2"/>
      <c r="H93" s="2"/>
      <c r="I93" s="2"/>
      <c r="J93" s="22">
        <f t="shared" si="10"/>
        <v>0</v>
      </c>
      <c r="K93" s="2"/>
      <c r="L93" s="2">
        <f t="shared" si="11"/>
        <v>9421.5300000000007</v>
      </c>
      <c r="M93" s="2"/>
      <c r="N93" s="22">
        <f t="shared" si="12"/>
        <v>0</v>
      </c>
      <c r="O93" s="11"/>
      <c r="P93" s="2">
        <v>10912.68</v>
      </c>
      <c r="Q93" s="2"/>
      <c r="R93" s="22">
        <f t="shared" si="13"/>
        <v>4.6306947052413162E-3</v>
      </c>
      <c r="S93" s="2"/>
      <c r="T93" s="2"/>
      <c r="U93" s="2"/>
      <c r="V93" s="22">
        <f t="shared" si="14"/>
        <v>0</v>
      </c>
      <c r="W93" s="2"/>
      <c r="X93" s="2">
        <f t="shared" si="15"/>
        <v>10912.68</v>
      </c>
      <c r="Y93" s="2"/>
      <c r="Z93" s="22">
        <f t="shared" si="16"/>
        <v>0</v>
      </c>
    </row>
    <row r="94" spans="1:26" s="24" customFormat="1" hidden="1" outlineLevel="1" x14ac:dyDescent="0.25">
      <c r="A94" s="51"/>
      <c r="B94" s="11" t="str">
        <f>CONCATENATE("          ", "5043", " - ", "PURCHASES @ COST-CARDS")</f>
        <v xml:space="preserve">          5043 - PURCHASES @ COST-CARDS</v>
      </c>
      <c r="C94" s="11"/>
      <c r="D94" s="2">
        <v>2526.75</v>
      </c>
      <c r="E94" s="2"/>
      <c r="F94" s="22">
        <f t="shared" si="9"/>
        <v>1.5781433439450602E-2</v>
      </c>
      <c r="G94" s="2"/>
      <c r="H94" s="2"/>
      <c r="I94" s="2"/>
      <c r="J94" s="22">
        <f t="shared" si="10"/>
        <v>0</v>
      </c>
      <c r="K94" s="2"/>
      <c r="L94" s="2">
        <f t="shared" si="11"/>
        <v>2526.75</v>
      </c>
      <c r="M94" s="2"/>
      <c r="N94" s="22">
        <f t="shared" si="12"/>
        <v>0</v>
      </c>
      <c r="O94" s="11"/>
      <c r="P94" s="2">
        <v>5643</v>
      </c>
      <c r="Q94" s="2"/>
      <c r="R94" s="22">
        <f t="shared" si="13"/>
        <v>2.3945547951261053E-3</v>
      </c>
      <c r="S94" s="2"/>
      <c r="T94" s="2"/>
      <c r="U94" s="2"/>
      <c r="V94" s="22">
        <f t="shared" si="14"/>
        <v>0</v>
      </c>
      <c r="W94" s="2"/>
      <c r="X94" s="2">
        <f t="shared" si="15"/>
        <v>5643</v>
      </c>
      <c r="Y94" s="2"/>
      <c r="Z94" s="22">
        <f t="shared" si="16"/>
        <v>0</v>
      </c>
    </row>
    <row r="95" spans="1:26" s="24" customFormat="1" hidden="1" outlineLevel="1" x14ac:dyDescent="0.25">
      <c r="A95" s="51"/>
      <c r="B95" s="11" t="str">
        <f>CONCATENATE("          ", "5045", " - ", "PURCHASES @ COST-SPECIAL ORDER")</f>
        <v xml:space="preserve">          5045 - PURCHASES @ COST-SPECIAL ORDER</v>
      </c>
      <c r="C95" s="11"/>
      <c r="D95" s="2">
        <v>10080.23</v>
      </c>
      <c r="E95" s="2"/>
      <c r="F95" s="22">
        <f t="shared" si="9"/>
        <v>6.2958535193174292E-2</v>
      </c>
      <c r="G95" s="2"/>
      <c r="H95" s="2"/>
      <c r="I95" s="2"/>
      <c r="J95" s="22">
        <f t="shared" si="10"/>
        <v>0</v>
      </c>
      <c r="K95" s="2"/>
      <c r="L95" s="2">
        <f t="shared" si="11"/>
        <v>10080.23</v>
      </c>
      <c r="M95" s="2"/>
      <c r="N95" s="22">
        <f t="shared" si="12"/>
        <v>0</v>
      </c>
      <c r="O95" s="11"/>
      <c r="P95" s="2">
        <v>71254.52</v>
      </c>
      <c r="Q95" s="2"/>
      <c r="R95" s="22">
        <f t="shared" si="13"/>
        <v>3.0236195736382952E-2</v>
      </c>
      <c r="S95" s="2"/>
      <c r="T95" s="2"/>
      <c r="U95" s="2"/>
      <c r="V95" s="22">
        <f t="shared" si="14"/>
        <v>0</v>
      </c>
      <c r="W95" s="2"/>
      <c r="X95" s="2">
        <f t="shared" si="15"/>
        <v>71254.52</v>
      </c>
      <c r="Y95" s="2"/>
      <c r="Z95" s="22">
        <f t="shared" si="16"/>
        <v>0</v>
      </c>
    </row>
    <row r="96" spans="1:26" s="24" customFormat="1" hidden="1" outlineLevel="1" x14ac:dyDescent="0.25">
      <c r="A96" s="51"/>
      <c r="B96" s="11" t="str">
        <f>CONCATENATE("          ", "5053", " - ", "PURCHASES @ COST-FOOD")</f>
        <v xml:space="preserve">          5053 - PURCHASES @ COST-FOOD</v>
      </c>
      <c r="C96" s="11"/>
      <c r="D96" s="2">
        <v>-570.16999999999996</v>
      </c>
      <c r="E96" s="2"/>
      <c r="F96" s="22">
        <f t="shared" si="9"/>
        <v>-3.5611358085174826E-3</v>
      </c>
      <c r="G96" s="2"/>
      <c r="H96" s="2"/>
      <c r="I96" s="2"/>
      <c r="J96" s="22">
        <f t="shared" si="10"/>
        <v>0</v>
      </c>
      <c r="K96" s="2"/>
      <c r="L96" s="2">
        <f t="shared" si="11"/>
        <v>-570.16999999999996</v>
      </c>
      <c r="M96" s="2"/>
      <c r="N96" s="22">
        <f t="shared" si="12"/>
        <v>0</v>
      </c>
      <c r="O96" s="11"/>
      <c r="P96" s="2">
        <v>-2855.57</v>
      </c>
      <c r="Q96" s="2"/>
      <c r="R96" s="22">
        <f t="shared" si="13"/>
        <v>-1.2117346865706633E-3</v>
      </c>
      <c r="S96" s="2"/>
      <c r="T96" s="2"/>
      <c r="U96" s="2"/>
      <c r="V96" s="22">
        <f t="shared" si="14"/>
        <v>0</v>
      </c>
      <c r="W96" s="2"/>
      <c r="X96" s="2">
        <f t="shared" si="15"/>
        <v>-2855.57</v>
      </c>
      <c r="Y96" s="2"/>
      <c r="Z96" s="22">
        <f t="shared" si="16"/>
        <v>0</v>
      </c>
    </row>
    <row r="97" spans="1:26" s="24" customFormat="1" hidden="1" outlineLevel="1" x14ac:dyDescent="0.25">
      <c r="A97" s="51"/>
      <c r="B97" s="11" t="str">
        <f>CONCATENATE("          ", "5059", " - ", "PURCHASES @ COST-FOOD")</f>
        <v xml:space="preserve">          5059 - PURCHASES @ COST-FOOD</v>
      </c>
      <c r="C97" s="11"/>
      <c r="D97" s="2">
        <v>11629</v>
      </c>
      <c r="E97" s="2"/>
      <c r="F97" s="22">
        <f t="shared" si="9"/>
        <v>7.263175599777226E-2</v>
      </c>
      <c r="G97" s="2"/>
      <c r="H97" s="2"/>
      <c r="I97" s="2"/>
      <c r="J97" s="22">
        <f t="shared" si="10"/>
        <v>0</v>
      </c>
      <c r="K97" s="2"/>
      <c r="L97" s="2">
        <f t="shared" si="11"/>
        <v>11629</v>
      </c>
      <c r="M97" s="2"/>
      <c r="N97" s="22">
        <f t="shared" si="12"/>
        <v>0</v>
      </c>
      <c r="O97" s="11"/>
      <c r="P97" s="2">
        <v>11697.91</v>
      </c>
      <c r="Q97" s="2"/>
      <c r="R97" s="22">
        <f t="shared" si="13"/>
        <v>4.96389978441496E-3</v>
      </c>
      <c r="S97" s="2"/>
      <c r="T97" s="2"/>
      <c r="U97" s="2"/>
      <c r="V97" s="22">
        <f t="shared" si="14"/>
        <v>0</v>
      </c>
      <c r="W97" s="2"/>
      <c r="X97" s="2">
        <f t="shared" si="15"/>
        <v>11697.91</v>
      </c>
      <c r="Y97" s="2"/>
      <c r="Z97" s="22">
        <f t="shared" si="16"/>
        <v>0</v>
      </c>
    </row>
    <row r="98" spans="1:26" s="24" customFormat="1" hidden="1" outlineLevel="1" x14ac:dyDescent="0.25">
      <c r="A98" s="51"/>
      <c r="B98" s="11" t="str">
        <f>CONCATENATE("          ", "5200", " - ", "PURCHASES OFFSET")</f>
        <v xml:space="preserve">          5200 - PURCHASES OFFSET</v>
      </c>
      <c r="C98" s="11"/>
      <c r="D98" s="2">
        <v>-234183.50999999998</v>
      </c>
      <c r="E98" s="2"/>
      <c r="F98" s="22">
        <f t="shared" si="9"/>
        <v>-1.4626502327819981</v>
      </c>
      <c r="G98" s="2"/>
      <c r="H98" s="2"/>
      <c r="I98" s="2"/>
      <c r="J98" s="22">
        <f t="shared" si="10"/>
        <v>0</v>
      </c>
      <c r="K98" s="2"/>
      <c r="L98" s="2">
        <f t="shared" si="11"/>
        <v>-234183.50999999998</v>
      </c>
      <c r="M98" s="2"/>
      <c r="N98" s="22">
        <f t="shared" si="12"/>
        <v>0</v>
      </c>
      <c r="O98" s="11"/>
      <c r="P98" s="2">
        <v>-1769157.19</v>
      </c>
      <c r="Q98" s="2"/>
      <c r="R98" s="22">
        <f t="shared" si="13"/>
        <v>-0.75072547096337516</v>
      </c>
      <c r="S98" s="2"/>
      <c r="T98" s="2"/>
      <c r="U98" s="2"/>
      <c r="V98" s="22">
        <f t="shared" si="14"/>
        <v>0</v>
      </c>
      <c r="W98" s="2"/>
      <c r="X98" s="2">
        <f t="shared" si="15"/>
        <v>-1769157.19</v>
      </c>
      <c r="Y98" s="2"/>
      <c r="Z98" s="22">
        <f t="shared" si="16"/>
        <v>0</v>
      </c>
    </row>
    <row r="99" spans="1:26" s="24" customFormat="1" hidden="1" outlineLevel="1" x14ac:dyDescent="0.25">
      <c r="A99" s="51"/>
      <c r="B99" s="11" t="str">
        <f>CONCATENATE("          ", "5300", " - ", "COG$ OFFSET")</f>
        <v xml:space="preserve">          5300 - COG$ OFFSET</v>
      </c>
      <c r="C99" s="11"/>
      <c r="D99" s="2">
        <v>85211</v>
      </c>
      <c r="E99" s="2"/>
      <c r="F99" s="22">
        <f t="shared" si="9"/>
        <v>0.53220608481607801</v>
      </c>
      <c r="G99" s="2"/>
      <c r="H99" s="2"/>
      <c r="I99" s="2"/>
      <c r="J99" s="22">
        <f t="shared" si="10"/>
        <v>0</v>
      </c>
      <c r="K99" s="2"/>
      <c r="L99" s="2">
        <f t="shared" si="11"/>
        <v>85211</v>
      </c>
      <c r="M99" s="2"/>
      <c r="N99" s="22">
        <f t="shared" si="12"/>
        <v>0</v>
      </c>
      <c r="O99" s="11"/>
      <c r="P99" s="2">
        <v>1195689</v>
      </c>
      <c r="Q99" s="2"/>
      <c r="R99" s="22">
        <f t="shared" si="13"/>
        <v>0.50737955492283149</v>
      </c>
      <c r="S99" s="2"/>
      <c r="T99" s="2"/>
      <c r="U99" s="2"/>
      <c r="V99" s="22">
        <f t="shared" si="14"/>
        <v>0</v>
      </c>
      <c r="W99" s="2"/>
      <c r="X99" s="2">
        <f t="shared" si="15"/>
        <v>1195689</v>
      </c>
      <c r="Y99" s="2"/>
      <c r="Z99" s="22">
        <f t="shared" si="16"/>
        <v>0</v>
      </c>
    </row>
    <row r="100" spans="1:26" s="24" customFormat="1" hidden="1" outlineLevel="1" x14ac:dyDescent="0.25">
      <c r="A100" s="51"/>
      <c r="B100" s="11" t="str">
        <f>CONCATENATE("          ", "5501", " - ", "FREIGHT-IN-NEW TEXT")</f>
        <v xml:space="preserve">          5501 - FREIGHT-IN-NEW TEXT</v>
      </c>
      <c r="C100" s="11"/>
      <c r="D100" s="2">
        <v>23295.74</v>
      </c>
      <c r="E100" s="2"/>
      <c r="F100" s="22">
        <f t="shared" si="9"/>
        <v>0.14549922637092985</v>
      </c>
      <c r="G100" s="2"/>
      <c r="H100" s="2"/>
      <c r="I100" s="2"/>
      <c r="J100" s="22">
        <f t="shared" si="10"/>
        <v>0</v>
      </c>
      <c r="K100" s="2"/>
      <c r="L100" s="2">
        <f t="shared" si="11"/>
        <v>23295.74</v>
      </c>
      <c r="M100" s="2"/>
      <c r="N100" s="22">
        <f t="shared" si="12"/>
        <v>0</v>
      </c>
      <c r="O100" s="11"/>
      <c r="P100" s="2">
        <v>34058.620000000003</v>
      </c>
      <c r="Q100" s="2"/>
      <c r="R100" s="22">
        <f t="shared" si="13"/>
        <v>1.4452460009990764E-2</v>
      </c>
      <c r="S100" s="2"/>
      <c r="T100" s="2"/>
      <c r="U100" s="2"/>
      <c r="V100" s="22">
        <f t="shared" si="14"/>
        <v>0</v>
      </c>
      <c r="W100" s="2"/>
      <c r="X100" s="2">
        <f t="shared" si="15"/>
        <v>34058.620000000003</v>
      </c>
      <c r="Y100" s="2"/>
      <c r="Z100" s="22">
        <f t="shared" si="16"/>
        <v>0</v>
      </c>
    </row>
    <row r="101" spans="1:26" s="24" customFormat="1" hidden="1" outlineLevel="1" x14ac:dyDescent="0.25">
      <c r="A101" s="51"/>
      <c r="B101" s="11" t="str">
        <f>CONCATENATE("          ", "5502", " - ", "FREIGHT-IN-USED TEXT")</f>
        <v xml:space="preserve">          5502 - FREIGHT-IN-USED TEXT</v>
      </c>
      <c r="C101" s="11"/>
      <c r="D101" s="2">
        <v>2233.9</v>
      </c>
      <c r="E101" s="2"/>
      <c r="F101" s="22">
        <f t="shared" si="9"/>
        <v>1.395236733368505E-2</v>
      </c>
      <c r="G101" s="2"/>
      <c r="H101" s="2"/>
      <c r="I101" s="2"/>
      <c r="J101" s="22">
        <f t="shared" si="10"/>
        <v>0</v>
      </c>
      <c r="K101" s="2"/>
      <c r="L101" s="2">
        <f t="shared" si="11"/>
        <v>2233.9</v>
      </c>
      <c r="M101" s="2"/>
      <c r="N101" s="22">
        <f t="shared" si="12"/>
        <v>0</v>
      </c>
      <c r="O101" s="11"/>
      <c r="P101" s="2">
        <v>10744.72</v>
      </c>
      <c r="Q101" s="2"/>
      <c r="R101" s="22">
        <f t="shared" si="13"/>
        <v>4.5594224345715693E-3</v>
      </c>
      <c r="S101" s="2"/>
      <c r="T101" s="2"/>
      <c r="U101" s="2"/>
      <c r="V101" s="22">
        <f t="shared" si="14"/>
        <v>0</v>
      </c>
      <c r="W101" s="2"/>
      <c r="X101" s="2">
        <f t="shared" si="15"/>
        <v>10744.72</v>
      </c>
      <c r="Y101" s="2"/>
      <c r="Z101" s="22">
        <f t="shared" si="16"/>
        <v>0</v>
      </c>
    </row>
    <row r="102" spans="1:26" s="24" customFormat="1" hidden="1" outlineLevel="1" x14ac:dyDescent="0.25">
      <c r="A102" s="51"/>
      <c r="B102" s="11" t="str">
        <f>CONCATENATE("          ", "5504", " - ", "FREIGHT-IN-DIGITAL TEXT")</f>
        <v xml:space="preserve">          5504 - FREIGHT-IN-DIGITAL TEXT</v>
      </c>
      <c r="C102" s="11"/>
      <c r="D102" s="2">
        <v>10.99</v>
      </c>
      <c r="E102" s="2"/>
      <c r="F102" s="22">
        <f t="shared" si="9"/>
        <v>6.8640725635524738E-5</v>
      </c>
      <c r="G102" s="2"/>
      <c r="H102" s="2"/>
      <c r="I102" s="2"/>
      <c r="J102" s="22">
        <f t="shared" si="10"/>
        <v>0</v>
      </c>
      <c r="K102" s="2"/>
      <c r="L102" s="2">
        <f t="shared" si="11"/>
        <v>10.99</v>
      </c>
      <c r="M102" s="2"/>
      <c r="N102" s="22">
        <f t="shared" si="12"/>
        <v>0</v>
      </c>
      <c r="O102" s="11"/>
      <c r="P102" s="2">
        <v>21.98</v>
      </c>
      <c r="Q102" s="2"/>
      <c r="R102" s="22">
        <f t="shared" si="13"/>
        <v>9.3270094624972181E-6</v>
      </c>
      <c r="S102" s="2"/>
      <c r="T102" s="2"/>
      <c r="U102" s="2"/>
      <c r="V102" s="22">
        <f t="shared" si="14"/>
        <v>0</v>
      </c>
      <c r="W102" s="2"/>
      <c r="X102" s="2">
        <f t="shared" si="15"/>
        <v>21.98</v>
      </c>
      <c r="Y102" s="2"/>
      <c r="Z102" s="22">
        <f t="shared" si="16"/>
        <v>0</v>
      </c>
    </row>
    <row r="103" spans="1:26" s="24" customFormat="1" hidden="1" outlineLevel="1" x14ac:dyDescent="0.25">
      <c r="A103" s="51"/>
      <c r="B103" s="11" t="str">
        <f>CONCATENATE("          ", "5525", " - ", "FREIGHT-IN-TEST FORMS")</f>
        <v xml:space="preserve">          5525 - FREIGHT-IN-TEST FORMS</v>
      </c>
      <c r="C103" s="11"/>
      <c r="D103" s="2">
        <v>48.14</v>
      </c>
      <c r="E103" s="2"/>
      <c r="F103" s="22">
        <f t="shared" si="9"/>
        <v>3.0067011211047868E-4</v>
      </c>
      <c r="G103" s="2"/>
      <c r="H103" s="2"/>
      <c r="I103" s="2"/>
      <c r="J103" s="22">
        <f t="shared" si="10"/>
        <v>0</v>
      </c>
      <c r="K103" s="2"/>
      <c r="L103" s="2">
        <f t="shared" si="11"/>
        <v>48.14</v>
      </c>
      <c r="M103" s="2"/>
      <c r="N103" s="22">
        <f t="shared" si="12"/>
        <v>0</v>
      </c>
      <c r="O103" s="11"/>
      <c r="P103" s="2">
        <v>48.14</v>
      </c>
      <c r="Q103" s="2"/>
      <c r="R103" s="22">
        <f t="shared" si="13"/>
        <v>2.042776321768044E-5</v>
      </c>
      <c r="S103" s="2"/>
      <c r="T103" s="2"/>
      <c r="U103" s="2"/>
      <c r="V103" s="22">
        <f t="shared" si="14"/>
        <v>0</v>
      </c>
      <c r="W103" s="2"/>
      <c r="X103" s="2">
        <f t="shared" si="15"/>
        <v>48.14</v>
      </c>
      <c r="Y103" s="2"/>
      <c r="Z103" s="22">
        <f t="shared" si="16"/>
        <v>0</v>
      </c>
    </row>
    <row r="104" spans="1:26" s="24" customFormat="1" hidden="1" outlineLevel="1" x14ac:dyDescent="0.25">
      <c r="A104" s="51"/>
      <c r="B104" s="11" t="str">
        <f>CONCATENATE("          ", "5527", " - ", "FREIGHT-IN-SCHOOL SUPPLIES")</f>
        <v xml:space="preserve">          5527 - FREIGHT-IN-SCHOOL SUPPLIES</v>
      </c>
      <c r="C104" s="11"/>
      <c r="D104" s="2">
        <v>56</v>
      </c>
      <c r="E104" s="2"/>
      <c r="F104" s="22">
        <f t="shared" si="9"/>
        <v>3.4976165928929799E-4</v>
      </c>
      <c r="G104" s="2"/>
      <c r="H104" s="2"/>
      <c r="I104" s="2"/>
      <c r="J104" s="22">
        <f t="shared" si="10"/>
        <v>0</v>
      </c>
      <c r="K104" s="2"/>
      <c r="L104" s="2">
        <f t="shared" si="11"/>
        <v>56</v>
      </c>
      <c r="M104" s="2"/>
      <c r="N104" s="22">
        <f t="shared" si="12"/>
        <v>0</v>
      </c>
      <c r="O104" s="11"/>
      <c r="P104" s="2">
        <v>56</v>
      </c>
      <c r="Q104" s="2"/>
      <c r="R104" s="22">
        <f t="shared" si="13"/>
        <v>2.376308143311393E-5</v>
      </c>
      <c r="S104" s="2"/>
      <c r="T104" s="2"/>
      <c r="U104" s="2"/>
      <c r="V104" s="22">
        <f t="shared" si="14"/>
        <v>0</v>
      </c>
      <c r="W104" s="2"/>
      <c r="X104" s="2">
        <f t="shared" si="15"/>
        <v>56</v>
      </c>
      <c r="Y104" s="2"/>
      <c r="Z104" s="22">
        <f t="shared" si="16"/>
        <v>0</v>
      </c>
    </row>
    <row r="105" spans="1:26" s="24" customFormat="1" hidden="1" outlineLevel="1" x14ac:dyDescent="0.25">
      <c r="A105" s="51"/>
      <c r="B105" s="11" t="str">
        <f>CONCATENATE("          ", "5528", " - ", "FREIGHT-IN-ART/TECH")</f>
        <v xml:space="preserve">          5528 - FREIGHT-IN-ART/TECH</v>
      </c>
      <c r="C105" s="11"/>
      <c r="D105" s="2">
        <v>239.39</v>
      </c>
      <c r="E105" s="2"/>
      <c r="F105" s="22">
        <f t="shared" si="9"/>
        <v>1.4951686360225899E-3</v>
      </c>
      <c r="G105" s="2"/>
      <c r="H105" s="2"/>
      <c r="I105" s="2"/>
      <c r="J105" s="22">
        <f t="shared" si="10"/>
        <v>0</v>
      </c>
      <c r="K105" s="2"/>
      <c r="L105" s="2">
        <f t="shared" si="11"/>
        <v>239.39</v>
      </c>
      <c r="M105" s="2"/>
      <c r="N105" s="22">
        <f t="shared" si="12"/>
        <v>0</v>
      </c>
      <c r="O105" s="11"/>
      <c r="P105" s="2">
        <v>284.2</v>
      </c>
      <c r="Q105" s="2"/>
      <c r="R105" s="22">
        <f t="shared" si="13"/>
        <v>1.2059763827305318E-4</v>
      </c>
      <c r="S105" s="2"/>
      <c r="T105" s="2"/>
      <c r="U105" s="2"/>
      <c r="V105" s="22">
        <f t="shared" si="14"/>
        <v>0</v>
      </c>
      <c r="W105" s="2"/>
      <c r="X105" s="2">
        <f t="shared" si="15"/>
        <v>284.2</v>
      </c>
      <c r="Y105" s="2"/>
      <c r="Z105" s="22">
        <f t="shared" si="16"/>
        <v>0</v>
      </c>
    </row>
    <row r="106" spans="1:26" s="24" customFormat="1" hidden="1" outlineLevel="1" x14ac:dyDescent="0.25">
      <c r="A106" s="51"/>
      <c r="B106" s="11" t="str">
        <f>CONCATENATE("          ", "5540", " - ", "FREIGHT-IN-LOGO CLOTHING")</f>
        <v xml:space="preserve">          5540 - FREIGHT-IN-LOGO CLOTHING</v>
      </c>
      <c r="C106" s="11"/>
      <c r="D106" s="2">
        <v>1036.57</v>
      </c>
      <c r="E106" s="2"/>
      <c r="F106" s="22">
        <f t="shared" si="9"/>
        <v>6.4741507708840637E-3</v>
      </c>
      <c r="G106" s="2"/>
      <c r="H106" s="2"/>
      <c r="I106" s="2"/>
      <c r="J106" s="22">
        <f t="shared" si="10"/>
        <v>0</v>
      </c>
      <c r="K106" s="2"/>
      <c r="L106" s="2">
        <f t="shared" si="11"/>
        <v>1036.57</v>
      </c>
      <c r="M106" s="2"/>
      <c r="N106" s="22">
        <f t="shared" si="12"/>
        <v>0</v>
      </c>
      <c r="O106" s="11"/>
      <c r="P106" s="2">
        <v>3202.33</v>
      </c>
      <c r="Q106" s="2"/>
      <c r="R106" s="22">
        <f t="shared" si="13"/>
        <v>1.3588790815304238E-3</v>
      </c>
      <c r="S106" s="2"/>
      <c r="T106" s="2"/>
      <c r="U106" s="2"/>
      <c r="V106" s="22">
        <f t="shared" si="14"/>
        <v>0</v>
      </c>
      <c r="W106" s="2"/>
      <c r="X106" s="2">
        <f t="shared" si="15"/>
        <v>3202.33</v>
      </c>
      <c r="Y106" s="2"/>
      <c r="Z106" s="22">
        <f t="shared" si="16"/>
        <v>0</v>
      </c>
    </row>
    <row r="107" spans="1:26" s="24" customFormat="1" hidden="1" outlineLevel="1" x14ac:dyDescent="0.25">
      <c r="A107" s="51"/>
      <c r="B107" s="11" t="str">
        <f>CONCATENATE("          ", "5541", " - ", "FREIGHT-IN-LOGO GIFTS")</f>
        <v xml:space="preserve">          5541 - FREIGHT-IN-LOGO GIFTS</v>
      </c>
      <c r="C107" s="11"/>
      <c r="D107" s="2">
        <v>773.7</v>
      </c>
      <c r="E107" s="2"/>
      <c r="F107" s="22">
        <f t="shared" si="9"/>
        <v>4.8323320677166048E-3</v>
      </c>
      <c r="G107" s="2"/>
      <c r="H107" s="2"/>
      <c r="I107" s="2"/>
      <c r="J107" s="22">
        <f t="shared" si="10"/>
        <v>0</v>
      </c>
      <c r="K107" s="2"/>
      <c r="L107" s="2">
        <f t="shared" si="11"/>
        <v>773.7</v>
      </c>
      <c r="M107" s="2"/>
      <c r="N107" s="22">
        <f t="shared" si="12"/>
        <v>0</v>
      </c>
      <c r="O107" s="11"/>
      <c r="P107" s="2">
        <v>1134.81</v>
      </c>
      <c r="Q107" s="2"/>
      <c r="R107" s="22">
        <f t="shared" si="13"/>
        <v>4.8154611501985748E-4</v>
      </c>
      <c r="S107" s="2"/>
      <c r="T107" s="2"/>
      <c r="U107" s="2"/>
      <c r="V107" s="22">
        <f t="shared" si="14"/>
        <v>0</v>
      </c>
      <c r="W107" s="2"/>
      <c r="X107" s="2">
        <f t="shared" si="15"/>
        <v>1134.81</v>
      </c>
      <c r="Y107" s="2"/>
      <c r="Z107" s="22">
        <f t="shared" si="16"/>
        <v>0</v>
      </c>
    </row>
    <row r="108" spans="1:26" s="24" customFormat="1" hidden="1" outlineLevel="1" x14ac:dyDescent="0.25">
      <c r="A108" s="51"/>
      <c r="B108" s="11" t="str">
        <f>CONCATENATE("          ", "5542", " - ", "FREIGHT-IN-EVERYDAY GIFTS")</f>
        <v xml:space="preserve">          5542 - FREIGHT-IN-EVERYDAY GIFTS</v>
      </c>
      <c r="C108" s="11"/>
      <c r="D108" s="2">
        <v>104.17</v>
      </c>
      <c r="E108" s="2"/>
      <c r="F108" s="22">
        <f t="shared" si="9"/>
        <v>6.5061914371725312E-4</v>
      </c>
      <c r="G108" s="2"/>
      <c r="H108" s="2"/>
      <c r="I108" s="2"/>
      <c r="J108" s="22">
        <f t="shared" si="10"/>
        <v>0</v>
      </c>
      <c r="K108" s="2"/>
      <c r="L108" s="2">
        <f t="shared" si="11"/>
        <v>104.17</v>
      </c>
      <c r="M108" s="2"/>
      <c r="N108" s="22">
        <f t="shared" si="12"/>
        <v>0</v>
      </c>
      <c r="O108" s="11"/>
      <c r="P108" s="2">
        <v>175.55</v>
      </c>
      <c r="Q108" s="2"/>
      <c r="R108" s="22">
        <f t="shared" si="13"/>
        <v>7.4493016885413403E-5</v>
      </c>
      <c r="S108" s="2"/>
      <c r="T108" s="2"/>
      <c r="U108" s="2"/>
      <c r="V108" s="22">
        <f t="shared" si="14"/>
        <v>0</v>
      </c>
      <c r="W108" s="2"/>
      <c r="X108" s="2">
        <f t="shared" si="15"/>
        <v>175.55</v>
      </c>
      <c r="Y108" s="2"/>
      <c r="Z108" s="22">
        <f t="shared" si="16"/>
        <v>0</v>
      </c>
    </row>
    <row r="109" spans="1:26" s="24" customFormat="1" hidden="1" outlineLevel="1" x14ac:dyDescent="0.25">
      <c r="A109" s="51"/>
      <c r="B109" s="11" t="str">
        <f>CONCATENATE("          ", "5543", " - ", "FREIGHT-IN-CARDS")</f>
        <v xml:space="preserve">          5543 - FREIGHT-IN-CARDS</v>
      </c>
      <c r="C109" s="11"/>
      <c r="D109" s="2">
        <v>107.42</v>
      </c>
      <c r="E109" s="2"/>
      <c r="F109" s="22">
        <f t="shared" si="9"/>
        <v>6.7091781144386407E-4</v>
      </c>
      <c r="G109" s="2"/>
      <c r="H109" s="2"/>
      <c r="I109" s="2"/>
      <c r="J109" s="22">
        <f t="shared" si="10"/>
        <v>0</v>
      </c>
      <c r="K109" s="2"/>
      <c r="L109" s="2">
        <f t="shared" si="11"/>
        <v>107.42</v>
      </c>
      <c r="M109" s="2"/>
      <c r="N109" s="22">
        <f t="shared" si="12"/>
        <v>0</v>
      </c>
      <c r="O109" s="11"/>
      <c r="P109" s="2">
        <v>189.19</v>
      </c>
      <c r="Q109" s="2"/>
      <c r="R109" s="22">
        <f t="shared" si="13"/>
        <v>8.0281024577336151E-5</v>
      </c>
      <c r="S109" s="2"/>
      <c r="T109" s="2"/>
      <c r="U109" s="2"/>
      <c r="V109" s="22">
        <f t="shared" si="14"/>
        <v>0</v>
      </c>
      <c r="W109" s="2"/>
      <c r="X109" s="2">
        <f t="shared" si="15"/>
        <v>189.19</v>
      </c>
      <c r="Y109" s="2"/>
      <c r="Z109" s="22">
        <f t="shared" si="16"/>
        <v>0</v>
      </c>
    </row>
    <row r="110" spans="1:26" s="24" customFormat="1" hidden="1" outlineLevel="1" x14ac:dyDescent="0.25">
      <c r="A110" s="51"/>
      <c r="B110" s="11" t="str">
        <f>CONCATENATE("          ", "5545", " - ", "FREIGHT-IN-SPECIAL ORDERS")</f>
        <v xml:space="preserve">          5545 - FREIGHT-IN-SPECIAL ORDERS</v>
      </c>
      <c r="C110" s="11"/>
      <c r="D110" s="2">
        <v>189.66</v>
      </c>
      <c r="E110" s="2"/>
      <c r="F110" s="22">
        <f t="shared" si="9"/>
        <v>1.1845677910858616E-3</v>
      </c>
      <c r="G110" s="2"/>
      <c r="H110" s="2"/>
      <c r="I110" s="2"/>
      <c r="J110" s="22">
        <f t="shared" si="10"/>
        <v>0</v>
      </c>
      <c r="K110" s="2"/>
      <c r="L110" s="2">
        <f t="shared" si="11"/>
        <v>189.66</v>
      </c>
      <c r="M110" s="2"/>
      <c r="N110" s="22">
        <f t="shared" si="12"/>
        <v>0</v>
      </c>
      <c r="O110" s="11"/>
      <c r="P110" s="2">
        <v>850.27</v>
      </c>
      <c r="Q110" s="2"/>
      <c r="R110" s="22">
        <f t="shared" si="13"/>
        <v>3.6080420089524607E-4</v>
      </c>
      <c r="S110" s="2"/>
      <c r="T110" s="2"/>
      <c r="U110" s="2"/>
      <c r="V110" s="22">
        <f t="shared" si="14"/>
        <v>0</v>
      </c>
      <c r="W110" s="2"/>
      <c r="X110" s="2">
        <f t="shared" si="15"/>
        <v>850.27</v>
      </c>
      <c r="Y110" s="2"/>
      <c r="Z110" s="22">
        <f t="shared" si="16"/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6" t="s">
        <v>6</v>
      </c>
      <c r="C112" s="26"/>
      <c r="D112" s="20">
        <f>D12-D77</f>
        <v>62579.700000000055</v>
      </c>
      <c r="E112" s="13"/>
      <c r="F112" s="19">
        <f>IF(D$12=0,0,D112/D$12)</f>
        <v>0.39085678053261608</v>
      </c>
      <c r="G112" s="13"/>
      <c r="H112" s="20">
        <f>H12-H77</f>
        <v>250425</v>
      </c>
      <c r="I112" s="13"/>
      <c r="J112" s="19">
        <f>IF(H$12=0,0,H112/H$12)</f>
        <v>0.53308455699220458</v>
      </c>
      <c r="K112" s="15"/>
      <c r="L112" s="20">
        <f>+D112-H112</f>
        <v>-187845.29999999993</v>
      </c>
      <c r="M112" s="15"/>
      <c r="N112" s="19">
        <f>IF(H112=0,0,L112/H112)</f>
        <v>-0.75010601976639679</v>
      </c>
      <c r="O112" s="25"/>
      <c r="P112" s="20">
        <f>P12-P77</f>
        <v>807324.46</v>
      </c>
      <c r="Q112" s="13"/>
      <c r="R112" s="19">
        <f>IF(P$12=0,0,P112/P$12)</f>
        <v>0.34258065867722731</v>
      </c>
      <c r="S112" s="13"/>
      <c r="T112" s="20">
        <f>T12-T77</f>
        <v>1584233</v>
      </c>
      <c r="U112" s="13"/>
      <c r="V112" s="19">
        <f>IF(T$12=0,0,T112/T$12)</f>
        <v>0.38556031026225684</v>
      </c>
      <c r="W112" s="15"/>
      <c r="X112" s="20">
        <f>+P112-T112</f>
        <v>-776908.54</v>
      </c>
      <c r="Y112" s="15"/>
      <c r="Z112" s="19">
        <f>IF(T112=0,0,X112/T112)</f>
        <v>-0.49040042720988647</v>
      </c>
    </row>
    <row r="113" spans="1:26" x14ac:dyDescent="0.25">
      <c r="A113" s="9"/>
      <c r="B113" s="10"/>
      <c r="C113" s="9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x14ac:dyDescent="0.25">
      <c r="A114" s="10"/>
      <c r="B114" s="25" t="s">
        <v>9</v>
      </c>
      <c r="C114" s="10"/>
      <c r="D114" s="21">
        <f>SUM(OSRRefD22x_0)</f>
        <v>349347.2300000001</v>
      </c>
      <c r="E114" s="21"/>
      <c r="F114" s="31">
        <f t="shared" ref="F114:F125" si="17">IF(D$12=0,0,D114/D$12)</f>
        <v>2.1819333363021438</v>
      </c>
      <c r="G114" s="21"/>
      <c r="H114" s="21">
        <f>SUM(OSRRefH22x_0)</f>
        <v>410729.08523264428</v>
      </c>
      <c r="I114" s="21"/>
      <c r="J114" s="31">
        <f t="shared" ref="J114:J125" si="18">IF(H$12=0,0,H114/H$12)</f>
        <v>0.87432697392455883</v>
      </c>
      <c r="K114" s="4"/>
      <c r="L114" s="21">
        <f t="shared" ref="L114:L125" si="19">+D114-H114</f>
        <v>-61381.855232644186</v>
      </c>
      <c r="M114" s="4"/>
      <c r="N114" s="31">
        <f t="shared" ref="N114:N125" si="20">IF(H114=0,0,L114/H114)</f>
        <v>-0.14944608852785871</v>
      </c>
      <c r="O114" s="10"/>
      <c r="P114" s="21">
        <f>SUM(OSRRefP22x_0)</f>
        <v>1249076.1099999999</v>
      </c>
      <c r="Q114" s="21"/>
      <c r="R114" s="31">
        <f t="shared" ref="R114:R125" si="21">IF(P$12=0,0,P114/P$12)</f>
        <v>0.53003388068012802</v>
      </c>
      <c r="S114" s="21"/>
      <c r="T114" s="21">
        <f>SUM(OSRRefT22x_0)</f>
        <v>1782937.0432718194</v>
      </c>
      <c r="U114" s="21"/>
      <c r="V114" s="31">
        <f t="shared" ref="V114:V125" si="22">IF(T$12=0,0,T114/T$12)</f>
        <v>0.43391960625864601</v>
      </c>
      <c r="W114" s="4"/>
      <c r="X114" s="21">
        <f t="shared" ref="X114:X125" si="23">+P114-T114</f>
        <v>-533860.93327181949</v>
      </c>
      <c r="Y114" s="4"/>
      <c r="Z114" s="31">
        <f t="shared" ref="Z114:Z125" si="24">IF(T114=0,0,X114/T114)</f>
        <v>-0.29942780945991554</v>
      </c>
    </row>
    <row r="115" spans="1:26" s="27" customFormat="1" outlineLevel="1" collapsed="1" x14ac:dyDescent="0.25">
      <c r="A115" s="29"/>
      <c r="B115" s="14" t="str">
        <f>CONCATENATE("     ","*Benefits                                         ")</f>
        <v xml:space="preserve">     *Benefits                                         </v>
      </c>
      <c r="C115" s="14"/>
      <c r="D115" s="1">
        <f>SUM(OSRRefD22_0x_0)</f>
        <v>54321.38</v>
      </c>
      <c r="E115" s="1"/>
      <c r="F115" s="5">
        <f t="shared" si="17"/>
        <v>0.33927742863722293</v>
      </c>
      <c r="G115" s="1"/>
      <c r="H115" s="1">
        <f>SUM(OSRRefH22_0x_0)</f>
        <v>55038.613004951912</v>
      </c>
      <c r="I115" s="1"/>
      <c r="J115" s="5">
        <f t="shared" si="18"/>
        <v>0.1171617635268451</v>
      </c>
      <c r="K115" s="1"/>
      <c r="L115" s="1">
        <f t="shared" si="19"/>
        <v>-717.23300495191506</v>
      </c>
      <c r="M115" s="1"/>
      <c r="N115" s="5">
        <f t="shared" si="20"/>
        <v>-1.3031451299243033E-2</v>
      </c>
      <c r="O115" s="14"/>
      <c r="P115" s="1">
        <f>SUM(OSRRefP22_0x_0)</f>
        <v>208275.5</v>
      </c>
      <c r="Q115" s="1"/>
      <c r="R115" s="5">
        <f t="shared" si="21"/>
        <v>8.8379779768259295E-2</v>
      </c>
      <c r="S115" s="1"/>
      <c r="T115" s="1">
        <f>SUM(OSRRefT22_0x_0)</f>
        <v>219492.59125212688</v>
      </c>
      <c r="U115" s="1"/>
      <c r="V115" s="5">
        <f t="shared" si="22"/>
        <v>5.3418677418938222E-2</v>
      </c>
      <c r="W115" s="1"/>
      <c r="X115" s="1">
        <f t="shared" si="23"/>
        <v>-11217.091252126876</v>
      </c>
      <c r="Y115" s="1"/>
      <c r="Z115" s="5">
        <f t="shared" si="24"/>
        <v>-5.1104646348823779E-2</v>
      </c>
    </row>
    <row r="116" spans="1:26" s="24" customFormat="1" hidden="1" outlineLevel="2" x14ac:dyDescent="0.25">
      <c r="A116" s="28"/>
      <c r="B116" s="11" t="str">
        <f>CONCATENATE("          ", "6111", " - ", "F.I.C.A.")</f>
        <v xml:space="preserve">          6111 - F.I.C.A.</v>
      </c>
      <c r="C116" s="11"/>
      <c r="D116" s="7">
        <v>13323.07</v>
      </c>
      <c r="E116" s="2"/>
      <c r="F116" s="6">
        <f t="shared" si="17"/>
        <v>8.3212483393347636E-2</v>
      </c>
      <c r="G116" s="2"/>
      <c r="H116" s="7">
        <v>9176.904287278845</v>
      </c>
      <c r="I116" s="2"/>
      <c r="J116" s="6">
        <f t="shared" si="18"/>
        <v>1.9535054233977864E-2</v>
      </c>
      <c r="K116" s="2"/>
      <c r="L116" s="7">
        <f t="shared" si="19"/>
        <v>4146.1657127211547</v>
      </c>
      <c r="M116" s="2"/>
      <c r="N116" s="6">
        <f t="shared" si="20"/>
        <v>0.45180439753181567</v>
      </c>
      <c r="O116" s="11"/>
      <c r="P116" s="7">
        <v>45279.590000000004</v>
      </c>
      <c r="Q116" s="2"/>
      <c r="R116" s="6">
        <f t="shared" si="21"/>
        <v>1.9213974721928772E-2</v>
      </c>
      <c r="S116" s="2"/>
      <c r="T116" s="7">
        <v>43164.739971703842</v>
      </c>
      <c r="U116" s="2"/>
      <c r="V116" s="6">
        <f t="shared" si="22"/>
        <v>1.0505153305025064E-2</v>
      </c>
      <c r="W116" s="2"/>
      <c r="X116" s="7">
        <f t="shared" si="23"/>
        <v>2114.8500282961613</v>
      </c>
      <c r="Y116" s="2"/>
      <c r="Z116" s="6">
        <f t="shared" si="24"/>
        <v>4.8994851577526644E-2</v>
      </c>
    </row>
    <row r="117" spans="1:26" s="24" customFormat="1" hidden="1" outlineLevel="2" x14ac:dyDescent="0.25">
      <c r="A117" s="28"/>
      <c r="B117" s="11" t="str">
        <f>CONCATENATE("          ", "6112", " - ", "COMPENSATION INSURANCE")</f>
        <v xml:space="preserve">          6112 - COMPENSATION INSURANCE</v>
      </c>
      <c r="C117" s="11"/>
      <c r="D117" s="7">
        <v>1907.43</v>
      </c>
      <c r="E117" s="2"/>
      <c r="F117" s="6">
        <f t="shared" si="17"/>
        <v>1.1913319317467601E-2</v>
      </c>
      <c r="G117" s="2"/>
      <c r="H117" s="7">
        <v>3650.8118050961561</v>
      </c>
      <c r="I117" s="2"/>
      <c r="J117" s="6">
        <f t="shared" si="18"/>
        <v>7.7715539334395336E-3</v>
      </c>
      <c r="K117" s="2"/>
      <c r="L117" s="7">
        <f t="shared" si="19"/>
        <v>-1743.3818050961561</v>
      </c>
      <c r="M117" s="2"/>
      <c r="N117" s="6">
        <f t="shared" si="20"/>
        <v>-0.47753264155182557</v>
      </c>
      <c r="O117" s="11"/>
      <c r="P117" s="7">
        <v>10618.58</v>
      </c>
      <c r="Q117" s="2"/>
      <c r="R117" s="6">
        <f t="shared" si="21"/>
        <v>4.5058960936434807E-3</v>
      </c>
      <c r="S117" s="2"/>
      <c r="T117" s="7">
        <v>14824.929326346148</v>
      </c>
      <c r="U117" s="2"/>
      <c r="V117" s="6">
        <f t="shared" si="22"/>
        <v>3.6079947524651052E-3</v>
      </c>
      <c r="W117" s="2"/>
      <c r="X117" s="7">
        <f t="shared" si="23"/>
        <v>-4206.3493263461478</v>
      </c>
      <c r="Y117" s="2"/>
      <c r="Z117" s="6">
        <f t="shared" si="24"/>
        <v>-0.28373486535755871</v>
      </c>
    </row>
    <row r="118" spans="1:26" s="24" customFormat="1" hidden="1" outlineLevel="2" x14ac:dyDescent="0.25">
      <c r="A118" s="28"/>
      <c r="B118" s="11" t="str">
        <f>CONCATENATE("          ", "6113", " - ", "GROUP INSURANCE")</f>
        <v xml:space="preserve">          6113 - GROUP INSURANCE</v>
      </c>
      <c r="C118" s="11"/>
      <c r="D118" s="7">
        <v>17506.16</v>
      </c>
      <c r="E118" s="2"/>
      <c r="F118" s="6">
        <f t="shared" si="17"/>
        <v>0.10933899231042744</v>
      </c>
      <c r="G118" s="2"/>
      <c r="H118" s="7">
        <v>22027.499999999989</v>
      </c>
      <c r="I118" s="2"/>
      <c r="J118" s="6">
        <f t="shared" si="18"/>
        <v>4.6890366693204677E-2</v>
      </c>
      <c r="K118" s="2"/>
      <c r="L118" s="7">
        <f t="shared" si="19"/>
        <v>-4521.3399999999892</v>
      </c>
      <c r="M118" s="2"/>
      <c r="N118" s="6">
        <f t="shared" si="20"/>
        <v>-0.2052588809442738</v>
      </c>
      <c r="O118" s="11"/>
      <c r="P118" s="7">
        <v>71321.600000000006</v>
      </c>
      <c r="Q118" s="2"/>
      <c r="R118" s="6">
        <f t="shared" si="21"/>
        <v>3.0264660513213904E-2</v>
      </c>
      <c r="S118" s="2"/>
      <c r="T118" s="7">
        <v>86549.999999999971</v>
      </c>
      <c r="U118" s="2"/>
      <c r="V118" s="6">
        <f t="shared" si="22"/>
        <v>2.1063975345292214E-2</v>
      </c>
      <c r="W118" s="2"/>
      <c r="X118" s="7">
        <f t="shared" si="23"/>
        <v>-15228.399999999965</v>
      </c>
      <c r="Y118" s="2"/>
      <c r="Z118" s="6">
        <f t="shared" si="24"/>
        <v>-0.1759491623339107</v>
      </c>
    </row>
    <row r="119" spans="1:26" s="24" customFormat="1" hidden="1" outlineLevel="2" x14ac:dyDescent="0.25">
      <c r="A119" s="28"/>
      <c r="B119" s="11" t="str">
        <f>CONCATENATE("          ", "6114", " - ", "STATE UNEMPLOYMENT INSURANCE")</f>
        <v xml:space="preserve">          6114 - STATE UNEMPLOYMENT INSURANCE</v>
      </c>
      <c r="C119" s="11"/>
      <c r="D119" s="7">
        <v>325.23</v>
      </c>
      <c r="E119" s="2"/>
      <c r="F119" s="6">
        <f t="shared" si="17"/>
        <v>2.031303293761757E-3</v>
      </c>
      <c r="G119" s="2"/>
      <c r="H119" s="7">
        <v>517.78526449999993</v>
      </c>
      <c r="I119" s="2"/>
      <c r="J119" s="6">
        <f t="shared" si="18"/>
        <v>1.1022195401540339E-3</v>
      </c>
      <c r="K119" s="2"/>
      <c r="L119" s="7">
        <f t="shared" si="19"/>
        <v>-192.55526449999991</v>
      </c>
      <c r="M119" s="2"/>
      <c r="N119" s="6">
        <f t="shared" si="20"/>
        <v>-0.37188247271953784</v>
      </c>
      <c r="O119" s="11"/>
      <c r="P119" s="7">
        <v>1530.89</v>
      </c>
      <c r="Q119" s="2"/>
      <c r="R119" s="6">
        <f t="shared" si="21"/>
        <v>6.4961899527035336E-4</v>
      </c>
      <c r="S119" s="2"/>
      <c r="T119" s="7">
        <v>2096.043381</v>
      </c>
      <c r="U119" s="2"/>
      <c r="V119" s="6">
        <f t="shared" si="22"/>
        <v>5.1012138763774633E-4</v>
      </c>
      <c r="W119" s="2"/>
      <c r="X119" s="7">
        <f t="shared" si="23"/>
        <v>-565.15338099999985</v>
      </c>
      <c r="Y119" s="2"/>
      <c r="Z119" s="6">
        <f t="shared" si="24"/>
        <v>-0.26962866614448178</v>
      </c>
    </row>
    <row r="120" spans="1:26" s="24" customFormat="1" hidden="1" outlineLevel="2" x14ac:dyDescent="0.25">
      <c r="A120" s="28"/>
      <c r="B120" s="11" t="str">
        <f>CONCATENATE("          ", "6115", " - ", "P.E.R.S.")</f>
        <v xml:space="preserve">          6115 - P.E.R.S.</v>
      </c>
      <c r="C120" s="11"/>
      <c r="D120" s="7">
        <v>5500.01</v>
      </c>
      <c r="E120" s="2"/>
      <c r="F120" s="6">
        <f t="shared" si="17"/>
        <v>3.4351653994780927E-2</v>
      </c>
      <c r="G120" s="2"/>
      <c r="H120" s="7">
        <v>6911.489644230769</v>
      </c>
      <c r="I120" s="2"/>
      <c r="J120" s="6">
        <f t="shared" si="18"/>
        <v>1.4712622122994786E-2</v>
      </c>
      <c r="K120" s="2"/>
      <c r="L120" s="7">
        <f t="shared" si="19"/>
        <v>-1411.4796442307688</v>
      </c>
      <c r="M120" s="2"/>
      <c r="N120" s="6">
        <f t="shared" si="20"/>
        <v>-0.2042222034448064</v>
      </c>
      <c r="O120" s="11"/>
      <c r="P120" s="7">
        <v>29478.129999999997</v>
      </c>
      <c r="Q120" s="2"/>
      <c r="R120" s="6">
        <f t="shared" si="21"/>
        <v>1.2508771494391405E-2</v>
      </c>
      <c r="S120" s="2"/>
      <c r="T120" s="7">
        <v>24881.362719230772</v>
      </c>
      <c r="U120" s="2"/>
      <c r="V120" s="6">
        <f t="shared" si="22"/>
        <v>6.0554640193547079E-3</v>
      </c>
      <c r="W120" s="2"/>
      <c r="X120" s="7">
        <f t="shared" si="23"/>
        <v>4596.7672807692252</v>
      </c>
      <c r="Y120" s="2"/>
      <c r="Z120" s="6">
        <f t="shared" si="24"/>
        <v>0.18474740843741608</v>
      </c>
    </row>
    <row r="121" spans="1:26" s="24" customFormat="1" hidden="1" outlineLevel="2" x14ac:dyDescent="0.25">
      <c r="A121" s="28"/>
      <c r="B121" s="11" t="str">
        <f>CONCATENATE("          ", "6116", " - ", "EDUCATIONAL BENEFITS")</f>
        <v xml:space="preserve">          6116 - EDUCATIONAL BENEFITS</v>
      </c>
      <c r="C121" s="11"/>
      <c r="D121" s="7"/>
      <c r="E121" s="2"/>
      <c r="F121" s="6">
        <f t="shared" si="17"/>
        <v>0</v>
      </c>
      <c r="G121" s="2"/>
      <c r="H121" s="7">
        <v>0</v>
      </c>
      <c r="I121" s="2"/>
      <c r="J121" s="6">
        <f t="shared" si="18"/>
        <v>0</v>
      </c>
      <c r="K121" s="2"/>
      <c r="L121" s="7">
        <f t="shared" si="19"/>
        <v>0</v>
      </c>
      <c r="M121" s="2"/>
      <c r="N121" s="6">
        <f t="shared" si="20"/>
        <v>0</v>
      </c>
      <c r="O121" s="11"/>
      <c r="P121" s="7">
        <v>0</v>
      </c>
      <c r="Q121" s="2"/>
      <c r="R121" s="6">
        <f t="shared" si="21"/>
        <v>0</v>
      </c>
      <c r="S121" s="2"/>
      <c r="T121" s="7">
        <v>0</v>
      </c>
      <c r="U121" s="2"/>
      <c r="V121" s="6">
        <f t="shared" si="22"/>
        <v>0</v>
      </c>
      <c r="W121" s="2"/>
      <c r="X121" s="7">
        <f t="shared" si="23"/>
        <v>0</v>
      </c>
      <c r="Y121" s="2"/>
      <c r="Z121" s="6">
        <f t="shared" si="24"/>
        <v>0</v>
      </c>
    </row>
    <row r="122" spans="1:26" s="24" customFormat="1" hidden="1" outlineLevel="2" x14ac:dyDescent="0.25">
      <c r="A122" s="28"/>
      <c r="B122" s="11" t="str">
        <f>CONCATENATE("          ", "6117", " - ", "RETIREMENT STAFF HOURLY")</f>
        <v xml:space="preserve">          6117 - RETIREMENT STAFF HOURLY</v>
      </c>
      <c r="C122" s="11"/>
      <c r="D122" s="7">
        <v>222.97</v>
      </c>
      <c r="E122" s="2"/>
      <c r="F122" s="6">
        <f t="shared" si="17"/>
        <v>1.3926135209238351E-3</v>
      </c>
      <c r="G122" s="2"/>
      <c r="H122" s="7"/>
      <c r="I122" s="2"/>
      <c r="J122" s="6">
        <f t="shared" si="18"/>
        <v>0</v>
      </c>
      <c r="K122" s="2"/>
      <c r="L122" s="7">
        <f t="shared" si="19"/>
        <v>222.97</v>
      </c>
      <c r="M122" s="2"/>
      <c r="N122" s="6">
        <f t="shared" si="20"/>
        <v>0</v>
      </c>
      <c r="O122" s="11"/>
      <c r="P122" s="7">
        <v>1060.74</v>
      </c>
      <c r="Q122" s="2"/>
      <c r="R122" s="6">
        <f t="shared" si="21"/>
        <v>4.5011519641716553E-4</v>
      </c>
      <c r="S122" s="2"/>
      <c r="T122" s="7"/>
      <c r="U122" s="2"/>
      <c r="V122" s="6">
        <f t="shared" si="22"/>
        <v>0</v>
      </c>
      <c r="W122" s="2"/>
      <c r="X122" s="7">
        <f t="shared" si="23"/>
        <v>1060.74</v>
      </c>
      <c r="Y122" s="2"/>
      <c r="Z122" s="6">
        <f t="shared" si="24"/>
        <v>0</v>
      </c>
    </row>
    <row r="123" spans="1:26" s="24" customFormat="1" hidden="1" outlineLevel="2" x14ac:dyDescent="0.25">
      <c r="A123" s="28"/>
      <c r="B123" s="11" t="str">
        <f>CONCATENATE("          ", "6118", " - ", "VACATION")</f>
        <v xml:space="preserve">          6118 - VACATION</v>
      </c>
      <c r="C123" s="11"/>
      <c r="D123" s="7">
        <v>7814.31</v>
      </c>
      <c r="E123" s="2"/>
      <c r="F123" s="6">
        <f t="shared" si="17"/>
        <v>4.8806179139302755E-2</v>
      </c>
      <c r="G123" s="2"/>
      <c r="H123" s="7">
        <v>5400.9042749999953</v>
      </c>
      <c r="I123" s="2"/>
      <c r="J123" s="6">
        <f t="shared" si="18"/>
        <v>1.1497009734633828E-2</v>
      </c>
      <c r="K123" s="2"/>
      <c r="L123" s="7">
        <f t="shared" si="19"/>
        <v>2413.4057250000051</v>
      </c>
      <c r="M123" s="2"/>
      <c r="N123" s="6">
        <f t="shared" si="20"/>
        <v>0.44685215699365588</v>
      </c>
      <c r="O123" s="11"/>
      <c r="P123" s="7">
        <v>24336.32</v>
      </c>
      <c r="Q123" s="2"/>
      <c r="R123" s="6">
        <f t="shared" si="21"/>
        <v>1.0326892034684272E-2</v>
      </c>
      <c r="S123" s="2"/>
      <c r="T123" s="7">
        <v>19443.255389999995</v>
      </c>
      <c r="U123" s="2"/>
      <c r="V123" s="6">
        <f t="shared" si="22"/>
        <v>4.731972873104332E-3</v>
      </c>
      <c r="W123" s="2"/>
      <c r="X123" s="7">
        <f t="shared" si="23"/>
        <v>4893.0646100000049</v>
      </c>
      <c r="Y123" s="2"/>
      <c r="Z123" s="6">
        <f t="shared" si="24"/>
        <v>0.25165871207537566</v>
      </c>
    </row>
    <row r="124" spans="1:26" s="24" customFormat="1" hidden="1" outlineLevel="2" x14ac:dyDescent="0.25">
      <c r="A124" s="28"/>
      <c r="B124" s="11" t="str">
        <f>CONCATENATE("          ", "6119", " - ", "SICK LEAVE")</f>
        <v xml:space="preserve">          6119 - SICK LEAVE</v>
      </c>
      <c r="C124" s="11"/>
      <c r="D124" s="7">
        <v>5813.96</v>
      </c>
      <c r="E124" s="2"/>
      <c r="F124" s="6">
        <f t="shared" si="17"/>
        <v>3.6312505297171553E-2</v>
      </c>
      <c r="G124" s="2"/>
      <c r="H124" s="7">
        <v>5553.2177288461517</v>
      </c>
      <c r="I124" s="2"/>
      <c r="J124" s="6">
        <f t="shared" si="18"/>
        <v>1.1821242339475721E-2</v>
      </c>
      <c r="K124" s="2"/>
      <c r="L124" s="7">
        <f t="shared" si="19"/>
        <v>260.74227115384838</v>
      </c>
      <c r="M124" s="2"/>
      <c r="N124" s="6">
        <f t="shared" si="20"/>
        <v>4.6953367198160526E-2</v>
      </c>
      <c r="O124" s="11"/>
      <c r="P124" s="7">
        <v>17842.32</v>
      </c>
      <c r="Q124" s="2"/>
      <c r="R124" s="6">
        <f t="shared" si="21"/>
        <v>7.5712232699228091E-3</v>
      </c>
      <c r="S124" s="2"/>
      <c r="T124" s="7">
        <v>21332.260463846142</v>
      </c>
      <c r="U124" s="2"/>
      <c r="V124" s="6">
        <f t="shared" si="22"/>
        <v>5.1917066258787645E-3</v>
      </c>
      <c r="W124" s="2"/>
      <c r="X124" s="7">
        <f t="shared" si="23"/>
        <v>-3489.9404638461419</v>
      </c>
      <c r="Y124" s="2"/>
      <c r="Z124" s="6">
        <f t="shared" si="24"/>
        <v>-0.16359918676976984</v>
      </c>
    </row>
    <row r="125" spans="1:26" s="24" customFormat="1" hidden="1" outlineLevel="2" x14ac:dyDescent="0.25">
      <c r="A125" s="28"/>
      <c r="B125" s="11" t="str">
        <f>CONCATENATE("          ", "6156", " - ", "EMPLOYEE MEALS")</f>
        <v xml:space="preserve">          6156 - EMPLOYEE MEALS</v>
      </c>
      <c r="C125" s="11"/>
      <c r="D125" s="7">
        <v>1908.24</v>
      </c>
      <c r="E125" s="2"/>
      <c r="F125" s="6">
        <f t="shared" si="17"/>
        <v>1.1918378370039465E-2</v>
      </c>
      <c r="G125" s="2"/>
      <c r="H125" s="7">
        <v>1800</v>
      </c>
      <c r="I125" s="2"/>
      <c r="J125" s="6">
        <f t="shared" si="18"/>
        <v>3.8316949289646336E-3</v>
      </c>
      <c r="K125" s="2"/>
      <c r="L125" s="7">
        <f t="shared" si="19"/>
        <v>108.24000000000001</v>
      </c>
      <c r="M125" s="2"/>
      <c r="N125" s="6">
        <f t="shared" si="20"/>
        <v>6.0133333333333337E-2</v>
      </c>
      <c r="O125" s="11"/>
      <c r="P125" s="7">
        <v>6807.33</v>
      </c>
      <c r="Q125" s="2"/>
      <c r="R125" s="6">
        <f t="shared" si="21"/>
        <v>2.8886274487871328E-3</v>
      </c>
      <c r="S125" s="2"/>
      <c r="T125" s="7">
        <v>7200</v>
      </c>
      <c r="U125" s="2"/>
      <c r="V125" s="6">
        <f t="shared" si="22"/>
        <v>1.7522891101802887E-3</v>
      </c>
      <c r="W125" s="2"/>
      <c r="X125" s="7">
        <f t="shared" si="23"/>
        <v>-392.67000000000007</v>
      </c>
      <c r="Y125" s="2"/>
      <c r="Z125" s="6">
        <f t="shared" si="24"/>
        <v>-5.453750000000001E-2</v>
      </c>
    </row>
    <row r="126" spans="1:26" s="27" customFormat="1" outlineLevel="1" collapsed="1" x14ac:dyDescent="0.25">
      <c r="A126" s="29"/>
      <c r="B126" s="14" t="str">
        <f>CONCATENATE("     ","*Payroll                                          ")</f>
        <v xml:space="preserve">     *Payroll                                          </v>
      </c>
      <c r="C126" s="14"/>
      <c r="D126" s="1">
        <f>SUM(OSRRefD22_1x_0)</f>
        <v>122794.75</v>
      </c>
      <c r="E126" s="1"/>
      <c r="F126" s="5">
        <f t="shared" ref="F126:F136" si="25">IF(D$12=0,0,D126/D$12)</f>
        <v>0.76694456271454503</v>
      </c>
      <c r="G126" s="1"/>
      <c r="H126" s="1">
        <f>SUM(OSRRefH22_1x_0)</f>
        <v>183495.47222769237</v>
      </c>
      <c r="I126" s="1"/>
      <c r="J126" s="5">
        <f t="shared" ref="J126:J136" si="26">IF(H$12=0,0,H126/H$12)</f>
        <v>0.39061037245712199</v>
      </c>
      <c r="K126" s="1"/>
      <c r="L126" s="1">
        <f t="shared" ref="L126:L136" si="27">+D126-H126</f>
        <v>-60700.722227692371</v>
      </c>
      <c r="M126" s="1"/>
      <c r="N126" s="5">
        <f t="shared" ref="N126:N136" si="28">IF(H126=0,0,L126/H126)</f>
        <v>-0.33080228896531688</v>
      </c>
      <c r="O126" s="14"/>
      <c r="P126" s="1">
        <f>SUM(OSRRefP22_1x_0)</f>
        <v>555995.80999999994</v>
      </c>
      <c r="Q126" s="1"/>
      <c r="R126" s="5">
        <f t="shared" ref="R126:R136" si="29">IF(P$12=0,0,P126/P$12)</f>
        <v>0.23593167338393106</v>
      </c>
      <c r="S126" s="1"/>
      <c r="T126" s="1">
        <f>SUM(OSRRefT22_1x_0)</f>
        <v>752967.45201969252</v>
      </c>
      <c r="U126" s="1"/>
      <c r="V126" s="5">
        <f t="shared" ref="V126:V136" si="30">IF(T$12=0,0,T126/T$12)</f>
        <v>0.18325231479087586</v>
      </c>
      <c r="W126" s="1"/>
      <c r="X126" s="1">
        <f t="shared" ref="X126:X136" si="31">+P126-T126</f>
        <v>-196971.64201969258</v>
      </c>
      <c r="Y126" s="1"/>
      <c r="Z126" s="5">
        <f t="shared" ref="Z126:Z136" si="32">IF(T126=0,0,X126/T126)</f>
        <v>-0.26159383316151774</v>
      </c>
    </row>
    <row r="127" spans="1:26" s="24" customFormat="1" hidden="1" outlineLevel="2" x14ac:dyDescent="0.25">
      <c r="A127" s="28"/>
      <c r="B127" s="11" t="str">
        <f>CONCATENATE("          ", "6001", " - ", "ADMINISTRATIVE SALARIES")</f>
        <v xml:space="preserve">          6001 - ADMINISTRATIVE SALARIES</v>
      </c>
      <c r="C127" s="11"/>
      <c r="D127" s="7">
        <v>4205.17</v>
      </c>
      <c r="E127" s="2"/>
      <c r="F127" s="6">
        <f t="shared" si="25"/>
        <v>2.626441494274245E-2</v>
      </c>
      <c r="G127" s="2"/>
      <c r="H127" s="7">
        <v>16309.24038461539</v>
      </c>
      <c r="I127" s="2"/>
      <c r="J127" s="6">
        <f t="shared" si="26"/>
        <v>3.4717796487220003E-2</v>
      </c>
      <c r="K127" s="2"/>
      <c r="L127" s="7">
        <f t="shared" si="27"/>
        <v>-12104.07038461539</v>
      </c>
      <c r="M127" s="2"/>
      <c r="N127" s="6">
        <f t="shared" si="28"/>
        <v>-0.74216027841696641</v>
      </c>
      <c r="O127" s="11"/>
      <c r="P127" s="7">
        <v>17142.5</v>
      </c>
      <c r="Q127" s="2"/>
      <c r="R127" s="6">
        <f t="shared" si="29"/>
        <v>7.2742611333420628E-3</v>
      </c>
      <c r="S127" s="2"/>
      <c r="T127" s="7">
        <v>58713.265384615399</v>
      </c>
      <c r="U127" s="2"/>
      <c r="V127" s="6">
        <f t="shared" si="30"/>
        <v>1.4289252160637063E-2</v>
      </c>
      <c r="W127" s="2"/>
      <c r="X127" s="7">
        <f t="shared" si="31"/>
        <v>-41570.765384615399</v>
      </c>
      <c r="Y127" s="2"/>
      <c r="Z127" s="6">
        <f t="shared" si="32"/>
        <v>-0.70803020599001054</v>
      </c>
    </row>
    <row r="128" spans="1:26" s="24" customFormat="1" hidden="1" outlineLevel="2" x14ac:dyDescent="0.25">
      <c r="A128" s="28"/>
      <c r="B128" s="11" t="str">
        <f>CONCATENATE("          ", "6002", " - ", "STAFF SALARIES")</f>
        <v xml:space="preserve">          6002 - STAFF SALARIES</v>
      </c>
      <c r="C128" s="11"/>
      <c r="D128" s="7">
        <v>60359.320000000007</v>
      </c>
      <c r="E128" s="2"/>
      <c r="F128" s="6">
        <f t="shared" si="25"/>
        <v>0.37698885565667345</v>
      </c>
      <c r="G128" s="2"/>
      <c r="H128" s="7">
        <v>56189.094243076994</v>
      </c>
      <c r="I128" s="2"/>
      <c r="J128" s="6">
        <f t="shared" si="26"/>
        <v>0.11961081526350778</v>
      </c>
      <c r="K128" s="2"/>
      <c r="L128" s="7">
        <f t="shared" si="27"/>
        <v>4170.2257569230133</v>
      </c>
      <c r="M128" s="2"/>
      <c r="N128" s="6">
        <f t="shared" si="28"/>
        <v>7.4217707423479648E-2</v>
      </c>
      <c r="O128" s="11"/>
      <c r="P128" s="7">
        <v>262633.59000000003</v>
      </c>
      <c r="Q128" s="2"/>
      <c r="R128" s="6">
        <f t="shared" si="29"/>
        <v>0.11144613189716172</v>
      </c>
      <c r="S128" s="2"/>
      <c r="T128" s="7">
        <v>202280.7392750771</v>
      </c>
      <c r="U128" s="2"/>
      <c r="V128" s="6">
        <f t="shared" si="30"/>
        <v>4.9229768976518866E-2</v>
      </c>
      <c r="W128" s="2"/>
      <c r="X128" s="7">
        <f t="shared" si="31"/>
        <v>60352.85072492293</v>
      </c>
      <c r="Y128" s="2"/>
      <c r="Z128" s="6">
        <f t="shared" si="32"/>
        <v>0.2983618259514586</v>
      </c>
    </row>
    <row r="129" spans="1:26" s="24" customFormat="1" hidden="1" outlineLevel="2" x14ac:dyDescent="0.25">
      <c r="A129" s="28"/>
      <c r="B129" s="11" t="str">
        <f>CONCATENATE("          ", "6003", " - ", "STAFF HOURLY-9 MONTH")</f>
        <v xml:space="preserve">          6003 - STAFF HOURLY-9 MONTH</v>
      </c>
      <c r="C129" s="11"/>
      <c r="D129" s="7"/>
      <c r="E129" s="2"/>
      <c r="F129" s="6">
        <f t="shared" si="25"/>
        <v>0</v>
      </c>
      <c r="G129" s="2"/>
      <c r="H129" s="7">
        <v>0</v>
      </c>
      <c r="I129" s="2"/>
      <c r="J129" s="6">
        <f t="shared" si="26"/>
        <v>0</v>
      </c>
      <c r="K129" s="2"/>
      <c r="L129" s="7">
        <f t="shared" si="27"/>
        <v>0</v>
      </c>
      <c r="M129" s="2"/>
      <c r="N129" s="6">
        <f t="shared" si="28"/>
        <v>0</v>
      </c>
      <c r="O129" s="11"/>
      <c r="P129" s="7"/>
      <c r="Q129" s="2"/>
      <c r="R129" s="6">
        <f t="shared" si="29"/>
        <v>0</v>
      </c>
      <c r="S129" s="2"/>
      <c r="T129" s="7">
        <v>0</v>
      </c>
      <c r="U129" s="2"/>
      <c r="V129" s="6">
        <f t="shared" si="30"/>
        <v>0</v>
      </c>
      <c r="W129" s="2"/>
      <c r="X129" s="7">
        <f t="shared" si="31"/>
        <v>0</v>
      </c>
      <c r="Y129" s="2"/>
      <c r="Z129" s="6">
        <f t="shared" si="32"/>
        <v>0</v>
      </c>
    </row>
    <row r="130" spans="1:26" s="24" customFormat="1" hidden="1" outlineLevel="2" x14ac:dyDescent="0.25">
      <c r="A130" s="28"/>
      <c r="B130" s="11" t="str">
        <f>CONCATENATE("          ", "6004", " - ", "STAFF HOURLY")</f>
        <v xml:space="preserve">          6004 - STAFF HOURLY</v>
      </c>
      <c r="C130" s="11"/>
      <c r="D130" s="7">
        <v>18098.75</v>
      </c>
      <c r="E130" s="2"/>
      <c r="F130" s="6">
        <f t="shared" si="25"/>
        <v>0.11304015769753896</v>
      </c>
      <c r="G130" s="2"/>
      <c r="H130" s="7">
        <v>35526.787599999996</v>
      </c>
      <c r="I130" s="2"/>
      <c r="J130" s="6">
        <f t="shared" si="26"/>
        <v>7.5626562160735336E-2</v>
      </c>
      <c r="K130" s="2"/>
      <c r="L130" s="7">
        <f t="shared" si="27"/>
        <v>-17428.037599999996</v>
      </c>
      <c r="M130" s="2"/>
      <c r="N130" s="6">
        <f t="shared" si="28"/>
        <v>-0.49056046936256059</v>
      </c>
      <c r="O130" s="11"/>
      <c r="P130" s="7">
        <v>63576.800000000003</v>
      </c>
      <c r="Q130" s="2"/>
      <c r="R130" s="6">
        <f t="shared" si="29"/>
        <v>2.6978226351014246E-2</v>
      </c>
      <c r="S130" s="2"/>
      <c r="T130" s="7">
        <v>121721.18536</v>
      </c>
      <c r="U130" s="2"/>
      <c r="V130" s="6">
        <f t="shared" si="30"/>
        <v>2.9623709386745054E-2</v>
      </c>
      <c r="W130" s="2"/>
      <c r="X130" s="7">
        <f t="shared" si="31"/>
        <v>-58144.38536</v>
      </c>
      <c r="Y130" s="2"/>
      <c r="Z130" s="6">
        <f t="shared" si="32"/>
        <v>-0.47768500765116112</v>
      </c>
    </row>
    <row r="131" spans="1:26" s="24" customFormat="1" hidden="1" outlineLevel="2" x14ac:dyDescent="0.25">
      <c r="A131" s="28"/>
      <c r="B131" s="11" t="str">
        <f>CONCATENATE("          ", "6005", " - ", "TEMPORARY WAGES-HOURLY")</f>
        <v xml:space="preserve">          6005 - TEMPORARY WAGES-HOURLY</v>
      </c>
      <c r="C131" s="11"/>
      <c r="D131" s="7">
        <v>19984.259999999998</v>
      </c>
      <c r="E131" s="2"/>
      <c r="F131" s="6">
        <f t="shared" si="25"/>
        <v>0.12481657030837046</v>
      </c>
      <c r="G131" s="2"/>
      <c r="H131" s="7">
        <v>8840.81</v>
      </c>
      <c r="I131" s="2"/>
      <c r="J131" s="6">
        <f t="shared" si="26"/>
        <v>1.8819603802744344E-2</v>
      </c>
      <c r="K131" s="2"/>
      <c r="L131" s="7">
        <f t="shared" si="27"/>
        <v>11143.449999999999</v>
      </c>
      <c r="M131" s="2"/>
      <c r="N131" s="6">
        <f t="shared" si="28"/>
        <v>1.2604557727176582</v>
      </c>
      <c r="O131" s="11"/>
      <c r="P131" s="7">
        <v>82500.86</v>
      </c>
      <c r="Q131" s="2"/>
      <c r="R131" s="6">
        <f t="shared" si="29"/>
        <v>3.5008475972891639E-2</v>
      </c>
      <c r="S131" s="2"/>
      <c r="T131" s="7">
        <v>26343.881999999998</v>
      </c>
      <c r="U131" s="2"/>
      <c r="V131" s="6">
        <f t="shared" si="30"/>
        <v>6.4114024372881277E-3</v>
      </c>
      <c r="W131" s="2"/>
      <c r="X131" s="7">
        <f t="shared" si="31"/>
        <v>56156.978000000003</v>
      </c>
      <c r="Y131" s="2"/>
      <c r="Z131" s="6">
        <f t="shared" si="32"/>
        <v>2.131689551296958</v>
      </c>
    </row>
    <row r="132" spans="1:26" s="24" customFormat="1" hidden="1" outlineLevel="2" x14ac:dyDescent="0.25">
      <c r="A132" s="28"/>
      <c r="B132" s="11" t="str">
        <f>CONCATENATE("          ", "6006", " - ", "TEMPORARY PART TIME")</f>
        <v xml:space="preserve">          6006 - TEMPORARY PART TIME</v>
      </c>
      <c r="C132" s="11"/>
      <c r="D132" s="7">
        <v>1802.76</v>
      </c>
      <c r="E132" s="2"/>
      <c r="F132" s="6">
        <f t="shared" si="25"/>
        <v>1.1259577301792409E-2</v>
      </c>
      <c r="G132" s="2"/>
      <c r="H132" s="7">
        <v>0</v>
      </c>
      <c r="I132" s="2"/>
      <c r="J132" s="6">
        <f t="shared" si="26"/>
        <v>0</v>
      </c>
      <c r="K132" s="2"/>
      <c r="L132" s="7">
        <f t="shared" si="27"/>
        <v>1802.76</v>
      </c>
      <c r="M132" s="2"/>
      <c r="N132" s="6">
        <f t="shared" si="28"/>
        <v>0</v>
      </c>
      <c r="O132" s="11"/>
      <c r="P132" s="7">
        <v>7507.17</v>
      </c>
      <c r="Q132" s="2"/>
      <c r="R132" s="6">
        <f t="shared" si="29"/>
        <v>3.1855980721826769E-3</v>
      </c>
      <c r="S132" s="2"/>
      <c r="T132" s="7">
        <v>0</v>
      </c>
      <c r="U132" s="2"/>
      <c r="V132" s="6">
        <f t="shared" si="30"/>
        <v>0</v>
      </c>
      <c r="W132" s="2"/>
      <c r="X132" s="7">
        <f t="shared" si="31"/>
        <v>7507.17</v>
      </c>
      <c r="Y132" s="2"/>
      <c r="Z132" s="6">
        <f t="shared" si="32"/>
        <v>0</v>
      </c>
    </row>
    <row r="133" spans="1:26" s="24" customFormat="1" hidden="1" outlineLevel="2" x14ac:dyDescent="0.25">
      <c r="A133" s="28"/>
      <c r="B133" s="11" t="str">
        <f>CONCATENATE("          ", "6007", " - ", "STUDENT HOURLY")</f>
        <v xml:space="preserve">          6007 - STUDENT HOURLY</v>
      </c>
      <c r="C133" s="11"/>
      <c r="D133" s="7">
        <v>16868.47</v>
      </c>
      <c r="E133" s="2"/>
      <c r="F133" s="6">
        <f t="shared" si="25"/>
        <v>0.10535614387270972</v>
      </c>
      <c r="G133" s="2"/>
      <c r="H133" s="7">
        <v>0</v>
      </c>
      <c r="I133" s="2"/>
      <c r="J133" s="6">
        <f t="shared" si="26"/>
        <v>0</v>
      </c>
      <c r="K133" s="2"/>
      <c r="L133" s="7">
        <f t="shared" si="27"/>
        <v>16868.47</v>
      </c>
      <c r="M133" s="2"/>
      <c r="N133" s="6">
        <f t="shared" si="28"/>
        <v>0</v>
      </c>
      <c r="O133" s="11"/>
      <c r="P133" s="7">
        <v>119670.17</v>
      </c>
      <c r="Q133" s="2"/>
      <c r="R133" s="6">
        <f t="shared" si="29"/>
        <v>5.0780928479010494E-2</v>
      </c>
      <c r="S133" s="2"/>
      <c r="T133" s="7">
        <v>137501.6</v>
      </c>
      <c r="U133" s="2"/>
      <c r="V133" s="6">
        <f t="shared" si="30"/>
        <v>3.3464243932273055E-2</v>
      </c>
      <c r="W133" s="2"/>
      <c r="X133" s="7">
        <f t="shared" si="31"/>
        <v>-17831.430000000008</v>
      </c>
      <c r="Y133" s="2"/>
      <c r="Z133" s="6">
        <f t="shared" si="32"/>
        <v>-0.12968161825026042</v>
      </c>
    </row>
    <row r="134" spans="1:26" s="24" customFormat="1" hidden="1" outlineLevel="2" x14ac:dyDescent="0.25">
      <c r="A134" s="28"/>
      <c r="B134" s="11" t="str">
        <f>CONCATENATE("          ", "6008", " - ", "STUDENT HOURLY-FICA EXEMPT")</f>
        <v xml:space="preserve">          6008 - STUDENT HOURLY-FICA EXEMPT</v>
      </c>
      <c r="C134" s="11"/>
      <c r="D134" s="7">
        <v>1476.02</v>
      </c>
      <c r="E134" s="2"/>
      <c r="F134" s="6">
        <f t="shared" si="25"/>
        <v>9.218842934717671E-3</v>
      </c>
      <c r="G134" s="2"/>
      <c r="H134" s="7">
        <v>66629.539999999994</v>
      </c>
      <c r="I134" s="2"/>
      <c r="J134" s="6">
        <f t="shared" si="26"/>
        <v>0.14183559474291454</v>
      </c>
      <c r="K134" s="2"/>
      <c r="L134" s="7">
        <f t="shared" si="27"/>
        <v>-65153.52</v>
      </c>
      <c r="M134" s="2"/>
      <c r="N134" s="6">
        <f t="shared" si="28"/>
        <v>-0.97784736319656418</v>
      </c>
      <c r="O134" s="11"/>
      <c r="P134" s="7">
        <v>2964.72</v>
      </c>
      <c r="Q134" s="2"/>
      <c r="R134" s="6">
        <f t="shared" si="29"/>
        <v>1.2580514783282414E-3</v>
      </c>
      <c r="S134" s="2"/>
      <c r="T134" s="7">
        <v>206406.78</v>
      </c>
      <c r="U134" s="2"/>
      <c r="V134" s="6">
        <f t="shared" si="30"/>
        <v>5.0233937897413691E-2</v>
      </c>
      <c r="W134" s="2"/>
      <c r="X134" s="7">
        <f t="shared" si="31"/>
        <v>-203442.06</v>
      </c>
      <c r="Y134" s="2"/>
      <c r="Z134" s="6">
        <f t="shared" si="32"/>
        <v>-0.98563651833529886</v>
      </c>
    </row>
    <row r="135" spans="1:26" s="24" customFormat="1" hidden="1" outlineLevel="2" x14ac:dyDescent="0.25">
      <c r="A135" s="28"/>
      <c r="B135" s="11" t="str">
        <f>CONCATENATE("          ", "6009", " - ", "TEMPORARY-SEASONAL")</f>
        <v xml:space="preserve">          6009 - TEMPORARY-SEASONAL</v>
      </c>
      <c r="C135" s="11"/>
      <c r="D135" s="7"/>
      <c r="E135" s="2"/>
      <c r="F135" s="6">
        <f t="shared" si="25"/>
        <v>0</v>
      </c>
      <c r="G135" s="2"/>
      <c r="H135" s="7">
        <v>0</v>
      </c>
      <c r="I135" s="2"/>
      <c r="J135" s="6">
        <f t="shared" si="26"/>
        <v>0</v>
      </c>
      <c r="K135" s="2"/>
      <c r="L135" s="7">
        <f t="shared" si="27"/>
        <v>0</v>
      </c>
      <c r="M135" s="2"/>
      <c r="N135" s="6">
        <f t="shared" si="28"/>
        <v>0</v>
      </c>
      <c r="O135" s="11"/>
      <c r="P135" s="7"/>
      <c r="Q135" s="2"/>
      <c r="R135" s="6">
        <f t="shared" si="29"/>
        <v>0</v>
      </c>
      <c r="S135" s="2"/>
      <c r="T135" s="7">
        <v>0</v>
      </c>
      <c r="U135" s="2"/>
      <c r="V135" s="6">
        <f t="shared" si="30"/>
        <v>0</v>
      </c>
      <c r="W135" s="2"/>
      <c r="X135" s="7">
        <f t="shared" si="31"/>
        <v>0</v>
      </c>
      <c r="Y135" s="2"/>
      <c r="Z135" s="6">
        <f t="shared" si="32"/>
        <v>0</v>
      </c>
    </row>
    <row r="136" spans="1:26" s="24" customFormat="1" hidden="1" outlineLevel="2" x14ac:dyDescent="0.25">
      <c r="A136" s="28"/>
      <c r="B136" s="11" t="str">
        <f>CONCATENATE("          ", "6010", " - ", "GRATUITY")</f>
        <v xml:space="preserve">          6010 - GRATUITY</v>
      </c>
      <c r="C136" s="11"/>
      <c r="D136" s="7"/>
      <c r="E136" s="2"/>
      <c r="F136" s="6">
        <f t="shared" si="25"/>
        <v>0</v>
      </c>
      <c r="G136" s="2"/>
      <c r="H136" s="7">
        <v>0</v>
      </c>
      <c r="I136" s="2"/>
      <c r="J136" s="6">
        <f t="shared" si="26"/>
        <v>0</v>
      </c>
      <c r="K136" s="2"/>
      <c r="L136" s="7">
        <f t="shared" si="27"/>
        <v>0</v>
      </c>
      <c r="M136" s="2"/>
      <c r="N136" s="6">
        <f t="shared" si="28"/>
        <v>0</v>
      </c>
      <c r="O136" s="11"/>
      <c r="P136" s="7"/>
      <c r="Q136" s="2"/>
      <c r="R136" s="6">
        <f t="shared" si="29"/>
        <v>0</v>
      </c>
      <c r="S136" s="2"/>
      <c r="T136" s="7">
        <v>0</v>
      </c>
      <c r="U136" s="2"/>
      <c r="V136" s="6">
        <f t="shared" si="30"/>
        <v>0</v>
      </c>
      <c r="W136" s="2"/>
      <c r="X136" s="7">
        <f t="shared" si="31"/>
        <v>0</v>
      </c>
      <c r="Y136" s="2"/>
      <c r="Z136" s="6">
        <f t="shared" si="32"/>
        <v>0</v>
      </c>
    </row>
    <row r="137" spans="1:26" s="27" customFormat="1" outlineLevel="1" collapsed="1" x14ac:dyDescent="0.25">
      <c r="A137" s="29"/>
      <c r="B137" s="14" t="str">
        <f>CONCATENATE("     ","Advertising/Promo                                 ")</f>
        <v xml:space="preserve">     Advertising/Promo                                 </v>
      </c>
      <c r="C137" s="14"/>
      <c r="D137" s="1">
        <f>SUM(OSRRefD22_2x_0)</f>
        <v>1316.16</v>
      </c>
      <c r="E137" s="1"/>
      <c r="F137" s="5">
        <f t="shared" ref="F137:F141" si="33">IF(D$12=0,0,D137/D$12)</f>
        <v>8.2203983123250446E-3</v>
      </c>
      <c r="G137" s="1"/>
      <c r="H137" s="1">
        <f>SUM(OSRRefH22_2x_0)</f>
        <v>1802</v>
      </c>
      <c r="I137" s="1"/>
      <c r="J137" s="5">
        <f t="shared" ref="J137:J141" si="34">IF(H$12=0,0,H137/H$12)</f>
        <v>3.8359523677745943E-3</v>
      </c>
      <c r="K137" s="1"/>
      <c r="L137" s="1">
        <f t="shared" ref="L137:L141" si="35">+D137-H137</f>
        <v>-485.83999999999992</v>
      </c>
      <c r="M137" s="1"/>
      <c r="N137" s="5">
        <f t="shared" ref="N137:N141" si="36">IF(H137=0,0,L137/H137)</f>
        <v>-0.26961154273029964</v>
      </c>
      <c r="O137" s="14"/>
      <c r="P137" s="1">
        <f>SUM(OSRRefP22_2x_0)</f>
        <v>13709.75</v>
      </c>
      <c r="Q137" s="1"/>
      <c r="R137" s="5">
        <f t="shared" ref="R137:R141" si="37">IF(P$12=0,0,P137/P$12)</f>
        <v>5.817605458529173E-3</v>
      </c>
      <c r="S137" s="1"/>
      <c r="T137" s="1">
        <f>SUM(OSRRefT22_2x_0)</f>
        <v>5772</v>
      </c>
      <c r="U137" s="1"/>
      <c r="V137" s="5">
        <f t="shared" ref="V137:V141" si="38">IF(T$12=0,0,T137/T$12)</f>
        <v>1.4047517699945313E-3</v>
      </c>
      <c r="W137" s="1"/>
      <c r="X137" s="1">
        <f t="shared" ref="X137:X141" si="39">+P137-T137</f>
        <v>7937.75</v>
      </c>
      <c r="Y137" s="1"/>
      <c r="Z137" s="5">
        <f t="shared" ref="Z137:Z141" si="40">IF(T137=0,0,X137/T137)</f>
        <v>1.3752165627165627</v>
      </c>
    </row>
    <row r="138" spans="1:26" s="24" customFormat="1" hidden="1" outlineLevel="2" x14ac:dyDescent="0.25">
      <c r="A138" s="28"/>
      <c r="B138" s="11" t="str">
        <f>CONCATENATE("          ", "6362", " - ", "ADVERTISING EXPENSE")</f>
        <v xml:space="preserve">          6362 - ADVERTISING EXPENSE</v>
      </c>
      <c r="C138" s="11"/>
      <c r="D138" s="7">
        <v>1316.16</v>
      </c>
      <c r="E138" s="2"/>
      <c r="F138" s="6">
        <f t="shared" si="33"/>
        <v>8.2203983123250446E-3</v>
      </c>
      <c r="G138" s="2"/>
      <c r="H138" s="7">
        <v>1802</v>
      </c>
      <c r="I138" s="2"/>
      <c r="J138" s="6">
        <f t="shared" si="34"/>
        <v>3.8359523677745943E-3</v>
      </c>
      <c r="K138" s="2"/>
      <c r="L138" s="7">
        <f t="shared" si="35"/>
        <v>-485.83999999999992</v>
      </c>
      <c r="M138" s="2"/>
      <c r="N138" s="6">
        <f t="shared" si="36"/>
        <v>-0.26961154273029964</v>
      </c>
      <c r="O138" s="11"/>
      <c r="P138" s="7">
        <v>13709.75</v>
      </c>
      <c r="Q138" s="2"/>
      <c r="R138" s="6">
        <f t="shared" si="37"/>
        <v>5.817605458529173E-3</v>
      </c>
      <c r="S138" s="2"/>
      <c r="T138" s="7">
        <v>5772</v>
      </c>
      <c r="U138" s="2"/>
      <c r="V138" s="6">
        <f t="shared" si="38"/>
        <v>1.4047517699945313E-3</v>
      </c>
      <c r="W138" s="2"/>
      <c r="X138" s="7">
        <f t="shared" si="39"/>
        <v>7937.75</v>
      </c>
      <c r="Y138" s="2"/>
      <c r="Z138" s="6">
        <f t="shared" si="40"/>
        <v>1.3752165627165627</v>
      </c>
    </row>
    <row r="139" spans="1:26" s="27" customFormat="1" outlineLevel="1" collapsed="1" x14ac:dyDescent="0.25">
      <c r="A139" s="29"/>
      <c r="B139" s="14" t="str">
        <f>CONCATENATE("     ","Bad Debts/Over/Short                              ")</f>
        <v xml:space="preserve">     Bad Debts/Over/Short                              </v>
      </c>
      <c r="C139" s="14"/>
      <c r="D139" s="1">
        <f>SUM(OSRRefD22_3x_0)</f>
        <v>-29.45</v>
      </c>
      <c r="E139" s="1"/>
      <c r="F139" s="5">
        <f t="shared" si="33"/>
        <v>-1.8393715832267546E-4</v>
      </c>
      <c r="G139" s="1"/>
      <c r="H139" s="1">
        <f>SUM(OSRRefH22_3x_0)</f>
        <v>125</v>
      </c>
      <c r="I139" s="1"/>
      <c r="J139" s="5">
        <f t="shared" si="34"/>
        <v>2.6608992562254401E-4</v>
      </c>
      <c r="K139" s="1"/>
      <c r="L139" s="1">
        <f t="shared" si="35"/>
        <v>-154.44999999999999</v>
      </c>
      <c r="M139" s="1"/>
      <c r="N139" s="5">
        <f t="shared" si="36"/>
        <v>-1.2355999999999998</v>
      </c>
      <c r="O139" s="14"/>
      <c r="P139" s="1">
        <f>SUM(OSRRefP22_3x_0)</f>
        <v>53.87</v>
      </c>
      <c r="Q139" s="1"/>
      <c r="R139" s="5">
        <f t="shared" si="37"/>
        <v>2.2859235657175844E-5</v>
      </c>
      <c r="S139" s="1"/>
      <c r="T139" s="1">
        <f>SUM(OSRRefT22_3x_0)</f>
        <v>478</v>
      </c>
      <c r="U139" s="1"/>
      <c r="V139" s="5">
        <f t="shared" si="38"/>
        <v>1.1633252703696916E-4</v>
      </c>
      <c r="W139" s="1"/>
      <c r="X139" s="1">
        <f t="shared" si="39"/>
        <v>-424.13</v>
      </c>
      <c r="Y139" s="1"/>
      <c r="Z139" s="5">
        <f t="shared" si="40"/>
        <v>-0.88730125523012549</v>
      </c>
    </row>
    <row r="140" spans="1:26" s="24" customFormat="1" hidden="1" outlineLevel="2" x14ac:dyDescent="0.25">
      <c r="A140" s="28"/>
      <c r="B140" s="11" t="str">
        <f>CONCATENATE("          ", "6272", " - ", "CASH (OVER/SHORT)")</f>
        <v xml:space="preserve">          6272 - CASH (OVER/SHORT)</v>
      </c>
      <c r="C140" s="11"/>
      <c r="D140" s="7">
        <v>-29.45</v>
      </c>
      <c r="E140" s="2"/>
      <c r="F140" s="6">
        <f t="shared" si="33"/>
        <v>-1.8393715832267546E-4</v>
      </c>
      <c r="G140" s="2"/>
      <c r="H140" s="7">
        <v>75</v>
      </c>
      <c r="I140" s="2"/>
      <c r="J140" s="6">
        <f t="shared" si="34"/>
        <v>1.5965395537352638E-4</v>
      </c>
      <c r="K140" s="2"/>
      <c r="L140" s="7">
        <f t="shared" si="35"/>
        <v>-104.45</v>
      </c>
      <c r="M140" s="2"/>
      <c r="N140" s="6">
        <f t="shared" si="36"/>
        <v>-1.3926666666666667</v>
      </c>
      <c r="O140" s="11"/>
      <c r="P140" s="7">
        <v>53.87</v>
      </c>
      <c r="Q140" s="2"/>
      <c r="R140" s="6">
        <f t="shared" si="37"/>
        <v>2.2859235657175844E-5</v>
      </c>
      <c r="S140" s="2"/>
      <c r="T140" s="7">
        <v>278</v>
      </c>
      <c r="U140" s="2"/>
      <c r="V140" s="6">
        <f t="shared" si="38"/>
        <v>6.765782953196114E-5</v>
      </c>
      <c r="W140" s="2"/>
      <c r="X140" s="7">
        <f t="shared" si="39"/>
        <v>-224.13</v>
      </c>
      <c r="Y140" s="2"/>
      <c r="Z140" s="6">
        <f t="shared" si="40"/>
        <v>-0.80622302158273385</v>
      </c>
    </row>
    <row r="141" spans="1:26" s="24" customFormat="1" hidden="1" outlineLevel="2" x14ac:dyDescent="0.25">
      <c r="A141" s="28"/>
      <c r="B141" s="11" t="str">
        <f>CONCATENATE("          ", "6342", " - ", "BAD DEBT")</f>
        <v xml:space="preserve">          6342 - BAD DEBT</v>
      </c>
      <c r="C141" s="11"/>
      <c r="D141" s="7"/>
      <c r="E141" s="2"/>
      <c r="F141" s="6">
        <f t="shared" si="33"/>
        <v>0</v>
      </c>
      <c r="G141" s="2"/>
      <c r="H141" s="7">
        <v>50</v>
      </c>
      <c r="I141" s="2"/>
      <c r="J141" s="6">
        <f t="shared" si="34"/>
        <v>1.064359702490176E-4</v>
      </c>
      <c r="K141" s="2"/>
      <c r="L141" s="7">
        <f t="shared" si="35"/>
        <v>-50</v>
      </c>
      <c r="M141" s="2"/>
      <c r="N141" s="6">
        <f t="shared" si="36"/>
        <v>-1</v>
      </c>
      <c r="O141" s="11"/>
      <c r="P141" s="7"/>
      <c r="Q141" s="2"/>
      <c r="R141" s="6">
        <f t="shared" si="37"/>
        <v>0</v>
      </c>
      <c r="S141" s="2"/>
      <c r="T141" s="7">
        <v>200</v>
      </c>
      <c r="U141" s="2"/>
      <c r="V141" s="6">
        <f t="shared" si="38"/>
        <v>4.8674697505008018E-5</v>
      </c>
      <c r="W141" s="2"/>
      <c r="X141" s="7">
        <f t="shared" si="39"/>
        <v>-200</v>
      </c>
      <c r="Y141" s="2"/>
      <c r="Z141" s="6">
        <f t="shared" si="40"/>
        <v>-1</v>
      </c>
    </row>
    <row r="142" spans="1:26" s="27" customFormat="1" outlineLevel="1" collapsed="1" x14ac:dyDescent="0.25">
      <c r="A142" s="29"/>
      <c r="B142" s="14" t="str">
        <f>CONCATENATE("     ","Bank/card Fees                                    ")</f>
        <v xml:space="preserve">     Bank/card Fees                                    </v>
      </c>
      <c r="C142" s="14"/>
      <c r="D142" s="1">
        <f>SUM(OSRRefD22_4x_0)</f>
        <v>5096.04</v>
      </c>
      <c r="E142" s="1"/>
      <c r="F142" s="5">
        <f t="shared" ref="F142:F146" si="41">IF(D$12=0,0,D142/D$12)</f>
        <v>3.1828560825082751E-2</v>
      </c>
      <c r="G142" s="1"/>
      <c r="H142" s="1">
        <f>SUM(OSRRefH22_4x_0)</f>
        <v>16299</v>
      </c>
      <c r="I142" s="1"/>
      <c r="J142" s="5">
        <f t="shared" ref="J142:J146" si="42">IF(H$12=0,0,H142/H$12)</f>
        <v>3.4695997581774753E-2</v>
      </c>
      <c r="K142" s="1"/>
      <c r="L142" s="1">
        <f t="shared" ref="L142:L146" si="43">+D142-H142</f>
        <v>-11202.96</v>
      </c>
      <c r="M142" s="1"/>
      <c r="N142" s="5">
        <f t="shared" ref="N142:N146" si="44">IF(H142=0,0,L142/H142)</f>
        <v>-0.68734032762746178</v>
      </c>
      <c r="O142" s="14"/>
      <c r="P142" s="1">
        <f>SUM(OSRRefP22_4x_0)</f>
        <v>39573.990000000005</v>
      </c>
      <c r="Q142" s="1"/>
      <c r="R142" s="5">
        <f t="shared" ref="R142:R146" si="45">IF(P$12=0,0,P142/P$12)</f>
        <v>1.6792856196486364E-2</v>
      </c>
      <c r="S142" s="1"/>
      <c r="T142" s="1">
        <f>SUM(OSRRefT22_4x_0)</f>
        <v>94020</v>
      </c>
      <c r="U142" s="1"/>
      <c r="V142" s="5">
        <f t="shared" ref="V142:V146" si="46">IF(T$12=0,0,T142/T$12)</f>
        <v>2.2881975297104271E-2</v>
      </c>
      <c r="W142" s="1"/>
      <c r="X142" s="1">
        <f t="shared" ref="X142:X146" si="47">+P142-T142</f>
        <v>-54446.009999999995</v>
      </c>
      <c r="Y142" s="1"/>
      <c r="Z142" s="5">
        <f t="shared" ref="Z142:Z146" si="48">IF(T142=0,0,X142/T142)</f>
        <v>-0.5790896617740906</v>
      </c>
    </row>
    <row r="143" spans="1:26" s="24" customFormat="1" hidden="1" outlineLevel="2" x14ac:dyDescent="0.25">
      <c r="A143" s="28"/>
      <c r="B143" s="11" t="str">
        <f>CONCATENATE("          ", "6381", " - ", "BANK/CREDIT CARD FEES")</f>
        <v xml:space="preserve">          6381 - BANK/CREDIT CARD FEES</v>
      </c>
      <c r="C143" s="11"/>
      <c r="D143" s="7">
        <v>5096.04</v>
      </c>
      <c r="E143" s="2"/>
      <c r="F143" s="6">
        <f t="shared" si="41"/>
        <v>3.1828560825082751E-2</v>
      </c>
      <c r="G143" s="2"/>
      <c r="H143" s="7">
        <v>16299</v>
      </c>
      <c r="I143" s="2"/>
      <c r="J143" s="6">
        <f t="shared" si="42"/>
        <v>3.4695997581774753E-2</v>
      </c>
      <c r="K143" s="2"/>
      <c r="L143" s="7">
        <f t="shared" si="43"/>
        <v>-11202.96</v>
      </c>
      <c r="M143" s="2"/>
      <c r="N143" s="6">
        <f t="shared" si="44"/>
        <v>-0.68734032762746178</v>
      </c>
      <c r="O143" s="11"/>
      <c r="P143" s="7">
        <v>39573.990000000005</v>
      </c>
      <c r="Q143" s="2"/>
      <c r="R143" s="6">
        <f t="shared" si="45"/>
        <v>1.6792856196486364E-2</v>
      </c>
      <c r="S143" s="2"/>
      <c r="T143" s="7">
        <v>94020</v>
      </c>
      <c r="U143" s="2"/>
      <c r="V143" s="6">
        <f t="shared" si="46"/>
        <v>2.2881975297104271E-2</v>
      </c>
      <c r="W143" s="2"/>
      <c r="X143" s="7">
        <f t="shared" si="47"/>
        <v>-54446.009999999995</v>
      </c>
      <c r="Y143" s="2"/>
      <c r="Z143" s="6">
        <f t="shared" si="48"/>
        <v>-0.5790896617740906</v>
      </c>
    </row>
    <row r="144" spans="1:26" s="27" customFormat="1" outlineLevel="1" collapsed="1" x14ac:dyDescent="0.25">
      <c r="A144" s="29"/>
      <c r="B144" s="14" t="str">
        <f>CONCATENATE("     ","Depreciation                                      ")</f>
        <v xml:space="preserve">     Depreciation                                      </v>
      </c>
      <c r="C144" s="14"/>
      <c r="D144" s="1">
        <f>SUM(OSRRefD22_5x_0)</f>
        <v>39999.31</v>
      </c>
      <c r="E144" s="1"/>
      <c r="F144" s="5">
        <f t="shared" si="41"/>
        <v>0.24982544707191087</v>
      </c>
      <c r="G144" s="1"/>
      <c r="H144" s="1">
        <f>SUM(OSRRefH22_5x_0)</f>
        <v>38969</v>
      </c>
      <c r="I144" s="1"/>
      <c r="J144" s="5">
        <f t="shared" si="42"/>
        <v>8.2954066492679335E-2</v>
      </c>
      <c r="K144" s="1"/>
      <c r="L144" s="1">
        <f t="shared" si="43"/>
        <v>1030.3099999999977</v>
      </c>
      <c r="M144" s="1"/>
      <c r="N144" s="5">
        <f t="shared" si="44"/>
        <v>2.6439220919192118E-2</v>
      </c>
      <c r="O144" s="14"/>
      <c r="P144" s="1">
        <f>SUM(OSRRefP22_5x_0)</f>
        <v>160028.53000000003</v>
      </c>
      <c r="Q144" s="1"/>
      <c r="R144" s="5">
        <f t="shared" si="45"/>
        <v>6.7906624821634218E-2</v>
      </c>
      <c r="S144" s="1"/>
      <c r="T144" s="1">
        <f>SUM(OSRRefT22_5x_0)</f>
        <v>156884</v>
      </c>
      <c r="U144" s="1"/>
      <c r="V144" s="5">
        <f t="shared" si="46"/>
        <v>3.8181406216878391E-2</v>
      </c>
      <c r="W144" s="1"/>
      <c r="X144" s="1">
        <f t="shared" si="47"/>
        <v>3144.5300000000279</v>
      </c>
      <c r="Y144" s="1"/>
      <c r="Z144" s="5">
        <f t="shared" si="48"/>
        <v>2.0043662833686214E-2</v>
      </c>
    </row>
    <row r="145" spans="1:26" s="24" customFormat="1" hidden="1" outlineLevel="2" x14ac:dyDescent="0.25">
      <c r="A145" s="28"/>
      <c r="B145" s="11" t="str">
        <f>CONCATENATE("          ", "6321", " - ", "BUILDING DEPRECIATION")</f>
        <v xml:space="preserve">          6321 - BUILDING DEPRECIATION</v>
      </c>
      <c r="C145" s="11"/>
      <c r="D145" s="7">
        <v>21477.030000000002</v>
      </c>
      <c r="E145" s="2"/>
      <c r="F145" s="6">
        <f t="shared" si="41"/>
        <v>0.13414002945367914</v>
      </c>
      <c r="G145" s="2"/>
      <c r="H145" s="7"/>
      <c r="I145" s="2"/>
      <c r="J145" s="6">
        <f t="shared" si="42"/>
        <v>0</v>
      </c>
      <c r="K145" s="2"/>
      <c r="L145" s="7">
        <f t="shared" si="43"/>
        <v>21477.030000000002</v>
      </c>
      <c r="M145" s="2"/>
      <c r="N145" s="6">
        <f t="shared" si="44"/>
        <v>0</v>
      </c>
      <c r="O145" s="11"/>
      <c r="P145" s="7">
        <v>85908.12000000001</v>
      </c>
      <c r="Q145" s="2"/>
      <c r="R145" s="6">
        <f t="shared" si="45"/>
        <v>3.6454315202245069E-2</v>
      </c>
      <c r="S145" s="2"/>
      <c r="T145" s="7"/>
      <c r="U145" s="2"/>
      <c r="V145" s="6">
        <f t="shared" si="46"/>
        <v>0</v>
      </c>
      <c r="W145" s="2"/>
      <c r="X145" s="7">
        <f t="shared" si="47"/>
        <v>85908.12000000001</v>
      </c>
      <c r="Y145" s="2"/>
      <c r="Z145" s="6">
        <f t="shared" si="48"/>
        <v>0</v>
      </c>
    </row>
    <row r="146" spans="1:26" s="24" customFormat="1" hidden="1" outlineLevel="2" x14ac:dyDescent="0.25">
      <c r="A146" s="28"/>
      <c r="B146" s="11" t="str">
        <f>CONCATENATE("          ", "6322", " - ", "EQUIPMENT DEPRECIATION EXPENSE")</f>
        <v xml:space="preserve">          6322 - EQUIPMENT DEPRECIATION EXPENSE</v>
      </c>
      <c r="C146" s="11"/>
      <c r="D146" s="7">
        <v>18522.28</v>
      </c>
      <c r="E146" s="2"/>
      <c r="F146" s="6">
        <f t="shared" si="41"/>
        <v>0.11568541761823174</v>
      </c>
      <c r="G146" s="2"/>
      <c r="H146" s="7">
        <v>38969</v>
      </c>
      <c r="I146" s="2"/>
      <c r="J146" s="6">
        <f t="shared" si="42"/>
        <v>8.2954066492679335E-2</v>
      </c>
      <c r="K146" s="2"/>
      <c r="L146" s="7">
        <f t="shared" si="43"/>
        <v>-20446.72</v>
      </c>
      <c r="M146" s="2"/>
      <c r="N146" s="6">
        <f t="shared" si="44"/>
        <v>-0.52469193461469377</v>
      </c>
      <c r="O146" s="11"/>
      <c r="P146" s="7">
        <v>74120.41</v>
      </c>
      <c r="Q146" s="2"/>
      <c r="R146" s="6">
        <f t="shared" si="45"/>
        <v>3.1452309619389142E-2</v>
      </c>
      <c r="S146" s="2"/>
      <c r="T146" s="7">
        <v>156884</v>
      </c>
      <c r="U146" s="2"/>
      <c r="V146" s="6">
        <f t="shared" si="46"/>
        <v>3.8181406216878391E-2</v>
      </c>
      <c r="W146" s="2"/>
      <c r="X146" s="7">
        <f t="shared" si="47"/>
        <v>-82763.59</v>
      </c>
      <c r="Y146" s="2"/>
      <c r="Z146" s="6">
        <f t="shared" si="48"/>
        <v>-0.527546403712297</v>
      </c>
    </row>
    <row r="147" spans="1:26" s="27" customFormat="1" outlineLevel="1" collapsed="1" x14ac:dyDescent="0.25">
      <c r="A147" s="29"/>
      <c r="B147" s="14" t="str">
        <f>CONCATENATE("     ","Discounts and Markdowns                           ")</f>
        <v xml:space="preserve">     Discounts and Markdowns                           </v>
      </c>
      <c r="C147" s="14"/>
      <c r="D147" s="1">
        <f>SUM(OSRRefD22_6x_0)</f>
        <v>-1249.8000000000002</v>
      </c>
      <c r="E147" s="1"/>
      <c r="F147" s="5">
        <f t="shared" ref="F147:F149" si="49">IF(D$12=0,0,D147/D$12)</f>
        <v>-7.8059307460672262E-3</v>
      </c>
      <c r="G147" s="1"/>
      <c r="H147" s="1">
        <f>SUM(OSRRefH22_6x_0)</f>
        <v>26920</v>
      </c>
      <c r="I147" s="1"/>
      <c r="J147" s="5">
        <f t="shared" ref="J147:J149" si="50">IF(H$12=0,0,H147/H$12)</f>
        <v>5.7305126382071074E-2</v>
      </c>
      <c r="K147" s="1"/>
      <c r="L147" s="1">
        <f t="shared" ref="L147:L149" si="51">+D147-H147</f>
        <v>-28169.8</v>
      </c>
      <c r="M147" s="1"/>
      <c r="N147" s="5">
        <f t="shared" ref="N147:N149" si="52">IF(H147=0,0,L147/H147)</f>
        <v>-1.0464264487369985</v>
      </c>
      <c r="O147" s="14"/>
      <c r="P147" s="1">
        <f>SUM(OSRRefP22_6x_0)</f>
        <v>-418.85</v>
      </c>
      <c r="Q147" s="1"/>
      <c r="R147" s="5">
        <f t="shared" ref="R147:R149" si="53">IF(P$12=0,0,P147/P$12)</f>
        <v>-1.777351188974959E-4</v>
      </c>
      <c r="S147" s="1"/>
      <c r="T147" s="1">
        <f>SUM(OSRRefT22_6x_0)</f>
        <v>108578</v>
      </c>
      <c r="U147" s="1"/>
      <c r="V147" s="5">
        <f t="shared" ref="V147:V149" si="54">IF(T$12=0,0,T147/T$12)</f>
        <v>2.6425006528493802E-2</v>
      </c>
      <c r="W147" s="1"/>
      <c r="X147" s="1">
        <f t="shared" ref="X147:X149" si="55">+P147-T147</f>
        <v>-108996.85</v>
      </c>
      <c r="Y147" s="1"/>
      <c r="Z147" s="5">
        <f t="shared" ref="Z147:Z149" si="56">IF(T147=0,0,X147/T147)</f>
        <v>-1.0038575954613274</v>
      </c>
    </row>
    <row r="148" spans="1:26" s="24" customFormat="1" hidden="1" outlineLevel="2" x14ac:dyDescent="0.25">
      <c r="A148" s="28"/>
      <c r="B148" s="11" t="str">
        <f>CONCATENATE("          ", "6382", " - ", "DISCOUNTS/MARK DOWNS")</f>
        <v xml:space="preserve">          6382 - DISCOUNTS/MARK DOWNS</v>
      </c>
      <c r="C148" s="11"/>
      <c r="D148" s="7">
        <v>-830.95</v>
      </c>
      <c r="E148" s="2"/>
      <c r="F148" s="6">
        <f t="shared" si="49"/>
        <v>-5.1899009069007532E-3</v>
      </c>
      <c r="G148" s="2"/>
      <c r="H148" s="7">
        <v>26920</v>
      </c>
      <c r="I148" s="2"/>
      <c r="J148" s="6">
        <f t="shared" si="50"/>
        <v>5.7305126382071074E-2</v>
      </c>
      <c r="K148" s="2"/>
      <c r="L148" s="7">
        <f t="shared" si="51"/>
        <v>-27750.95</v>
      </c>
      <c r="M148" s="2"/>
      <c r="N148" s="6">
        <f t="shared" si="52"/>
        <v>-1.0308673848439822</v>
      </c>
      <c r="O148" s="11"/>
      <c r="P148" s="7">
        <v>0</v>
      </c>
      <c r="Q148" s="2"/>
      <c r="R148" s="6">
        <f t="shared" si="53"/>
        <v>0</v>
      </c>
      <c r="S148" s="2"/>
      <c r="T148" s="7">
        <v>108578</v>
      </c>
      <c r="U148" s="2"/>
      <c r="V148" s="6">
        <f t="shared" si="54"/>
        <v>2.6425006528493802E-2</v>
      </c>
      <c r="W148" s="2"/>
      <c r="X148" s="7">
        <f t="shared" si="55"/>
        <v>-108578</v>
      </c>
      <c r="Y148" s="2"/>
      <c r="Z148" s="6">
        <f t="shared" si="56"/>
        <v>-1</v>
      </c>
    </row>
    <row r="149" spans="1:26" s="24" customFormat="1" hidden="1" outlineLevel="2" x14ac:dyDescent="0.25">
      <c r="A149" s="28"/>
      <c r="B149" s="11" t="str">
        <f>CONCATENATE("          ", "9175", " - ", "EARNED DISCOUNTS")</f>
        <v xml:space="preserve">          9175 - EARNED DISCOUNTS</v>
      </c>
      <c r="C149" s="11"/>
      <c r="D149" s="7">
        <v>-418.85</v>
      </c>
      <c r="E149" s="2"/>
      <c r="F149" s="6">
        <f t="shared" si="49"/>
        <v>-2.6160298391664726E-3</v>
      </c>
      <c r="G149" s="2"/>
      <c r="H149" s="7"/>
      <c r="I149" s="2"/>
      <c r="J149" s="6">
        <f t="shared" si="50"/>
        <v>0</v>
      </c>
      <c r="K149" s="2"/>
      <c r="L149" s="7">
        <f t="shared" si="51"/>
        <v>-418.85</v>
      </c>
      <c r="M149" s="2"/>
      <c r="N149" s="6">
        <f t="shared" si="52"/>
        <v>0</v>
      </c>
      <c r="O149" s="11"/>
      <c r="P149" s="7">
        <v>-418.85</v>
      </c>
      <c r="Q149" s="2"/>
      <c r="R149" s="6">
        <f t="shared" si="53"/>
        <v>-1.777351188974959E-4</v>
      </c>
      <c r="S149" s="2"/>
      <c r="T149" s="7"/>
      <c r="U149" s="2"/>
      <c r="V149" s="6">
        <f t="shared" si="54"/>
        <v>0</v>
      </c>
      <c r="W149" s="2"/>
      <c r="X149" s="7">
        <f t="shared" si="55"/>
        <v>-418.85</v>
      </c>
      <c r="Y149" s="2"/>
      <c r="Z149" s="6">
        <f t="shared" si="56"/>
        <v>0</v>
      </c>
    </row>
    <row r="150" spans="1:26" s="27" customFormat="1" outlineLevel="1" collapsed="1" x14ac:dyDescent="0.25">
      <c r="A150" s="29"/>
      <c r="B150" s="14" t="str">
        <f>CONCATENATE("     ","Donations                                         ")</f>
        <v xml:space="preserve">     Donations                                         </v>
      </c>
      <c r="C150" s="14"/>
      <c r="D150" s="1">
        <f>SUM(OSRRefD22_7x_0)</f>
        <v>0</v>
      </c>
      <c r="E150" s="1"/>
      <c r="F150" s="5">
        <f t="shared" ref="F150:F152" si="57">IF(D$12=0,0,D150/D$12)</f>
        <v>0</v>
      </c>
      <c r="G150" s="1"/>
      <c r="H150" s="1">
        <f>SUM(OSRRefH22_7x_0)</f>
        <v>1000</v>
      </c>
      <c r="I150" s="1"/>
      <c r="J150" s="5">
        <f t="shared" ref="J150:J152" si="58">IF(H$12=0,0,H150/H$12)</f>
        <v>2.128719404980352E-3</v>
      </c>
      <c r="K150" s="1"/>
      <c r="L150" s="1">
        <f t="shared" ref="L150:L152" si="59">+D150-H150</f>
        <v>-1000</v>
      </c>
      <c r="M150" s="1"/>
      <c r="N150" s="5">
        <f t="shared" ref="N150:N152" si="60">IF(H150=0,0,L150/H150)</f>
        <v>-1</v>
      </c>
      <c r="O150" s="14"/>
      <c r="P150" s="1">
        <f>SUM(OSRRefP22_7x_0)</f>
        <v>0</v>
      </c>
      <c r="Q150" s="1"/>
      <c r="R150" s="5">
        <f t="shared" ref="R150:R152" si="61">IF(P$12=0,0,P150/P$12)</f>
        <v>0</v>
      </c>
      <c r="S150" s="1"/>
      <c r="T150" s="1">
        <f>SUM(OSRRefT22_7x_0)</f>
        <v>4000</v>
      </c>
      <c r="U150" s="1"/>
      <c r="V150" s="5">
        <f t="shared" ref="V150:V152" si="62">IF(T$12=0,0,T150/T$12)</f>
        <v>9.7349395010016041E-4</v>
      </c>
      <c r="W150" s="1"/>
      <c r="X150" s="1">
        <f t="shared" ref="X150:X152" si="63">+P150-T150</f>
        <v>-4000</v>
      </c>
      <c r="Y150" s="1"/>
      <c r="Z150" s="5">
        <f t="shared" ref="Z150:Z152" si="64">IF(T150=0,0,X150/T150)</f>
        <v>-1</v>
      </c>
    </row>
    <row r="151" spans="1:26" s="24" customFormat="1" hidden="1" outlineLevel="2" x14ac:dyDescent="0.25">
      <c r="A151" s="28"/>
      <c r="B151" s="11" t="str">
        <f>CONCATENATE("          ", "6395", " - ", "DONATION-OFF CAMPUS")</f>
        <v xml:space="preserve">          6395 - DONATION-OFF CAMPUS</v>
      </c>
      <c r="C151" s="11"/>
      <c r="D151" s="7"/>
      <c r="E151" s="2"/>
      <c r="F151" s="6">
        <f t="shared" si="57"/>
        <v>0</v>
      </c>
      <c r="G151" s="2"/>
      <c r="H151" s="7"/>
      <c r="I151" s="2"/>
      <c r="J151" s="6">
        <f t="shared" si="58"/>
        <v>0</v>
      </c>
      <c r="K151" s="2"/>
      <c r="L151" s="7">
        <f t="shared" si="59"/>
        <v>0</v>
      </c>
      <c r="M151" s="2"/>
      <c r="N151" s="6">
        <f t="shared" si="60"/>
        <v>0</v>
      </c>
      <c r="O151" s="11"/>
      <c r="P151" s="7"/>
      <c r="Q151" s="2"/>
      <c r="R151" s="6">
        <f t="shared" si="61"/>
        <v>0</v>
      </c>
      <c r="S151" s="2"/>
      <c r="T151" s="7">
        <v>0</v>
      </c>
      <c r="U151" s="2"/>
      <c r="V151" s="6">
        <f t="shared" si="62"/>
        <v>0</v>
      </c>
      <c r="W151" s="2"/>
      <c r="X151" s="7">
        <f t="shared" si="63"/>
        <v>0</v>
      </c>
      <c r="Y151" s="2"/>
      <c r="Z151" s="6">
        <f t="shared" si="64"/>
        <v>0</v>
      </c>
    </row>
    <row r="152" spans="1:26" s="24" customFormat="1" hidden="1" outlineLevel="2" x14ac:dyDescent="0.25">
      <c r="A152" s="28"/>
      <c r="B152" s="11" t="str">
        <f>CONCATENATE("          ", "6399", " - ", "DONATION-ON CAMPUS")</f>
        <v xml:space="preserve">          6399 - DONATION-ON CAMPUS</v>
      </c>
      <c r="C152" s="11"/>
      <c r="D152" s="7"/>
      <c r="E152" s="2"/>
      <c r="F152" s="6">
        <f t="shared" si="57"/>
        <v>0</v>
      </c>
      <c r="G152" s="2"/>
      <c r="H152" s="7">
        <v>1000</v>
      </c>
      <c r="I152" s="2"/>
      <c r="J152" s="6">
        <f t="shared" si="58"/>
        <v>2.128719404980352E-3</v>
      </c>
      <c r="K152" s="2"/>
      <c r="L152" s="7">
        <f t="shared" si="59"/>
        <v>-1000</v>
      </c>
      <c r="M152" s="2"/>
      <c r="N152" s="6">
        <f t="shared" si="60"/>
        <v>-1</v>
      </c>
      <c r="O152" s="11"/>
      <c r="P152" s="7"/>
      <c r="Q152" s="2"/>
      <c r="R152" s="6">
        <f t="shared" si="61"/>
        <v>0</v>
      </c>
      <c r="S152" s="2"/>
      <c r="T152" s="7">
        <v>4000</v>
      </c>
      <c r="U152" s="2"/>
      <c r="V152" s="6">
        <f t="shared" si="62"/>
        <v>9.7349395010016041E-4</v>
      </c>
      <c r="W152" s="2"/>
      <c r="X152" s="7">
        <f t="shared" si="63"/>
        <v>-4000</v>
      </c>
      <c r="Y152" s="2"/>
      <c r="Z152" s="6">
        <f t="shared" si="64"/>
        <v>-1</v>
      </c>
    </row>
    <row r="153" spans="1:26" s="27" customFormat="1" outlineLevel="1" collapsed="1" x14ac:dyDescent="0.25">
      <c r="A153" s="29"/>
      <c r="B153" s="14" t="str">
        <f>CONCATENATE("     ","Employees' Appreciation                           ")</f>
        <v xml:space="preserve">     Employees' Appreciation                           </v>
      </c>
      <c r="C153" s="14"/>
      <c r="D153" s="1">
        <f>SUM(OSRRefD22_8x_0)</f>
        <v>0</v>
      </c>
      <c r="E153" s="1"/>
      <c r="F153" s="5">
        <f t="shared" ref="F153:F159" si="65">IF(D$12=0,0,D153/D$12)</f>
        <v>0</v>
      </c>
      <c r="G153" s="1"/>
      <c r="H153" s="1">
        <f>SUM(OSRRefH22_8x_0)</f>
        <v>400</v>
      </c>
      <c r="I153" s="1"/>
      <c r="J153" s="5">
        <f t="shared" ref="J153:J159" si="66">IF(H$12=0,0,H153/H$12)</f>
        <v>8.5148776199214077E-4</v>
      </c>
      <c r="K153" s="1"/>
      <c r="L153" s="1">
        <f t="shared" ref="L153:L159" si="67">+D153-H153</f>
        <v>-400</v>
      </c>
      <c r="M153" s="1"/>
      <c r="N153" s="5">
        <f t="shared" ref="N153:N159" si="68">IF(H153=0,0,L153/H153)</f>
        <v>-1</v>
      </c>
      <c r="O153" s="14"/>
      <c r="P153" s="1">
        <f>SUM(OSRRefP22_8x_0)</f>
        <v>107.7</v>
      </c>
      <c r="Q153" s="1"/>
      <c r="R153" s="5">
        <f t="shared" ref="R153:R159" si="69">IF(P$12=0,0,P153/P$12)</f>
        <v>4.5701497684756615E-5</v>
      </c>
      <c r="S153" s="1"/>
      <c r="T153" s="1">
        <f>SUM(OSRRefT22_8x_0)</f>
        <v>1650</v>
      </c>
      <c r="U153" s="1"/>
      <c r="V153" s="5">
        <f t="shared" ref="V153:V159" si="70">IF(T$12=0,0,T153/T$12)</f>
        <v>4.0156625441631615E-4</v>
      </c>
      <c r="W153" s="1"/>
      <c r="X153" s="1">
        <f t="shared" ref="X153:X159" si="71">+P153-T153</f>
        <v>-1542.3</v>
      </c>
      <c r="Y153" s="1"/>
      <c r="Z153" s="5">
        <f t="shared" ref="Z153:Z159" si="72">IF(T153=0,0,X153/T153)</f>
        <v>-0.93472727272727274</v>
      </c>
    </row>
    <row r="154" spans="1:26" s="24" customFormat="1" hidden="1" outlineLevel="2" x14ac:dyDescent="0.25">
      <c r="A154" s="28"/>
      <c r="B154" s="11" t="str">
        <f>CONCATENATE("          ", "6277", " - ", "EMPLOYEE APPRECIATION")</f>
        <v xml:space="preserve">          6277 - EMPLOYEE APPRECIATION</v>
      </c>
      <c r="C154" s="11"/>
      <c r="D154" s="7"/>
      <c r="E154" s="2"/>
      <c r="F154" s="6">
        <f t="shared" si="65"/>
        <v>0</v>
      </c>
      <c r="G154" s="2"/>
      <c r="H154" s="7">
        <v>400</v>
      </c>
      <c r="I154" s="2"/>
      <c r="J154" s="6">
        <f t="shared" si="66"/>
        <v>8.5148776199214077E-4</v>
      </c>
      <c r="K154" s="2"/>
      <c r="L154" s="7">
        <f t="shared" si="67"/>
        <v>-400</v>
      </c>
      <c r="M154" s="2"/>
      <c r="N154" s="6">
        <f t="shared" si="68"/>
        <v>-1</v>
      </c>
      <c r="O154" s="11"/>
      <c r="P154" s="7">
        <v>107.7</v>
      </c>
      <c r="Q154" s="2"/>
      <c r="R154" s="6">
        <f t="shared" si="69"/>
        <v>4.5701497684756615E-5</v>
      </c>
      <c r="S154" s="2"/>
      <c r="T154" s="7">
        <v>1650</v>
      </c>
      <c r="U154" s="2"/>
      <c r="V154" s="6">
        <f t="shared" si="70"/>
        <v>4.0156625441631615E-4</v>
      </c>
      <c r="W154" s="2"/>
      <c r="X154" s="7">
        <f t="shared" si="71"/>
        <v>-1542.3</v>
      </c>
      <c r="Y154" s="2"/>
      <c r="Z154" s="6">
        <f t="shared" si="72"/>
        <v>-0.93472727272727274</v>
      </c>
    </row>
    <row r="155" spans="1:26" s="27" customFormat="1" outlineLevel="1" collapsed="1" x14ac:dyDescent="0.25">
      <c r="A155" s="29"/>
      <c r="B155" s="14" t="str">
        <f>CONCATENATE("     ","Equipment Rental                                  ")</f>
        <v xml:space="preserve">     Equipment Rental                                  </v>
      </c>
      <c r="C155" s="14"/>
      <c r="D155" s="1">
        <f>SUM(OSRRefD22_9x_0)</f>
        <v>1479.42</v>
      </c>
      <c r="E155" s="1"/>
      <c r="F155" s="5">
        <f t="shared" si="65"/>
        <v>9.2400784640316661E-3</v>
      </c>
      <c r="G155" s="1"/>
      <c r="H155" s="1">
        <f>SUM(OSRRefH22_9x_0)</f>
        <v>3152</v>
      </c>
      <c r="I155" s="1"/>
      <c r="J155" s="5">
        <f t="shared" si="66"/>
        <v>6.7097235644980689E-3</v>
      </c>
      <c r="K155" s="1"/>
      <c r="L155" s="1">
        <f t="shared" si="67"/>
        <v>-1672.58</v>
      </c>
      <c r="M155" s="1"/>
      <c r="N155" s="5">
        <f t="shared" si="68"/>
        <v>-0.53064086294416246</v>
      </c>
      <c r="O155" s="14"/>
      <c r="P155" s="1">
        <f>SUM(OSRRefP22_9x_0)</f>
        <v>5967.79</v>
      </c>
      <c r="Q155" s="1"/>
      <c r="R155" s="5">
        <f t="shared" si="69"/>
        <v>2.5323764240307673E-3</v>
      </c>
      <c r="S155" s="1"/>
      <c r="T155" s="1">
        <f>SUM(OSRRefT22_9x_0)</f>
        <v>12170</v>
      </c>
      <c r="U155" s="1"/>
      <c r="V155" s="5">
        <f t="shared" si="70"/>
        <v>2.9618553431797379E-3</v>
      </c>
      <c r="W155" s="1"/>
      <c r="X155" s="1">
        <f t="shared" si="71"/>
        <v>-6202.21</v>
      </c>
      <c r="Y155" s="1"/>
      <c r="Z155" s="5">
        <f t="shared" si="72"/>
        <v>-0.50963105998356617</v>
      </c>
    </row>
    <row r="156" spans="1:26" s="24" customFormat="1" hidden="1" outlineLevel="2" x14ac:dyDescent="0.25">
      <c r="A156" s="28"/>
      <c r="B156" s="11" t="str">
        <f>CONCATENATE("          ", "6351", " - ", "EQUIPMENT RENTAL")</f>
        <v xml:space="preserve">          6351 - EQUIPMENT RENTAL</v>
      </c>
      <c r="C156" s="11"/>
      <c r="D156" s="7">
        <v>1479.42</v>
      </c>
      <c r="E156" s="2"/>
      <c r="F156" s="6">
        <f t="shared" si="65"/>
        <v>9.2400784640316661E-3</v>
      </c>
      <c r="G156" s="2"/>
      <c r="H156" s="7">
        <v>3152</v>
      </c>
      <c r="I156" s="2"/>
      <c r="J156" s="6">
        <f t="shared" si="66"/>
        <v>6.7097235644980689E-3</v>
      </c>
      <c r="K156" s="2"/>
      <c r="L156" s="7">
        <f t="shared" si="67"/>
        <v>-1672.58</v>
      </c>
      <c r="M156" s="2"/>
      <c r="N156" s="6">
        <f t="shared" si="68"/>
        <v>-0.53064086294416246</v>
      </c>
      <c r="O156" s="11"/>
      <c r="P156" s="7">
        <v>5967.79</v>
      </c>
      <c r="Q156" s="2"/>
      <c r="R156" s="6">
        <f t="shared" si="69"/>
        <v>2.5323764240307673E-3</v>
      </c>
      <c r="S156" s="2"/>
      <c r="T156" s="7">
        <v>12170</v>
      </c>
      <c r="U156" s="2"/>
      <c r="V156" s="6">
        <f t="shared" si="70"/>
        <v>2.9618553431797379E-3</v>
      </c>
      <c r="W156" s="2"/>
      <c r="X156" s="7">
        <f t="shared" si="71"/>
        <v>-6202.21</v>
      </c>
      <c r="Y156" s="2"/>
      <c r="Z156" s="6">
        <f t="shared" si="72"/>
        <v>-0.50963105998356617</v>
      </c>
    </row>
    <row r="157" spans="1:26" s="27" customFormat="1" outlineLevel="1" collapsed="1" x14ac:dyDescent="0.25">
      <c r="A157" s="29"/>
      <c r="B157" s="14" t="str">
        <f>CONCATENATE("     ","Freight out/Postage                               ")</f>
        <v xml:space="preserve">     Freight out/Postage                               </v>
      </c>
      <c r="C157" s="14"/>
      <c r="D157" s="1">
        <f>SUM(OSRRefD22_10x_0)</f>
        <v>48993.59</v>
      </c>
      <c r="E157" s="1"/>
      <c r="F157" s="5">
        <f t="shared" si="65"/>
        <v>0.30600141665963493</v>
      </c>
      <c r="G157" s="1"/>
      <c r="H157" s="1">
        <f>SUM(OSRRefH22_10x_0)</f>
        <v>7918</v>
      </c>
      <c r="I157" s="1"/>
      <c r="J157" s="5">
        <f t="shared" si="66"/>
        <v>1.6855200248634426E-2</v>
      </c>
      <c r="K157" s="1"/>
      <c r="L157" s="1">
        <f t="shared" si="67"/>
        <v>41075.589999999997</v>
      </c>
      <c r="M157" s="1"/>
      <c r="N157" s="5">
        <f t="shared" si="68"/>
        <v>5.1876218742106586</v>
      </c>
      <c r="O157" s="14"/>
      <c r="P157" s="1">
        <f>SUM(OSRRefP22_10x_0)</f>
        <v>-31747.919999999998</v>
      </c>
      <c r="Q157" s="1"/>
      <c r="R157" s="5">
        <f t="shared" si="69"/>
        <v>-1.3471935862356899E-2</v>
      </c>
      <c r="S157" s="1"/>
      <c r="T157" s="1">
        <f>SUM(OSRRefT22_10x_0)</f>
        <v>34876</v>
      </c>
      <c r="U157" s="1"/>
      <c r="V157" s="5">
        <f t="shared" si="70"/>
        <v>8.4878937509232973E-3</v>
      </c>
      <c r="W157" s="1"/>
      <c r="X157" s="1">
        <f t="shared" si="71"/>
        <v>-66623.92</v>
      </c>
      <c r="Y157" s="1"/>
      <c r="Z157" s="5">
        <f t="shared" si="72"/>
        <v>-1.9103085216194517</v>
      </c>
    </row>
    <row r="158" spans="1:26" s="24" customFormat="1" hidden="1" outlineLevel="2" x14ac:dyDescent="0.25">
      <c r="A158" s="28"/>
      <c r="B158" s="11" t="str">
        <f>CONCATENATE("          ", "6305", " - ", "FREIGHT OUT")</f>
        <v xml:space="preserve">          6305 - FREIGHT OUT</v>
      </c>
      <c r="C158" s="11"/>
      <c r="D158" s="7">
        <v>60680.109999999993</v>
      </c>
      <c r="E158" s="2"/>
      <c r="F158" s="6">
        <f t="shared" si="65"/>
        <v>0.37899242784744858</v>
      </c>
      <c r="G158" s="2"/>
      <c r="H158" s="7">
        <v>5398</v>
      </c>
      <c r="I158" s="2"/>
      <c r="J158" s="6">
        <f t="shared" si="66"/>
        <v>1.149082734808394E-2</v>
      </c>
      <c r="K158" s="2"/>
      <c r="L158" s="7">
        <f t="shared" si="67"/>
        <v>55282.109999999993</v>
      </c>
      <c r="M158" s="2"/>
      <c r="N158" s="6">
        <f t="shared" si="68"/>
        <v>10.241220822526861</v>
      </c>
      <c r="O158" s="11"/>
      <c r="P158" s="7">
        <v>86348.17</v>
      </c>
      <c r="Q158" s="2"/>
      <c r="R158" s="6">
        <f t="shared" si="69"/>
        <v>3.6641046344827947E-2</v>
      </c>
      <c r="S158" s="2"/>
      <c r="T158" s="7">
        <v>20046</v>
      </c>
      <c r="U158" s="2"/>
      <c r="V158" s="6">
        <f t="shared" si="70"/>
        <v>4.878664930926954E-3</v>
      </c>
      <c r="W158" s="2"/>
      <c r="X158" s="7">
        <f t="shared" si="71"/>
        <v>66302.17</v>
      </c>
      <c r="Y158" s="2"/>
      <c r="Z158" s="6">
        <f t="shared" si="72"/>
        <v>3.3075012471315972</v>
      </c>
    </row>
    <row r="159" spans="1:26" s="24" customFormat="1" hidden="1" outlineLevel="2" x14ac:dyDescent="0.25">
      <c r="A159" s="28"/>
      <c r="B159" s="11" t="str">
        <f>CONCATENATE("          ", "6307", " - ", "POSTAGE")</f>
        <v xml:space="preserve">          6307 - POSTAGE</v>
      </c>
      <c r="C159" s="11"/>
      <c r="D159" s="7">
        <v>-11686.52</v>
      </c>
      <c r="E159" s="2"/>
      <c r="F159" s="6">
        <f t="shared" si="65"/>
        <v>-7.299101118781369E-2</v>
      </c>
      <c r="G159" s="2"/>
      <c r="H159" s="7">
        <v>2520</v>
      </c>
      <c r="I159" s="2"/>
      <c r="J159" s="6">
        <f t="shared" si="66"/>
        <v>5.3643729005504867E-3</v>
      </c>
      <c r="K159" s="2"/>
      <c r="L159" s="7">
        <f t="shared" si="67"/>
        <v>-14206.52</v>
      </c>
      <c r="M159" s="2"/>
      <c r="N159" s="6">
        <f t="shared" si="68"/>
        <v>-5.6375079365079364</v>
      </c>
      <c r="O159" s="11"/>
      <c r="P159" s="7">
        <v>-118096.09</v>
      </c>
      <c r="Q159" s="2"/>
      <c r="R159" s="6">
        <f t="shared" si="69"/>
        <v>-5.0112982207184846E-2</v>
      </c>
      <c r="S159" s="2"/>
      <c r="T159" s="7">
        <v>14830</v>
      </c>
      <c r="U159" s="2"/>
      <c r="V159" s="6">
        <f t="shared" si="70"/>
        <v>3.6092288199963446E-3</v>
      </c>
      <c r="W159" s="2"/>
      <c r="X159" s="7">
        <f t="shared" si="71"/>
        <v>-132926.09</v>
      </c>
      <c r="Y159" s="2"/>
      <c r="Z159" s="6">
        <f t="shared" si="72"/>
        <v>-8.9633236682400543</v>
      </c>
    </row>
    <row r="160" spans="1:26" s="27" customFormat="1" outlineLevel="1" collapsed="1" x14ac:dyDescent="0.25">
      <c r="A160" s="29"/>
      <c r="B160" s="14" t="str">
        <f>CONCATENATE("     ","General                                           ")</f>
        <v xml:space="preserve">     General                                           </v>
      </c>
      <c r="C160" s="14"/>
      <c r="D160" s="1">
        <f>SUM(OSRRefD22_11x_0)</f>
        <v>-40</v>
      </c>
      <c r="E160" s="1"/>
      <c r="F160" s="5">
        <f t="shared" ref="F160:F163" si="73">IF(D$12=0,0,D160/D$12)</f>
        <v>-2.4982975663521284E-4</v>
      </c>
      <c r="G160" s="1"/>
      <c r="H160" s="1">
        <f>SUM(OSRRefH22_11x_0)</f>
        <v>550</v>
      </c>
      <c r="I160" s="1"/>
      <c r="J160" s="5">
        <f t="shared" ref="J160:J163" si="74">IF(H$12=0,0,H160/H$12)</f>
        <v>1.1707956727391936E-3</v>
      </c>
      <c r="K160" s="1"/>
      <c r="L160" s="1">
        <f t="shared" ref="L160:L163" si="75">+D160-H160</f>
        <v>-590</v>
      </c>
      <c r="M160" s="1"/>
      <c r="N160" s="5">
        <f t="shared" ref="N160:N163" si="76">IF(H160=0,0,L160/H160)</f>
        <v>-1.0727272727272728</v>
      </c>
      <c r="O160" s="14"/>
      <c r="P160" s="1">
        <f>SUM(OSRRefP22_11x_0)</f>
        <v>-1737.73</v>
      </c>
      <c r="Q160" s="1"/>
      <c r="R160" s="5">
        <f t="shared" ref="R160:R163" si="77">IF(P$12=0,0,P160/P$12)</f>
        <v>-7.3738963390651915E-4</v>
      </c>
      <c r="S160" s="1"/>
      <c r="T160" s="1">
        <f>SUM(OSRRefT22_11x_0)</f>
        <v>6475</v>
      </c>
      <c r="U160" s="1"/>
      <c r="V160" s="5">
        <f t="shared" ref="V160:V163" si="78">IF(T$12=0,0,T160/T$12)</f>
        <v>1.5758433317246347E-3</v>
      </c>
      <c r="W160" s="1"/>
      <c r="X160" s="1">
        <f t="shared" ref="X160:X163" si="79">+P160-T160</f>
        <v>-8212.73</v>
      </c>
      <c r="Y160" s="1"/>
      <c r="Z160" s="5">
        <f t="shared" ref="Z160:Z163" si="80">IF(T160=0,0,X160/T160)</f>
        <v>-1.2683752895752896</v>
      </c>
    </row>
    <row r="161" spans="1:26" s="24" customFormat="1" hidden="1" outlineLevel="2" x14ac:dyDescent="0.25">
      <c r="A161" s="28"/>
      <c r="B161" s="11" t="str">
        <f>CONCATENATE("          ", "6269", " - ", "ENTERTAINMENT")</f>
        <v xml:space="preserve">          6269 - ENTERTAINMENT</v>
      </c>
      <c r="C161" s="11"/>
      <c r="D161" s="7"/>
      <c r="E161" s="2"/>
      <c r="F161" s="6">
        <f t="shared" si="73"/>
        <v>0</v>
      </c>
      <c r="G161" s="2"/>
      <c r="H161" s="7"/>
      <c r="I161" s="2"/>
      <c r="J161" s="6">
        <f t="shared" si="74"/>
        <v>0</v>
      </c>
      <c r="K161" s="2"/>
      <c r="L161" s="7">
        <f t="shared" si="75"/>
        <v>0</v>
      </c>
      <c r="M161" s="2"/>
      <c r="N161" s="6">
        <f t="shared" si="76"/>
        <v>0</v>
      </c>
      <c r="O161" s="11"/>
      <c r="P161" s="7"/>
      <c r="Q161" s="2"/>
      <c r="R161" s="6">
        <f t="shared" si="77"/>
        <v>0</v>
      </c>
      <c r="S161" s="2"/>
      <c r="T161" s="7">
        <v>125</v>
      </c>
      <c r="U161" s="2"/>
      <c r="V161" s="6">
        <f t="shared" si="78"/>
        <v>3.0421685940630013E-5</v>
      </c>
      <c r="W161" s="2"/>
      <c r="X161" s="7">
        <f t="shared" si="79"/>
        <v>-125</v>
      </c>
      <c r="Y161" s="2"/>
      <c r="Z161" s="6">
        <f t="shared" si="80"/>
        <v>-1</v>
      </c>
    </row>
    <row r="162" spans="1:26" s="24" customFormat="1" hidden="1" outlineLevel="2" x14ac:dyDescent="0.25">
      <c r="A162" s="28"/>
      <c r="B162" s="11" t="str">
        <f>CONCATENATE("          ", "6276", " - ", "PROPERTY TAX")</f>
        <v xml:space="preserve">          6276 - PROPERTY TAX</v>
      </c>
      <c r="C162" s="11"/>
      <c r="D162" s="7"/>
      <c r="E162" s="2"/>
      <c r="F162" s="6">
        <f t="shared" si="73"/>
        <v>0</v>
      </c>
      <c r="G162" s="2"/>
      <c r="H162" s="7"/>
      <c r="I162" s="2"/>
      <c r="J162" s="6">
        <f t="shared" si="74"/>
        <v>0</v>
      </c>
      <c r="K162" s="2"/>
      <c r="L162" s="7">
        <f t="shared" si="75"/>
        <v>0</v>
      </c>
      <c r="M162" s="2"/>
      <c r="N162" s="6">
        <f t="shared" si="76"/>
        <v>0</v>
      </c>
      <c r="O162" s="11"/>
      <c r="P162" s="7"/>
      <c r="Q162" s="2"/>
      <c r="R162" s="6">
        <f t="shared" si="77"/>
        <v>0</v>
      </c>
      <c r="S162" s="2"/>
      <c r="T162" s="7">
        <v>150</v>
      </c>
      <c r="U162" s="2"/>
      <c r="V162" s="6">
        <f t="shared" si="78"/>
        <v>3.6506023128756017E-5</v>
      </c>
      <c r="W162" s="2"/>
      <c r="X162" s="7">
        <f t="shared" si="79"/>
        <v>-150</v>
      </c>
      <c r="Y162" s="2"/>
      <c r="Z162" s="6">
        <f t="shared" si="80"/>
        <v>-1</v>
      </c>
    </row>
    <row r="163" spans="1:26" s="24" customFormat="1" hidden="1" outlineLevel="2" x14ac:dyDescent="0.25">
      <c r="A163" s="28"/>
      <c r="B163" s="11" t="str">
        <f>CONCATENATE("          ", "6279", " - ", "GENERAL EXPENSE")</f>
        <v xml:space="preserve">          6279 - GENERAL EXPENSE</v>
      </c>
      <c r="C163" s="11"/>
      <c r="D163" s="7">
        <v>-40</v>
      </c>
      <c r="E163" s="2"/>
      <c r="F163" s="6">
        <f t="shared" si="73"/>
        <v>-2.4982975663521284E-4</v>
      </c>
      <c r="G163" s="2"/>
      <c r="H163" s="7">
        <v>550</v>
      </c>
      <c r="I163" s="2"/>
      <c r="J163" s="6">
        <f t="shared" si="74"/>
        <v>1.1707956727391936E-3</v>
      </c>
      <c r="K163" s="2"/>
      <c r="L163" s="7">
        <f t="shared" si="75"/>
        <v>-590</v>
      </c>
      <c r="M163" s="2"/>
      <c r="N163" s="6">
        <f t="shared" si="76"/>
        <v>-1.0727272727272728</v>
      </c>
      <c r="O163" s="11"/>
      <c r="P163" s="7">
        <v>-1737.73</v>
      </c>
      <c r="Q163" s="2"/>
      <c r="R163" s="6">
        <f t="shared" si="77"/>
        <v>-7.3738963390651915E-4</v>
      </c>
      <c r="S163" s="2"/>
      <c r="T163" s="7">
        <v>6200</v>
      </c>
      <c r="U163" s="2"/>
      <c r="V163" s="6">
        <f t="shared" si="78"/>
        <v>1.5089156226552485E-3</v>
      </c>
      <c r="W163" s="2"/>
      <c r="X163" s="7">
        <f t="shared" si="79"/>
        <v>-7937.73</v>
      </c>
      <c r="Y163" s="2"/>
      <c r="Z163" s="6">
        <f t="shared" si="80"/>
        <v>-1.2802790322580644</v>
      </c>
    </row>
    <row r="164" spans="1:26" s="27" customFormat="1" outlineLevel="1" collapsed="1" x14ac:dyDescent="0.25">
      <c r="A164" s="29"/>
      <c r="B164" s="14" t="str">
        <f>CONCATENATE("     ","Insurance                                         ")</f>
        <v xml:space="preserve">     Insurance                                         </v>
      </c>
      <c r="C164" s="14"/>
      <c r="D164" s="1">
        <f>SUM(OSRRefD22_12x_0)</f>
        <v>4288.28</v>
      </c>
      <c r="E164" s="1"/>
      <c r="F164" s="5">
        <f t="shared" ref="F164:F178" si="81">IF(D$12=0,0,D164/D$12)</f>
        <v>2.6783498719591261E-2</v>
      </c>
      <c r="G164" s="1"/>
      <c r="H164" s="1">
        <f>SUM(OSRRefH22_12x_0)</f>
        <v>4716</v>
      </c>
      <c r="I164" s="1"/>
      <c r="J164" s="5">
        <f t="shared" ref="J164:J178" si="82">IF(H$12=0,0,H164/H$12)</f>
        <v>1.0039040713887339E-2</v>
      </c>
      <c r="K164" s="1"/>
      <c r="L164" s="1">
        <f t="shared" ref="L164:L178" si="83">+D164-H164</f>
        <v>-427.72000000000025</v>
      </c>
      <c r="M164" s="1"/>
      <c r="N164" s="5">
        <f t="shared" ref="N164:N178" si="84">IF(H164=0,0,L164/H164)</f>
        <v>-9.0695504664970367E-2</v>
      </c>
      <c r="O164" s="14"/>
      <c r="P164" s="1">
        <f>SUM(OSRRefP22_12x_0)</f>
        <v>17153.12</v>
      </c>
      <c r="Q164" s="1"/>
      <c r="R164" s="5">
        <f t="shared" ref="R164:R178" si="85">IF(P$12=0,0,P164/P$12)</f>
        <v>7.2787676319995571E-3</v>
      </c>
      <c r="S164" s="1"/>
      <c r="T164" s="1">
        <f>SUM(OSRRefT22_12x_0)</f>
        <v>18864</v>
      </c>
      <c r="U164" s="1"/>
      <c r="V164" s="5">
        <f t="shared" ref="V164:V178" si="86">IF(T$12=0,0,T164/T$12)</f>
        <v>4.5909974686723564E-3</v>
      </c>
      <c r="W164" s="1"/>
      <c r="X164" s="1">
        <f t="shared" ref="X164:X178" si="87">+P164-T164</f>
        <v>-1710.880000000001</v>
      </c>
      <c r="Y164" s="1"/>
      <c r="Z164" s="5">
        <f t="shared" ref="Z164:Z178" si="88">IF(T164=0,0,X164/T164)</f>
        <v>-9.0695504664970367E-2</v>
      </c>
    </row>
    <row r="165" spans="1:26" s="24" customFormat="1" hidden="1" outlineLevel="2" x14ac:dyDescent="0.25">
      <c r="A165" s="28"/>
      <c r="B165" s="11" t="str">
        <f>CONCATENATE("          ", "6314", " - ", "LIABILITY INSURANCE")</f>
        <v xml:space="preserve">          6314 - LIABILITY INSURANCE</v>
      </c>
      <c r="C165" s="11"/>
      <c r="D165" s="7">
        <v>4288.28</v>
      </c>
      <c r="E165" s="2"/>
      <c r="F165" s="6">
        <f t="shared" si="81"/>
        <v>2.6783498719591261E-2</v>
      </c>
      <c r="G165" s="2"/>
      <c r="H165" s="7">
        <v>4716</v>
      </c>
      <c r="I165" s="2"/>
      <c r="J165" s="6">
        <f t="shared" si="82"/>
        <v>1.0039040713887339E-2</v>
      </c>
      <c r="K165" s="2"/>
      <c r="L165" s="7">
        <f t="shared" si="83"/>
        <v>-427.72000000000025</v>
      </c>
      <c r="M165" s="2"/>
      <c r="N165" s="6">
        <f t="shared" si="84"/>
        <v>-9.0695504664970367E-2</v>
      </c>
      <c r="O165" s="11"/>
      <c r="P165" s="7">
        <v>17153.12</v>
      </c>
      <c r="Q165" s="2"/>
      <c r="R165" s="6">
        <f t="shared" si="85"/>
        <v>7.2787676319995571E-3</v>
      </c>
      <c r="S165" s="2"/>
      <c r="T165" s="7">
        <v>18864</v>
      </c>
      <c r="U165" s="2"/>
      <c r="V165" s="6">
        <f t="shared" si="86"/>
        <v>4.5909974686723564E-3</v>
      </c>
      <c r="W165" s="2"/>
      <c r="X165" s="7">
        <f t="shared" si="87"/>
        <v>-1710.880000000001</v>
      </c>
      <c r="Y165" s="2"/>
      <c r="Z165" s="6">
        <f t="shared" si="88"/>
        <v>-9.0695504664970367E-2</v>
      </c>
    </row>
    <row r="166" spans="1:26" s="27" customFormat="1" outlineLevel="1" collapsed="1" x14ac:dyDescent="0.25">
      <c r="A166" s="29"/>
      <c r="B166" s="14" t="str">
        <f>CONCATENATE("     ","Interest                                          ")</f>
        <v xml:space="preserve">     Interest                                          </v>
      </c>
      <c r="C166" s="14"/>
      <c r="D166" s="1">
        <f>SUM(OSRRefD22_13x_0)</f>
        <v>3781.85</v>
      </c>
      <c r="E166" s="1"/>
      <c r="F166" s="5">
        <f t="shared" si="81"/>
        <v>2.3620466628271993E-2</v>
      </c>
      <c r="G166" s="1"/>
      <c r="H166" s="1">
        <f>SUM(OSRRefH22_13x_0)</f>
        <v>4044</v>
      </c>
      <c r="I166" s="1"/>
      <c r="J166" s="5">
        <f t="shared" si="82"/>
        <v>8.6085412737405432E-3</v>
      </c>
      <c r="K166" s="1"/>
      <c r="L166" s="1">
        <f t="shared" si="83"/>
        <v>-262.15000000000009</v>
      </c>
      <c r="M166" s="1"/>
      <c r="N166" s="5">
        <f t="shared" si="84"/>
        <v>-6.4824431256182022E-2</v>
      </c>
      <c r="O166" s="14"/>
      <c r="P166" s="1">
        <f>SUM(OSRRefP22_13x_0)</f>
        <v>15913.849999999999</v>
      </c>
      <c r="Q166" s="1"/>
      <c r="R166" s="5">
        <f t="shared" si="85"/>
        <v>6.752894883292144E-3</v>
      </c>
      <c r="S166" s="1"/>
      <c r="T166" s="1">
        <f>SUM(OSRRefT22_13x_0)</f>
        <v>16176</v>
      </c>
      <c r="U166" s="1"/>
      <c r="V166" s="5">
        <f t="shared" si="86"/>
        <v>3.9368095342050486E-3</v>
      </c>
      <c r="W166" s="1"/>
      <c r="X166" s="1">
        <f t="shared" si="87"/>
        <v>-262.15000000000146</v>
      </c>
      <c r="Y166" s="1"/>
      <c r="Z166" s="5">
        <f t="shared" si="88"/>
        <v>-1.6206107814045589E-2</v>
      </c>
    </row>
    <row r="167" spans="1:26" s="24" customFormat="1" hidden="1" outlineLevel="2" x14ac:dyDescent="0.25">
      <c r="A167" s="28"/>
      <c r="B167" s="11" t="str">
        <f>CONCATENATE("          ", "6401", " - ", "INTEREST EXPENSE")</f>
        <v xml:space="preserve">          6401 - INTEREST EXPENSE</v>
      </c>
      <c r="C167" s="11"/>
      <c r="D167" s="7">
        <v>3781.85</v>
      </c>
      <c r="E167" s="2"/>
      <c r="F167" s="6">
        <f t="shared" si="81"/>
        <v>2.3620466628271993E-2</v>
      </c>
      <c r="G167" s="2"/>
      <c r="H167" s="7">
        <v>4044</v>
      </c>
      <c r="I167" s="2"/>
      <c r="J167" s="6">
        <f t="shared" si="82"/>
        <v>8.6085412737405432E-3</v>
      </c>
      <c r="K167" s="2"/>
      <c r="L167" s="7">
        <f t="shared" si="83"/>
        <v>-262.15000000000009</v>
      </c>
      <c r="M167" s="2"/>
      <c r="N167" s="6">
        <f t="shared" si="84"/>
        <v>-6.4824431256182022E-2</v>
      </c>
      <c r="O167" s="11"/>
      <c r="P167" s="7">
        <v>15913.849999999999</v>
      </c>
      <c r="Q167" s="2"/>
      <c r="R167" s="6">
        <f t="shared" si="85"/>
        <v>6.752894883292144E-3</v>
      </c>
      <c r="S167" s="2"/>
      <c r="T167" s="7">
        <v>16176</v>
      </c>
      <c r="U167" s="2"/>
      <c r="V167" s="6">
        <f t="shared" si="86"/>
        <v>3.9368095342050486E-3</v>
      </c>
      <c r="W167" s="2"/>
      <c r="X167" s="7">
        <f t="shared" si="87"/>
        <v>-262.15000000000146</v>
      </c>
      <c r="Y167" s="2"/>
      <c r="Z167" s="6">
        <f t="shared" si="88"/>
        <v>-1.6206107814045589E-2</v>
      </c>
    </row>
    <row r="168" spans="1:26" s="27" customFormat="1" outlineLevel="1" collapsed="1" x14ac:dyDescent="0.25">
      <c r="A168" s="29"/>
      <c r="B168" s="14" t="str">
        <f>CONCATENATE("     ","Inventory Adjustment                              ")</f>
        <v xml:space="preserve">     Inventory Adjustment                              </v>
      </c>
      <c r="C168" s="14"/>
      <c r="D168" s="1">
        <f>SUM(OSRRefD22_14x_0)</f>
        <v>2100</v>
      </c>
      <c r="E168" s="1"/>
      <c r="F168" s="5">
        <f t="shared" si="81"/>
        <v>1.3116062223348674E-2</v>
      </c>
      <c r="G168" s="1"/>
      <c r="H168" s="1">
        <f>SUM(OSRRefH22_14x_0)</f>
        <v>3100</v>
      </c>
      <c r="I168" s="1"/>
      <c r="J168" s="5">
        <f t="shared" si="82"/>
        <v>6.5990301554390909E-3</v>
      </c>
      <c r="K168" s="1"/>
      <c r="L168" s="1">
        <f t="shared" si="83"/>
        <v>-1000</v>
      </c>
      <c r="M168" s="1"/>
      <c r="N168" s="5">
        <f t="shared" si="84"/>
        <v>-0.32258064516129031</v>
      </c>
      <c r="O168" s="14"/>
      <c r="P168" s="1">
        <f>SUM(OSRRefP22_14x_0)</f>
        <v>8400</v>
      </c>
      <c r="Q168" s="1"/>
      <c r="R168" s="5">
        <f t="shared" si="85"/>
        <v>3.5644622149670893E-3</v>
      </c>
      <c r="S168" s="1"/>
      <c r="T168" s="1">
        <f>SUM(OSRRefT22_14x_0)</f>
        <v>12400</v>
      </c>
      <c r="U168" s="1"/>
      <c r="V168" s="5">
        <f t="shared" si="86"/>
        <v>3.0178312453104971E-3</v>
      </c>
      <c r="W168" s="1"/>
      <c r="X168" s="1">
        <f t="shared" si="87"/>
        <v>-4000</v>
      </c>
      <c r="Y168" s="1"/>
      <c r="Z168" s="5">
        <f t="shared" si="88"/>
        <v>-0.32258064516129031</v>
      </c>
    </row>
    <row r="169" spans="1:26" s="24" customFormat="1" hidden="1" outlineLevel="2" x14ac:dyDescent="0.25">
      <c r="A169" s="28"/>
      <c r="B169" s="11" t="str">
        <f>CONCATENATE("          ", "6408", " - ", "INVENTORY ADJUSTMENT")</f>
        <v xml:space="preserve">          6408 - INVENTORY ADJUSTMENT</v>
      </c>
      <c r="C169" s="11"/>
      <c r="D169" s="7">
        <v>2100</v>
      </c>
      <c r="E169" s="2"/>
      <c r="F169" s="6">
        <f t="shared" si="81"/>
        <v>1.3116062223348674E-2</v>
      </c>
      <c r="G169" s="2"/>
      <c r="H169" s="7">
        <v>3100</v>
      </c>
      <c r="I169" s="2"/>
      <c r="J169" s="6">
        <f t="shared" si="82"/>
        <v>6.5990301554390909E-3</v>
      </c>
      <c r="K169" s="2"/>
      <c r="L169" s="7">
        <f t="shared" si="83"/>
        <v>-1000</v>
      </c>
      <c r="M169" s="2"/>
      <c r="N169" s="6">
        <f t="shared" si="84"/>
        <v>-0.32258064516129031</v>
      </c>
      <c r="O169" s="11"/>
      <c r="P169" s="7">
        <v>8400</v>
      </c>
      <c r="Q169" s="2"/>
      <c r="R169" s="6">
        <f t="shared" si="85"/>
        <v>3.5644622149670893E-3</v>
      </c>
      <c r="S169" s="2"/>
      <c r="T169" s="7">
        <v>12400</v>
      </c>
      <c r="U169" s="2"/>
      <c r="V169" s="6">
        <f t="shared" si="86"/>
        <v>3.0178312453104971E-3</v>
      </c>
      <c r="W169" s="2"/>
      <c r="X169" s="7">
        <f t="shared" si="87"/>
        <v>-4000</v>
      </c>
      <c r="Y169" s="2"/>
      <c r="Z169" s="6">
        <f t="shared" si="88"/>
        <v>-0.32258064516129031</v>
      </c>
    </row>
    <row r="170" spans="1:26" s="27" customFormat="1" outlineLevel="1" collapsed="1" x14ac:dyDescent="0.25">
      <c r="A170" s="29"/>
      <c r="B170" s="14" t="str">
        <f>CONCATENATE("     ","Professional Services                             ")</f>
        <v xml:space="preserve">     Professional Services                             </v>
      </c>
      <c r="C170" s="14"/>
      <c r="D170" s="1">
        <f>SUM(OSRRefD22_15x_0)</f>
        <v>0</v>
      </c>
      <c r="E170" s="1"/>
      <c r="F170" s="5">
        <f t="shared" si="81"/>
        <v>0</v>
      </c>
      <c r="G170" s="1"/>
      <c r="H170" s="1">
        <f>SUM(OSRRefH22_15x_0)</f>
        <v>250</v>
      </c>
      <c r="I170" s="1"/>
      <c r="J170" s="5">
        <f t="shared" si="82"/>
        <v>5.3217985124508801E-4</v>
      </c>
      <c r="K170" s="1"/>
      <c r="L170" s="1">
        <f t="shared" si="83"/>
        <v>-250</v>
      </c>
      <c r="M170" s="1"/>
      <c r="N170" s="5">
        <f t="shared" si="84"/>
        <v>-1</v>
      </c>
      <c r="O170" s="14"/>
      <c r="P170" s="1">
        <f>SUM(OSRRefP22_15x_0)</f>
        <v>0</v>
      </c>
      <c r="Q170" s="1"/>
      <c r="R170" s="5">
        <f t="shared" si="85"/>
        <v>0</v>
      </c>
      <c r="S170" s="1"/>
      <c r="T170" s="1">
        <f>SUM(OSRRefT22_15x_0)</f>
        <v>6800</v>
      </c>
      <c r="U170" s="1"/>
      <c r="V170" s="5">
        <f t="shared" si="86"/>
        <v>1.6549397151702726E-3</v>
      </c>
      <c r="W170" s="1"/>
      <c r="X170" s="1">
        <f t="shared" si="87"/>
        <v>-6800</v>
      </c>
      <c r="Y170" s="1"/>
      <c r="Z170" s="5">
        <f t="shared" si="88"/>
        <v>-1</v>
      </c>
    </row>
    <row r="171" spans="1:26" s="24" customFormat="1" hidden="1" outlineLevel="2" x14ac:dyDescent="0.25">
      <c r="A171" s="28"/>
      <c r="B171" s="11" t="str">
        <f>CONCATENATE("          ", "6336", " - ", "PROFESSIONAL SERVICES")</f>
        <v xml:space="preserve">          6336 - PROFESSIONAL SERVICES</v>
      </c>
      <c r="C171" s="11"/>
      <c r="D171" s="7"/>
      <c r="E171" s="2"/>
      <c r="F171" s="6">
        <f t="shared" si="81"/>
        <v>0</v>
      </c>
      <c r="G171" s="2"/>
      <c r="H171" s="7">
        <v>250</v>
      </c>
      <c r="I171" s="2"/>
      <c r="J171" s="6">
        <f t="shared" si="82"/>
        <v>5.3217985124508801E-4</v>
      </c>
      <c r="K171" s="2"/>
      <c r="L171" s="7">
        <f t="shared" si="83"/>
        <v>-250</v>
      </c>
      <c r="M171" s="2"/>
      <c r="N171" s="6">
        <f t="shared" si="84"/>
        <v>-1</v>
      </c>
      <c r="O171" s="11"/>
      <c r="P171" s="7"/>
      <c r="Q171" s="2"/>
      <c r="R171" s="6">
        <f t="shared" si="85"/>
        <v>0</v>
      </c>
      <c r="S171" s="2"/>
      <c r="T171" s="7">
        <v>6800</v>
      </c>
      <c r="U171" s="2"/>
      <c r="V171" s="6">
        <f t="shared" si="86"/>
        <v>1.6549397151702726E-3</v>
      </c>
      <c r="W171" s="2"/>
      <c r="X171" s="7">
        <f t="shared" si="87"/>
        <v>-6800</v>
      </c>
      <c r="Y171" s="2"/>
      <c r="Z171" s="6">
        <f t="shared" si="88"/>
        <v>-1</v>
      </c>
    </row>
    <row r="172" spans="1:26" s="27" customFormat="1" outlineLevel="1" collapsed="1" x14ac:dyDescent="0.25">
      <c r="A172" s="29"/>
      <c r="B172" s="14" t="str">
        <f>CONCATENATE("     ","Rent                                              ")</f>
        <v xml:space="preserve">     Rent                                              </v>
      </c>
      <c r="C172" s="14"/>
      <c r="D172" s="1">
        <f>SUM(OSRRefD22_16x_0)</f>
        <v>6100</v>
      </c>
      <c r="E172" s="1"/>
      <c r="F172" s="5">
        <f t="shared" si="81"/>
        <v>3.8099037886869962E-2</v>
      </c>
      <c r="G172" s="1"/>
      <c r="H172" s="1">
        <f>SUM(OSRRefH22_16x_0)</f>
        <v>6100</v>
      </c>
      <c r="I172" s="1"/>
      <c r="J172" s="5">
        <f t="shared" si="82"/>
        <v>1.2985188370380147E-2</v>
      </c>
      <c r="K172" s="1"/>
      <c r="L172" s="1">
        <f t="shared" si="83"/>
        <v>0</v>
      </c>
      <c r="M172" s="1"/>
      <c r="N172" s="5">
        <f t="shared" si="84"/>
        <v>0</v>
      </c>
      <c r="O172" s="14"/>
      <c r="P172" s="1">
        <f>SUM(OSRRefP22_16x_0)</f>
        <v>24400</v>
      </c>
      <c r="Q172" s="1"/>
      <c r="R172" s="5">
        <f t="shared" si="85"/>
        <v>1.0353914052999642E-2</v>
      </c>
      <c r="S172" s="1"/>
      <c r="T172" s="1">
        <f>SUM(OSRRefT22_16x_0)</f>
        <v>24401</v>
      </c>
      <c r="U172" s="1"/>
      <c r="V172" s="5">
        <f t="shared" si="86"/>
        <v>5.9385564690985033E-3</v>
      </c>
      <c r="W172" s="1"/>
      <c r="X172" s="1">
        <f t="shared" si="87"/>
        <v>-1</v>
      </c>
      <c r="Y172" s="1"/>
      <c r="Z172" s="5">
        <f t="shared" si="88"/>
        <v>-4.098192697020614E-5</v>
      </c>
    </row>
    <row r="173" spans="1:26" s="24" customFormat="1" hidden="1" outlineLevel="2" x14ac:dyDescent="0.25">
      <c r="A173" s="28"/>
      <c r="B173" s="11" t="str">
        <f>CONCATENATE("          ", "6273", " - ", "RENT")</f>
        <v xml:space="preserve">          6273 - RENT</v>
      </c>
      <c r="C173" s="11"/>
      <c r="D173" s="7">
        <v>6100</v>
      </c>
      <c r="E173" s="2"/>
      <c r="F173" s="6">
        <f t="shared" si="81"/>
        <v>3.8099037886869962E-2</v>
      </c>
      <c r="G173" s="2"/>
      <c r="H173" s="7">
        <v>6100</v>
      </c>
      <c r="I173" s="2"/>
      <c r="J173" s="6">
        <f t="shared" si="82"/>
        <v>1.2985188370380147E-2</v>
      </c>
      <c r="K173" s="2"/>
      <c r="L173" s="7">
        <f t="shared" si="83"/>
        <v>0</v>
      </c>
      <c r="M173" s="2"/>
      <c r="N173" s="6">
        <f t="shared" si="84"/>
        <v>0</v>
      </c>
      <c r="O173" s="11"/>
      <c r="P173" s="7">
        <v>24400</v>
      </c>
      <c r="Q173" s="2"/>
      <c r="R173" s="6">
        <f t="shared" si="85"/>
        <v>1.0353914052999642E-2</v>
      </c>
      <c r="S173" s="2"/>
      <c r="T173" s="7">
        <v>24401</v>
      </c>
      <c r="U173" s="2"/>
      <c r="V173" s="6">
        <f t="shared" si="86"/>
        <v>5.9385564690985033E-3</v>
      </c>
      <c r="W173" s="2"/>
      <c r="X173" s="7">
        <f t="shared" si="87"/>
        <v>-1</v>
      </c>
      <c r="Y173" s="2"/>
      <c r="Z173" s="6">
        <f t="shared" si="88"/>
        <v>-4.098192697020614E-5</v>
      </c>
    </row>
    <row r="174" spans="1:26" s="27" customFormat="1" outlineLevel="1" collapsed="1" x14ac:dyDescent="0.25">
      <c r="A174" s="29"/>
      <c r="B174" s="14" t="str">
        <f>CONCATENATE("     ","Repair and Maintenance                            ")</f>
        <v xml:space="preserve">     Repair and Maintenance                            </v>
      </c>
      <c r="C174" s="14"/>
      <c r="D174" s="1">
        <f>SUM(OSRRefD22_17x_0)</f>
        <v>11574.119999999999</v>
      </c>
      <c r="E174" s="1"/>
      <c r="F174" s="5">
        <f t="shared" si="81"/>
        <v>7.2288989571668738E-2</v>
      </c>
      <c r="G174" s="1"/>
      <c r="H174" s="1">
        <f>SUM(OSRRefH22_17x_0)</f>
        <v>19028</v>
      </c>
      <c r="I174" s="1"/>
      <c r="J174" s="5">
        <f t="shared" si="82"/>
        <v>4.0505272837966136E-2</v>
      </c>
      <c r="K174" s="1"/>
      <c r="L174" s="1">
        <f t="shared" si="83"/>
        <v>-7453.880000000001</v>
      </c>
      <c r="M174" s="1"/>
      <c r="N174" s="5">
        <f t="shared" si="84"/>
        <v>-0.3917321841496742</v>
      </c>
      <c r="O174" s="14"/>
      <c r="P174" s="1">
        <f>SUM(OSRRefP22_17x_0)</f>
        <v>99053.099999999991</v>
      </c>
      <c r="Q174" s="1"/>
      <c r="R174" s="5">
        <f t="shared" si="85"/>
        <v>4.2032265741113878E-2</v>
      </c>
      <c r="S174" s="1"/>
      <c r="T174" s="1">
        <f>SUM(OSRRefT22_17x_0)</f>
        <v>104957</v>
      </c>
      <c r="U174" s="1"/>
      <c r="V174" s="5">
        <f t="shared" si="86"/>
        <v>2.5543751130165632E-2</v>
      </c>
      <c r="W174" s="1"/>
      <c r="X174" s="1">
        <f t="shared" si="87"/>
        <v>-5903.9000000000087</v>
      </c>
      <c r="Y174" s="1"/>
      <c r="Z174" s="5">
        <f t="shared" si="88"/>
        <v>-5.6250655030155292E-2</v>
      </c>
    </row>
    <row r="175" spans="1:26" s="24" customFormat="1" hidden="1" outlineLevel="2" x14ac:dyDescent="0.25">
      <c r="A175" s="28"/>
      <c r="B175" s="11" t="str">
        <f>CONCATENATE("          ", "6371", " - ", "COMPUTER SOFTWARE MAINTENANCE")</f>
        <v xml:space="preserve">          6371 - COMPUTER SOFTWARE MAINTENANCE</v>
      </c>
      <c r="C175" s="11"/>
      <c r="D175" s="7">
        <v>7.69</v>
      </c>
      <c r="E175" s="2"/>
      <c r="F175" s="6">
        <f t="shared" si="81"/>
        <v>4.8029770713119671E-5</v>
      </c>
      <c r="G175" s="2"/>
      <c r="H175" s="7"/>
      <c r="I175" s="2"/>
      <c r="J175" s="6">
        <f t="shared" si="82"/>
        <v>0</v>
      </c>
      <c r="K175" s="2"/>
      <c r="L175" s="7">
        <f t="shared" si="83"/>
        <v>7.69</v>
      </c>
      <c r="M175" s="2"/>
      <c r="N175" s="6">
        <f t="shared" si="84"/>
        <v>0</v>
      </c>
      <c r="O175" s="11"/>
      <c r="P175" s="7">
        <v>58436.47</v>
      </c>
      <c r="Q175" s="2"/>
      <c r="R175" s="6">
        <f t="shared" si="85"/>
        <v>2.4796974915602128E-2</v>
      </c>
      <c r="S175" s="2"/>
      <c r="T175" s="7">
        <v>45043</v>
      </c>
      <c r="U175" s="2"/>
      <c r="V175" s="6">
        <f t="shared" si="86"/>
        <v>1.0962271998590381E-2</v>
      </c>
      <c r="W175" s="2"/>
      <c r="X175" s="7">
        <f t="shared" si="87"/>
        <v>13393.470000000001</v>
      </c>
      <c r="Y175" s="2"/>
      <c r="Z175" s="6">
        <f t="shared" si="88"/>
        <v>0.2973485336234265</v>
      </c>
    </row>
    <row r="176" spans="1:26" s="24" customFormat="1" hidden="1" outlineLevel="2" x14ac:dyDescent="0.25">
      <c r="A176" s="28"/>
      <c r="B176" s="11" t="str">
        <f>CONCATENATE("          ", "6372", " - ", "COMPUTER HARDWARE MAINTENANCE")</f>
        <v xml:space="preserve">          6372 - COMPUTER HARDWARE MAINTENANCE</v>
      </c>
      <c r="C176" s="11"/>
      <c r="D176" s="7">
        <v>8.11</v>
      </c>
      <c r="E176" s="2"/>
      <c r="F176" s="6">
        <f t="shared" si="81"/>
        <v>5.0652983157789402E-5</v>
      </c>
      <c r="G176" s="2"/>
      <c r="H176" s="7"/>
      <c r="I176" s="2"/>
      <c r="J176" s="6">
        <f t="shared" si="82"/>
        <v>0</v>
      </c>
      <c r="K176" s="2"/>
      <c r="L176" s="7">
        <f t="shared" si="83"/>
        <v>8.11</v>
      </c>
      <c r="M176" s="2"/>
      <c r="N176" s="6">
        <f t="shared" si="84"/>
        <v>0</v>
      </c>
      <c r="O176" s="11"/>
      <c r="P176" s="7">
        <v>0</v>
      </c>
      <c r="Q176" s="2"/>
      <c r="R176" s="6">
        <f t="shared" si="85"/>
        <v>0</v>
      </c>
      <c r="S176" s="2"/>
      <c r="T176" s="7">
        <v>437</v>
      </c>
      <c r="U176" s="2"/>
      <c r="V176" s="6">
        <f t="shared" si="86"/>
        <v>1.0635421404844252E-4</v>
      </c>
      <c r="W176" s="2"/>
      <c r="X176" s="7">
        <f t="shared" si="87"/>
        <v>-437</v>
      </c>
      <c r="Y176" s="2"/>
      <c r="Z176" s="6">
        <f t="shared" si="88"/>
        <v>-1</v>
      </c>
    </row>
    <row r="177" spans="1:26" s="24" customFormat="1" hidden="1" outlineLevel="2" x14ac:dyDescent="0.25">
      <c r="A177" s="28"/>
      <c r="B177" s="11" t="str">
        <f>CONCATENATE("          ", "6373", " - ", "MAINTENANCE CONTRACTS")</f>
        <v xml:space="preserve">          6373 - MAINTENANCE CONTRACTS</v>
      </c>
      <c r="C177" s="11"/>
      <c r="D177" s="7">
        <v>5396.67</v>
      </c>
      <c r="E177" s="2"/>
      <c r="F177" s="6">
        <f t="shared" si="81"/>
        <v>3.3706218818513857E-2</v>
      </c>
      <c r="G177" s="2"/>
      <c r="H177" s="7">
        <v>10143</v>
      </c>
      <c r="I177" s="2"/>
      <c r="J177" s="6">
        <f t="shared" si="82"/>
        <v>2.1591600924715709E-2</v>
      </c>
      <c r="K177" s="2"/>
      <c r="L177" s="7">
        <f t="shared" si="83"/>
        <v>-4746.33</v>
      </c>
      <c r="M177" s="2"/>
      <c r="N177" s="6">
        <f t="shared" si="84"/>
        <v>-0.46794143744454303</v>
      </c>
      <c r="O177" s="11"/>
      <c r="P177" s="7">
        <v>31240.870000000003</v>
      </c>
      <c r="Q177" s="2"/>
      <c r="R177" s="6">
        <f t="shared" si="85"/>
        <v>1.325677389020225E-2</v>
      </c>
      <c r="S177" s="2"/>
      <c r="T177" s="7">
        <v>24563</v>
      </c>
      <c r="U177" s="2"/>
      <c r="V177" s="6">
        <f t="shared" si="86"/>
        <v>5.9779829740775597E-3</v>
      </c>
      <c r="W177" s="2"/>
      <c r="X177" s="7">
        <f t="shared" si="87"/>
        <v>6677.8700000000026</v>
      </c>
      <c r="Y177" s="2"/>
      <c r="Z177" s="6">
        <f t="shared" si="88"/>
        <v>0.27186703578553117</v>
      </c>
    </row>
    <row r="178" spans="1:26" s="24" customFormat="1" hidden="1" outlineLevel="2" x14ac:dyDescent="0.25">
      <c r="A178" s="28"/>
      <c r="B178" s="11" t="str">
        <f>CONCATENATE("          ", "6375", " - ", "OUTSIDE REPAIRS &amp; MAINTENANCE")</f>
        <v xml:space="preserve">          6375 - OUTSIDE REPAIRS &amp; MAINTENANCE</v>
      </c>
      <c r="C178" s="11"/>
      <c r="D178" s="7">
        <v>6161.65</v>
      </c>
      <c r="E178" s="2"/>
      <c r="F178" s="6">
        <f t="shared" si="81"/>
        <v>3.8484087999283982E-2</v>
      </c>
      <c r="G178" s="2"/>
      <c r="H178" s="7">
        <v>8885</v>
      </c>
      <c r="I178" s="2"/>
      <c r="J178" s="6">
        <f t="shared" si="82"/>
        <v>1.8913671913250427E-2</v>
      </c>
      <c r="K178" s="2"/>
      <c r="L178" s="7">
        <f t="shared" si="83"/>
        <v>-2723.3500000000004</v>
      </c>
      <c r="M178" s="2"/>
      <c r="N178" s="6">
        <f t="shared" si="84"/>
        <v>-0.30651097355092854</v>
      </c>
      <c r="O178" s="11"/>
      <c r="P178" s="7">
        <v>9375.76</v>
      </c>
      <c r="Q178" s="2"/>
      <c r="R178" s="6">
        <f t="shared" si="85"/>
        <v>3.9785169353095048E-3</v>
      </c>
      <c r="S178" s="2"/>
      <c r="T178" s="7">
        <v>34914</v>
      </c>
      <c r="U178" s="2"/>
      <c r="V178" s="6">
        <f t="shared" si="86"/>
        <v>8.497141943449249E-3</v>
      </c>
      <c r="W178" s="2"/>
      <c r="X178" s="7">
        <f t="shared" si="87"/>
        <v>-25538.239999999998</v>
      </c>
      <c r="Y178" s="2"/>
      <c r="Z178" s="6">
        <f t="shared" si="88"/>
        <v>-0.73146130492066219</v>
      </c>
    </row>
    <row r="179" spans="1:26" s="27" customFormat="1" outlineLevel="1" collapsed="1" x14ac:dyDescent="0.25">
      <c r="A179" s="29"/>
      <c r="B179" s="14" t="str">
        <f>CONCATENATE("     ","Royalty &amp; Commissions                             ")</f>
        <v xml:space="preserve">     Royalty &amp; Commissions                             </v>
      </c>
      <c r="C179" s="14"/>
      <c r="D179" s="1">
        <f>SUM(OSRRefD22_18x_0)</f>
        <v>10995.7</v>
      </c>
      <c r="E179" s="1"/>
      <c r="F179" s="5">
        <f t="shared" ref="F179:F183" si="89">IF(D$12=0,0,D179/D$12)</f>
        <v>6.8676326375845254E-2</v>
      </c>
      <c r="G179" s="1"/>
      <c r="H179" s="1">
        <f>SUM(OSRRefH22_18x_0)</f>
        <v>8279</v>
      </c>
      <c r="I179" s="1"/>
      <c r="J179" s="5">
        <f t="shared" ref="J179:J183" si="90">IF(H$12=0,0,H179/H$12)</f>
        <v>1.7623667953832335E-2</v>
      </c>
      <c r="K179" s="1"/>
      <c r="L179" s="1">
        <f t="shared" ref="L179:L183" si="91">+D179-H179</f>
        <v>2716.7000000000007</v>
      </c>
      <c r="M179" s="1"/>
      <c r="N179" s="5">
        <f t="shared" ref="N179:N183" si="92">IF(H179=0,0,L179/H179)</f>
        <v>0.32814349559125505</v>
      </c>
      <c r="O179" s="14"/>
      <c r="P179" s="1">
        <f>SUM(OSRRefP22_18x_0)</f>
        <v>24302.7</v>
      </c>
      <c r="Q179" s="1"/>
      <c r="R179" s="5">
        <f t="shared" ref="R179:R183" si="93">IF(P$12=0,0,P179/P$12)</f>
        <v>1.0312625699009606E-2</v>
      </c>
      <c r="S179" s="1"/>
      <c r="T179" s="1">
        <f>SUM(OSRRefT22_18x_0)</f>
        <v>29729</v>
      </c>
      <c r="U179" s="1"/>
      <c r="V179" s="5">
        <f t="shared" ref="V179:V183" si="94">IF(T$12=0,0,T179/T$12)</f>
        <v>7.2352504106319169E-3</v>
      </c>
      <c r="W179" s="1"/>
      <c r="X179" s="1">
        <f t="shared" ref="X179:X183" si="95">+P179-T179</f>
        <v>-5426.2999999999993</v>
      </c>
      <c r="Y179" s="1"/>
      <c r="Z179" s="5">
        <f t="shared" ref="Z179:Z183" si="96">IF(T179=0,0,X179/T179)</f>
        <v>-0.18252548017087689</v>
      </c>
    </row>
    <row r="180" spans="1:26" s="24" customFormat="1" hidden="1" outlineLevel="2" x14ac:dyDescent="0.25">
      <c r="A180" s="28"/>
      <c r="B180" s="11" t="str">
        <f>CONCATENATE("          ", "6252", " - ", "ROYALTY DUE CSTV")</f>
        <v xml:space="preserve">          6252 - ROYALTY DUE CSTV</v>
      </c>
      <c r="C180" s="11"/>
      <c r="D180" s="7"/>
      <c r="E180" s="2"/>
      <c r="F180" s="6">
        <f t="shared" si="89"/>
        <v>0</v>
      </c>
      <c r="G180" s="2"/>
      <c r="H180" s="7">
        <v>1085</v>
      </c>
      <c r="I180" s="2"/>
      <c r="J180" s="6">
        <f t="shared" si="90"/>
        <v>2.3096605544036817E-3</v>
      </c>
      <c r="K180" s="2"/>
      <c r="L180" s="7">
        <f t="shared" si="91"/>
        <v>-1085</v>
      </c>
      <c r="M180" s="2"/>
      <c r="N180" s="6">
        <f t="shared" si="92"/>
        <v>-1</v>
      </c>
      <c r="O180" s="11"/>
      <c r="P180" s="7"/>
      <c r="Q180" s="2"/>
      <c r="R180" s="6">
        <f t="shared" si="93"/>
        <v>0</v>
      </c>
      <c r="S180" s="2"/>
      <c r="T180" s="7">
        <v>4340</v>
      </c>
      <c r="U180" s="2"/>
      <c r="V180" s="6">
        <f t="shared" si="94"/>
        <v>1.0562409358586739E-3</v>
      </c>
      <c r="W180" s="2"/>
      <c r="X180" s="7">
        <f t="shared" si="95"/>
        <v>-4340</v>
      </c>
      <c r="Y180" s="2"/>
      <c r="Z180" s="6">
        <f t="shared" si="96"/>
        <v>-1</v>
      </c>
    </row>
    <row r="181" spans="1:26" s="24" customFormat="1" hidden="1" outlineLevel="2" x14ac:dyDescent="0.25">
      <c r="A181" s="28"/>
      <c r="B181" s="11" t="str">
        <f>CONCATENATE("          ", "6253", " - ", "ROYALTY DUE ATHLETICS-LRG")</f>
        <v xml:space="preserve">          6253 - ROYALTY DUE ATHLETICS-LRG</v>
      </c>
      <c r="C181" s="11"/>
      <c r="D181" s="7">
        <v>10489.6</v>
      </c>
      <c r="E181" s="2"/>
      <c r="F181" s="6">
        <f t="shared" si="89"/>
        <v>6.5515355380018223E-2</v>
      </c>
      <c r="G181" s="2"/>
      <c r="H181" s="7">
        <v>4037</v>
      </c>
      <c r="I181" s="2"/>
      <c r="J181" s="6">
        <f t="shared" si="90"/>
        <v>8.5936402379056809E-3</v>
      </c>
      <c r="K181" s="2"/>
      <c r="L181" s="7">
        <f t="shared" si="91"/>
        <v>6452.6</v>
      </c>
      <c r="M181" s="2"/>
      <c r="N181" s="6">
        <f t="shared" si="92"/>
        <v>1.598365122615804</v>
      </c>
      <c r="O181" s="11"/>
      <c r="P181" s="7">
        <v>18411.8</v>
      </c>
      <c r="Q181" s="2"/>
      <c r="R181" s="6">
        <f t="shared" si="93"/>
        <v>7.8128768344679824E-3</v>
      </c>
      <c r="S181" s="2"/>
      <c r="T181" s="7">
        <v>16148</v>
      </c>
      <c r="U181" s="2"/>
      <c r="V181" s="6">
        <f t="shared" si="94"/>
        <v>3.9299950765543474E-3</v>
      </c>
      <c r="W181" s="2"/>
      <c r="X181" s="7">
        <f t="shared" si="95"/>
        <v>2263.7999999999993</v>
      </c>
      <c r="Y181" s="2"/>
      <c r="Z181" s="6">
        <f t="shared" si="96"/>
        <v>0.14019073569482285</v>
      </c>
    </row>
    <row r="182" spans="1:26" s="24" customFormat="1" hidden="1" outlineLevel="2" x14ac:dyDescent="0.25">
      <c r="A182" s="28"/>
      <c r="B182" s="11" t="str">
        <f>CONCATENATE("          ", "6254", " - ", "ROYALTY &amp; COMMISSIONS")</f>
        <v xml:space="preserve">          6254 - ROYALTY &amp; COMMISSIONS</v>
      </c>
      <c r="C182" s="11"/>
      <c r="D182" s="7">
        <v>185.7</v>
      </c>
      <c r="E182" s="2"/>
      <c r="F182" s="6">
        <f t="shared" si="89"/>
        <v>1.1598346451789756E-3</v>
      </c>
      <c r="G182" s="2"/>
      <c r="H182" s="7">
        <v>1149</v>
      </c>
      <c r="I182" s="2"/>
      <c r="J182" s="6">
        <f t="shared" si="90"/>
        <v>2.4458985963224243E-3</v>
      </c>
      <c r="K182" s="2"/>
      <c r="L182" s="7">
        <f t="shared" si="91"/>
        <v>-963.3</v>
      </c>
      <c r="M182" s="2"/>
      <c r="N182" s="6">
        <f t="shared" si="92"/>
        <v>-0.8383812010443864</v>
      </c>
      <c r="O182" s="11"/>
      <c r="P182" s="7">
        <v>185.7</v>
      </c>
      <c r="Q182" s="2"/>
      <c r="R182" s="6">
        <f t="shared" si="93"/>
        <v>7.8800075395165294E-5</v>
      </c>
      <c r="S182" s="2"/>
      <c r="T182" s="7">
        <v>4596</v>
      </c>
      <c r="U182" s="2"/>
      <c r="V182" s="6">
        <f t="shared" si="94"/>
        <v>1.1185445486650842E-3</v>
      </c>
      <c r="W182" s="2"/>
      <c r="X182" s="7">
        <f t="shared" si="95"/>
        <v>-4410.3</v>
      </c>
      <c r="Y182" s="2"/>
      <c r="Z182" s="6">
        <f t="shared" si="96"/>
        <v>-0.95959530026109663</v>
      </c>
    </row>
    <row r="183" spans="1:26" s="24" customFormat="1" hidden="1" outlineLevel="2" x14ac:dyDescent="0.25">
      <c r="A183" s="28"/>
      <c r="B183" s="11" t="str">
        <f>CONCATENATE("          ", "6259", " - ", "ROYALTY &amp; COMMISSIONS")</f>
        <v xml:space="preserve">          6259 - ROYALTY &amp; COMMISSIONS</v>
      </c>
      <c r="C183" s="11"/>
      <c r="D183" s="7">
        <v>320.39999999999998</v>
      </c>
      <c r="E183" s="2"/>
      <c r="F183" s="6">
        <f t="shared" si="89"/>
        <v>2.0011363506480546E-3</v>
      </c>
      <c r="G183" s="2"/>
      <c r="H183" s="7">
        <v>2008</v>
      </c>
      <c r="I183" s="2"/>
      <c r="J183" s="6">
        <f t="shared" si="90"/>
        <v>4.274468565200547E-3</v>
      </c>
      <c r="K183" s="2"/>
      <c r="L183" s="7">
        <f t="shared" si="91"/>
        <v>-1687.6</v>
      </c>
      <c r="M183" s="2"/>
      <c r="N183" s="6">
        <f t="shared" si="92"/>
        <v>-0.84043824701195213</v>
      </c>
      <c r="O183" s="11"/>
      <c r="P183" s="7">
        <v>5705.2</v>
      </c>
      <c r="Q183" s="2"/>
      <c r="R183" s="6">
        <f t="shared" si="93"/>
        <v>2.420948789146457E-3</v>
      </c>
      <c r="S183" s="2"/>
      <c r="T183" s="7">
        <v>4645</v>
      </c>
      <c r="U183" s="2"/>
      <c r="V183" s="6">
        <f t="shared" si="94"/>
        <v>1.1304698495538112E-3</v>
      </c>
      <c r="W183" s="2"/>
      <c r="X183" s="7">
        <f t="shared" si="95"/>
        <v>1060.1999999999998</v>
      </c>
      <c r="Y183" s="2"/>
      <c r="Z183" s="6">
        <f t="shared" si="96"/>
        <v>0.22824542518837457</v>
      </c>
    </row>
    <row r="184" spans="1:26" s="27" customFormat="1" outlineLevel="1" collapsed="1" x14ac:dyDescent="0.25">
      <c r="A184" s="29"/>
      <c r="B184" s="14" t="str">
        <f>CONCATENATE("     ","Services                                          ")</f>
        <v xml:space="preserve">     Services                                          </v>
      </c>
      <c r="C184" s="14"/>
      <c r="D184" s="1">
        <f>SUM(OSRRefD22_19x_0)</f>
        <v>4526.42</v>
      </c>
      <c r="E184" s="1"/>
      <c r="F184" s="5">
        <f t="shared" ref="F184:F189" si="97">IF(D$12=0,0,D184/D$12)</f>
        <v>2.8270860175719004E-2</v>
      </c>
      <c r="G184" s="1"/>
      <c r="H184" s="1">
        <f>SUM(OSRRefH22_19x_0)</f>
        <v>5505</v>
      </c>
      <c r="I184" s="1"/>
      <c r="J184" s="5">
        <f t="shared" ref="J184:J189" si="98">IF(H$12=0,0,H184/H$12)</f>
        <v>1.1718600324416838E-2</v>
      </c>
      <c r="K184" s="1"/>
      <c r="L184" s="1">
        <f t="shared" ref="L184:L189" si="99">+D184-H184</f>
        <v>-978.57999999999993</v>
      </c>
      <c r="M184" s="1"/>
      <c r="N184" s="5">
        <f t="shared" ref="N184:N189" si="100">IF(H184=0,0,L184/H184)</f>
        <v>-0.1777620345140781</v>
      </c>
      <c r="O184" s="14"/>
      <c r="P184" s="1">
        <f>SUM(OSRRefP22_19x_0)</f>
        <v>11816.43</v>
      </c>
      <c r="Q184" s="1"/>
      <c r="R184" s="5">
        <f t="shared" ref="R184:R189" si="101">IF(P$12=0,0,P184/P$12)</f>
        <v>5.0141926489051863E-3</v>
      </c>
      <c r="S184" s="1"/>
      <c r="T184" s="1">
        <f>SUM(OSRRefT22_19x_0)</f>
        <v>21612</v>
      </c>
      <c r="U184" s="1"/>
      <c r="V184" s="5">
        <f t="shared" ref="V184:V189" si="102">IF(T$12=0,0,T184/T$12)</f>
        <v>5.2597878123911666E-3</v>
      </c>
      <c r="W184" s="1"/>
      <c r="X184" s="1">
        <f t="shared" ref="X184:X189" si="103">+P184-T184</f>
        <v>-9795.57</v>
      </c>
      <c r="Y184" s="1"/>
      <c r="Z184" s="5">
        <f t="shared" ref="Z184:Z189" si="104">IF(T184=0,0,X184/T184)</f>
        <v>-0.45324680732926148</v>
      </c>
    </row>
    <row r="185" spans="1:26" s="24" customFormat="1" hidden="1" outlineLevel="2" x14ac:dyDescent="0.25">
      <c r="A185" s="28"/>
      <c r="B185" s="11" t="str">
        <f>CONCATENATE("          ", "6282", " - ", "JANITORIAL/EXTERMINATOR EXPENS")</f>
        <v xml:space="preserve">          6282 - JANITORIAL/EXTERMINATOR EXPENS</v>
      </c>
      <c r="C185" s="11"/>
      <c r="D185" s="7">
        <v>4888.68</v>
      </c>
      <c r="E185" s="2"/>
      <c r="F185" s="6">
        <f t="shared" si="97"/>
        <v>3.0533443366685811E-2</v>
      </c>
      <c r="G185" s="2"/>
      <c r="H185" s="7">
        <v>4000</v>
      </c>
      <c r="I185" s="2"/>
      <c r="J185" s="6">
        <f t="shared" si="98"/>
        <v>8.5148776199214082E-3</v>
      </c>
      <c r="K185" s="2"/>
      <c r="L185" s="7">
        <f t="shared" si="99"/>
        <v>888.68000000000029</v>
      </c>
      <c r="M185" s="2"/>
      <c r="N185" s="6">
        <f t="shared" si="100"/>
        <v>0.22217000000000006</v>
      </c>
      <c r="O185" s="11"/>
      <c r="P185" s="7">
        <v>4903.46</v>
      </c>
      <c r="Q185" s="2"/>
      <c r="R185" s="6">
        <f t="shared" si="101"/>
        <v>2.0807378443574434E-3</v>
      </c>
      <c r="S185" s="2"/>
      <c r="T185" s="7">
        <v>16314</v>
      </c>
      <c r="U185" s="2"/>
      <c r="V185" s="6">
        <f t="shared" si="102"/>
        <v>3.9703950754835038E-3</v>
      </c>
      <c r="W185" s="2"/>
      <c r="X185" s="7">
        <f t="shared" si="103"/>
        <v>-11410.54</v>
      </c>
      <c r="Y185" s="2"/>
      <c r="Z185" s="6">
        <f t="shared" si="104"/>
        <v>-0.69943238935883301</v>
      </c>
    </row>
    <row r="186" spans="1:26" s="24" customFormat="1" hidden="1" outlineLevel="2" x14ac:dyDescent="0.25">
      <c r="A186" s="28"/>
      <c r="B186" s="11" t="str">
        <f>CONCATENATE("          ", "6283", " - ", "PLANT SERVICE")</f>
        <v xml:space="preserve">          6283 - PLANT SERVICE</v>
      </c>
      <c r="C186" s="11"/>
      <c r="D186" s="7"/>
      <c r="E186" s="2"/>
      <c r="F186" s="6">
        <f t="shared" si="97"/>
        <v>0</v>
      </c>
      <c r="G186" s="2"/>
      <c r="H186" s="7">
        <v>0</v>
      </c>
      <c r="I186" s="2"/>
      <c r="J186" s="6">
        <f t="shared" si="98"/>
        <v>0</v>
      </c>
      <c r="K186" s="2"/>
      <c r="L186" s="7">
        <f t="shared" si="99"/>
        <v>0</v>
      </c>
      <c r="M186" s="2"/>
      <c r="N186" s="6">
        <f t="shared" si="100"/>
        <v>0</v>
      </c>
      <c r="O186" s="11"/>
      <c r="P186" s="7">
        <v>130</v>
      </c>
      <c r="Q186" s="2"/>
      <c r="R186" s="6">
        <f t="shared" si="101"/>
        <v>5.5164296184014478E-5</v>
      </c>
      <c r="S186" s="2"/>
      <c r="T186" s="7">
        <v>0</v>
      </c>
      <c r="U186" s="2"/>
      <c r="V186" s="6">
        <f t="shared" si="102"/>
        <v>0</v>
      </c>
      <c r="W186" s="2"/>
      <c r="X186" s="7">
        <f t="shared" si="103"/>
        <v>130</v>
      </c>
      <c r="Y186" s="2"/>
      <c r="Z186" s="6">
        <f t="shared" si="104"/>
        <v>0</v>
      </c>
    </row>
    <row r="187" spans="1:26" s="24" customFormat="1" hidden="1" outlineLevel="2" x14ac:dyDescent="0.25">
      <c r="A187" s="28"/>
      <c r="B187" s="11" t="str">
        <f>CONCATENATE("          ", "6284", " - ", "TRASH REMOVAL EXPENSE")</f>
        <v xml:space="preserve">          6284 - TRASH REMOVAL EXPENSE</v>
      </c>
      <c r="C187" s="11"/>
      <c r="D187" s="7">
        <v>157.59</v>
      </c>
      <c r="E187" s="2"/>
      <c r="F187" s="6">
        <f t="shared" si="97"/>
        <v>9.8426678370357981E-4</v>
      </c>
      <c r="G187" s="2"/>
      <c r="H187" s="7">
        <v>292</v>
      </c>
      <c r="I187" s="2"/>
      <c r="J187" s="6">
        <f t="shared" si="98"/>
        <v>6.2158606625426274E-4</v>
      </c>
      <c r="K187" s="2"/>
      <c r="L187" s="7">
        <f t="shared" si="99"/>
        <v>-134.41</v>
      </c>
      <c r="M187" s="2"/>
      <c r="N187" s="6">
        <f t="shared" si="100"/>
        <v>-0.46030821917808218</v>
      </c>
      <c r="O187" s="11"/>
      <c r="P187" s="7">
        <v>585.29999999999995</v>
      </c>
      <c r="Q187" s="2"/>
      <c r="R187" s="6">
        <f t="shared" si="101"/>
        <v>2.4836663505002827E-4</v>
      </c>
      <c r="S187" s="2"/>
      <c r="T187" s="7">
        <v>986</v>
      </c>
      <c r="U187" s="2"/>
      <c r="V187" s="6">
        <f t="shared" si="102"/>
        <v>2.3996625869968953E-4</v>
      </c>
      <c r="W187" s="2"/>
      <c r="X187" s="7">
        <f t="shared" si="103"/>
        <v>-400.70000000000005</v>
      </c>
      <c r="Y187" s="2"/>
      <c r="Z187" s="6">
        <f t="shared" si="104"/>
        <v>-0.40638945233265722</v>
      </c>
    </row>
    <row r="188" spans="1:26" s="24" customFormat="1" hidden="1" outlineLevel="2" x14ac:dyDescent="0.25">
      <c r="A188" s="28"/>
      <c r="B188" s="11" t="str">
        <f>CONCATENATE("          ", "6285", " - ", "JANITORIAL SERVICES")</f>
        <v xml:space="preserve">          6285 - JANITORIAL SERVICES</v>
      </c>
      <c r="C188" s="11"/>
      <c r="D188" s="7">
        <v>-519.85</v>
      </c>
      <c r="E188" s="2"/>
      <c r="F188" s="6">
        <f t="shared" si="97"/>
        <v>-3.2468499746703852E-3</v>
      </c>
      <c r="G188" s="2"/>
      <c r="H188" s="7">
        <v>1124</v>
      </c>
      <c r="I188" s="2"/>
      <c r="J188" s="6">
        <f t="shared" si="98"/>
        <v>2.3926806111979155E-3</v>
      </c>
      <c r="K188" s="2"/>
      <c r="L188" s="7">
        <f t="shared" si="99"/>
        <v>-1643.85</v>
      </c>
      <c r="M188" s="2"/>
      <c r="N188" s="6">
        <f t="shared" si="100"/>
        <v>-1.4624999999999999</v>
      </c>
      <c r="O188" s="11"/>
      <c r="P188" s="7">
        <v>6197.67</v>
      </c>
      <c r="Q188" s="2"/>
      <c r="R188" s="6">
        <f t="shared" si="101"/>
        <v>2.6299238733137002E-3</v>
      </c>
      <c r="S188" s="2"/>
      <c r="T188" s="7">
        <v>3935</v>
      </c>
      <c r="U188" s="2"/>
      <c r="V188" s="6">
        <f t="shared" si="102"/>
        <v>9.5767467341103271E-4</v>
      </c>
      <c r="W188" s="2"/>
      <c r="X188" s="7">
        <f t="shared" si="103"/>
        <v>2262.67</v>
      </c>
      <c r="Y188" s="2"/>
      <c r="Z188" s="6">
        <f t="shared" si="104"/>
        <v>0.57501143583227443</v>
      </c>
    </row>
    <row r="189" spans="1:26" s="24" customFormat="1" hidden="1" outlineLevel="2" x14ac:dyDescent="0.25">
      <c r="A189" s="28"/>
      <c r="B189" s="11" t="str">
        <f>CONCATENATE("          ", "6286", " - ", "LAUNDRY EXPENSE")</f>
        <v xml:space="preserve">          6286 - LAUNDRY EXPENSE</v>
      </c>
      <c r="C189" s="11"/>
      <c r="D189" s="7"/>
      <c r="E189" s="2"/>
      <c r="F189" s="6">
        <f t="shared" si="97"/>
        <v>0</v>
      </c>
      <c r="G189" s="2"/>
      <c r="H189" s="7">
        <v>89</v>
      </c>
      <c r="I189" s="2"/>
      <c r="J189" s="6">
        <f t="shared" si="98"/>
        <v>1.8945602704325133E-4</v>
      </c>
      <c r="K189" s="2"/>
      <c r="L189" s="7">
        <f t="shared" si="99"/>
        <v>-89</v>
      </c>
      <c r="M189" s="2"/>
      <c r="N189" s="6">
        <f t="shared" si="100"/>
        <v>-1</v>
      </c>
      <c r="O189" s="11"/>
      <c r="P189" s="7"/>
      <c r="Q189" s="2"/>
      <c r="R189" s="6">
        <f t="shared" si="101"/>
        <v>0</v>
      </c>
      <c r="S189" s="2"/>
      <c r="T189" s="7">
        <v>377</v>
      </c>
      <c r="U189" s="2"/>
      <c r="V189" s="6">
        <f t="shared" si="102"/>
        <v>9.1751804796940119E-5</v>
      </c>
      <c r="W189" s="2"/>
      <c r="X189" s="7">
        <f t="shared" si="103"/>
        <v>-377</v>
      </c>
      <c r="Y189" s="2"/>
      <c r="Z189" s="6">
        <f t="shared" si="104"/>
        <v>-1</v>
      </c>
    </row>
    <row r="190" spans="1:26" s="27" customFormat="1" outlineLevel="1" collapsed="1" x14ac:dyDescent="0.25">
      <c r="A190" s="29"/>
      <c r="B190" s="14" t="str">
        <f>CONCATENATE("     ","Subscriptions &amp; Dues                              ")</f>
        <v xml:space="preserve">     Subscriptions &amp; Dues                              </v>
      </c>
      <c r="C190" s="14"/>
      <c r="D190" s="1">
        <f>SUM(OSRRefD22_20x_0)</f>
        <v>865.32</v>
      </c>
      <c r="E190" s="1"/>
      <c r="F190" s="5">
        <f t="shared" ref="F190:F192" si="105">IF(D$12=0,0,D190/D$12)</f>
        <v>5.4045671252895599E-3</v>
      </c>
      <c r="G190" s="1"/>
      <c r="H190" s="1">
        <f>SUM(OSRRefH22_20x_0)</f>
        <v>1276</v>
      </c>
      <c r="I190" s="1"/>
      <c r="J190" s="5">
        <f t="shared" ref="J190:J192" si="106">IF(H$12=0,0,H190/H$12)</f>
        <v>2.7162459607549291E-3</v>
      </c>
      <c r="K190" s="1"/>
      <c r="L190" s="1">
        <f t="shared" ref="L190:L192" si="107">+D190-H190</f>
        <v>-410.67999999999995</v>
      </c>
      <c r="M190" s="1"/>
      <c r="N190" s="5">
        <f t="shared" ref="N190:N192" si="108">IF(H190=0,0,L190/H190)</f>
        <v>-0.32184952978056425</v>
      </c>
      <c r="O190" s="14"/>
      <c r="P190" s="1">
        <f>SUM(OSRRefP22_20x_0)</f>
        <v>1649.09</v>
      </c>
      <c r="Q190" s="1"/>
      <c r="R190" s="5">
        <f t="shared" ref="R190:R192" si="109">IF(P$12=0,0,P190/P$12)</f>
        <v>6.9977607072381877E-4</v>
      </c>
      <c r="S190" s="1"/>
      <c r="T190" s="1">
        <f>SUM(OSRRefT22_20x_0)</f>
        <v>6499</v>
      </c>
      <c r="U190" s="1"/>
      <c r="V190" s="5">
        <f t="shared" ref="V190:V192" si="110">IF(T$12=0,0,T190/T$12)</f>
        <v>1.5816842954252356E-3</v>
      </c>
      <c r="W190" s="1"/>
      <c r="X190" s="1">
        <f t="shared" ref="X190:X192" si="111">+P190-T190</f>
        <v>-4849.91</v>
      </c>
      <c r="Y190" s="1"/>
      <c r="Z190" s="5">
        <f t="shared" ref="Z190:Z192" si="112">IF(T190=0,0,X190/T190)</f>
        <v>-0.74625480843206649</v>
      </c>
    </row>
    <row r="191" spans="1:26" s="24" customFormat="1" hidden="1" outlineLevel="2" x14ac:dyDescent="0.25">
      <c r="A191" s="28"/>
      <c r="B191" s="11" t="str">
        <f>CONCATENATE("          ", "6258", " - ", "MEMBERSHIP DUES")</f>
        <v xml:space="preserve">          6258 - MEMBERSHIP DUES</v>
      </c>
      <c r="C191" s="11"/>
      <c r="D191" s="7">
        <v>790.32</v>
      </c>
      <c r="E191" s="2"/>
      <c r="F191" s="6">
        <f t="shared" si="105"/>
        <v>4.9361363315985358E-3</v>
      </c>
      <c r="G191" s="2"/>
      <c r="H191" s="7">
        <v>1100</v>
      </c>
      <c r="I191" s="2"/>
      <c r="J191" s="6">
        <f t="shared" si="106"/>
        <v>2.3415913454783873E-3</v>
      </c>
      <c r="K191" s="2"/>
      <c r="L191" s="7">
        <f t="shared" si="107"/>
        <v>-309.67999999999995</v>
      </c>
      <c r="M191" s="2"/>
      <c r="N191" s="6">
        <f t="shared" si="108"/>
        <v>-0.28152727272727268</v>
      </c>
      <c r="O191" s="11"/>
      <c r="P191" s="7">
        <v>1423.36</v>
      </c>
      <c r="Q191" s="2"/>
      <c r="R191" s="6">
        <f t="shared" si="109"/>
        <v>6.0398963551137571E-4</v>
      </c>
      <c r="S191" s="2"/>
      <c r="T191" s="7">
        <v>5795</v>
      </c>
      <c r="U191" s="2"/>
      <c r="V191" s="6">
        <f t="shared" si="110"/>
        <v>1.4103493602076074E-3</v>
      </c>
      <c r="W191" s="2"/>
      <c r="X191" s="7">
        <f t="shared" si="111"/>
        <v>-4371.6400000000003</v>
      </c>
      <c r="Y191" s="2"/>
      <c r="Z191" s="6">
        <f t="shared" si="112"/>
        <v>-0.75438136324417604</v>
      </c>
    </row>
    <row r="192" spans="1:26" s="24" customFormat="1" hidden="1" outlineLevel="2" x14ac:dyDescent="0.25">
      <c r="A192" s="28"/>
      <c r="B192" s="11" t="str">
        <f>CONCATENATE("          ", "6275", " - ", "SUBSCRIPTIONS")</f>
        <v xml:space="preserve">          6275 - SUBSCRIPTIONS</v>
      </c>
      <c r="C192" s="11"/>
      <c r="D192" s="7">
        <v>75</v>
      </c>
      <c r="E192" s="2"/>
      <c r="F192" s="6">
        <f t="shared" si="105"/>
        <v>4.6843079369102408E-4</v>
      </c>
      <c r="G192" s="2"/>
      <c r="H192" s="7">
        <v>176</v>
      </c>
      <c r="I192" s="2"/>
      <c r="J192" s="6">
        <f t="shared" si="106"/>
        <v>3.7465461527654194E-4</v>
      </c>
      <c r="K192" s="2"/>
      <c r="L192" s="7">
        <f t="shared" si="107"/>
        <v>-101</v>
      </c>
      <c r="M192" s="2"/>
      <c r="N192" s="6">
        <f t="shared" si="108"/>
        <v>-0.57386363636363635</v>
      </c>
      <c r="O192" s="11"/>
      <c r="P192" s="7">
        <v>225.73</v>
      </c>
      <c r="Q192" s="2"/>
      <c r="R192" s="6">
        <f t="shared" si="109"/>
        <v>9.5786435212442982E-5</v>
      </c>
      <c r="S192" s="2"/>
      <c r="T192" s="7">
        <v>704</v>
      </c>
      <c r="U192" s="2"/>
      <c r="V192" s="6">
        <f t="shared" si="110"/>
        <v>1.7133493521762823E-4</v>
      </c>
      <c r="W192" s="2"/>
      <c r="X192" s="7">
        <f t="shared" si="111"/>
        <v>-478.27</v>
      </c>
      <c r="Y192" s="2"/>
      <c r="Z192" s="6">
        <f t="shared" si="112"/>
        <v>-0.67936079545454542</v>
      </c>
    </row>
    <row r="193" spans="1:26" s="27" customFormat="1" outlineLevel="1" collapsed="1" x14ac:dyDescent="0.25">
      <c r="A193" s="29"/>
      <c r="B193" s="14" t="str">
        <f>CONCATENATE("     ","Supplies                                          ")</f>
        <v xml:space="preserve">     Supplies                                          </v>
      </c>
      <c r="C193" s="14"/>
      <c r="D193" s="1">
        <f>SUM(OSRRefD22_21x_0)</f>
        <v>23249.799999999996</v>
      </c>
      <c r="E193" s="1"/>
      <c r="F193" s="5">
        <f t="shared" ref="F193:F202" si="113">IF(D$12=0,0,D193/D$12)</f>
        <v>0.14521229689543427</v>
      </c>
      <c r="G193" s="1"/>
      <c r="H193" s="1">
        <f>SUM(OSRRefH22_21x_0)</f>
        <v>9108</v>
      </c>
      <c r="I193" s="1"/>
      <c r="J193" s="5">
        <f t="shared" ref="J193:J202" si="114">IF(H$12=0,0,H193/H$12)</f>
        <v>1.9388376340561047E-2</v>
      </c>
      <c r="K193" s="1"/>
      <c r="L193" s="1">
        <f t="shared" ref="L193:L202" si="115">+D193-H193</f>
        <v>14141.799999999996</v>
      </c>
      <c r="M193" s="1"/>
      <c r="N193" s="5">
        <f t="shared" ref="N193:N202" si="116">IF(H193=0,0,L193/H193)</f>
        <v>1.5526789635485283</v>
      </c>
      <c r="O193" s="14"/>
      <c r="P193" s="1">
        <f>SUM(OSRRefP22_21x_0)</f>
        <v>57693.03</v>
      </c>
      <c r="Q193" s="1"/>
      <c r="R193" s="5">
        <f t="shared" ref="R193:R202" si="117">IF(P$12=0,0,P193/P$12)</f>
        <v>2.4481503035947944E-2</v>
      </c>
      <c r="S193" s="1"/>
      <c r="T193" s="1">
        <f>SUM(OSRRefT22_21x_0)</f>
        <v>100908</v>
      </c>
      <c r="U193" s="1"/>
      <c r="V193" s="5">
        <f t="shared" ref="V193:V202" si="118">IF(T$12=0,0,T193/T$12)</f>
        <v>2.4558331879176745E-2</v>
      </c>
      <c r="W193" s="1"/>
      <c r="X193" s="1">
        <f t="shared" ref="X193:X202" si="119">+P193-T193</f>
        <v>-43214.97</v>
      </c>
      <c r="Y193" s="1"/>
      <c r="Z193" s="5">
        <f t="shared" ref="Z193:Z202" si="120">IF(T193=0,0,X193/T193)</f>
        <v>-0.42826108930907364</v>
      </c>
    </row>
    <row r="194" spans="1:26" s="24" customFormat="1" hidden="1" outlineLevel="2" x14ac:dyDescent="0.25">
      <c r="A194" s="28"/>
      <c r="B194" s="11" t="str">
        <f>CONCATENATE("          ", "6234", " - ", "EXPENDABLE SUPPLIES &amp; EQUIPMEN")</f>
        <v xml:space="preserve">          6234 - EXPENDABLE SUPPLIES &amp; EQUIPMEN</v>
      </c>
      <c r="C194" s="11"/>
      <c r="D194" s="7">
        <v>101.34</v>
      </c>
      <c r="E194" s="2"/>
      <c r="F194" s="6">
        <f t="shared" si="113"/>
        <v>6.3294368843531176E-4</v>
      </c>
      <c r="G194" s="2"/>
      <c r="H194" s="7">
        <v>150</v>
      </c>
      <c r="I194" s="2"/>
      <c r="J194" s="6">
        <f t="shared" si="114"/>
        <v>3.1930791074705276E-4</v>
      </c>
      <c r="K194" s="2"/>
      <c r="L194" s="7">
        <f t="shared" si="115"/>
        <v>-48.66</v>
      </c>
      <c r="M194" s="2"/>
      <c r="N194" s="6">
        <f t="shared" si="116"/>
        <v>-0.32439999999999997</v>
      </c>
      <c r="O194" s="11"/>
      <c r="P194" s="7">
        <v>418.01</v>
      </c>
      <c r="Q194" s="2"/>
      <c r="R194" s="6">
        <f t="shared" si="117"/>
        <v>1.7737867267599917E-4</v>
      </c>
      <c r="S194" s="2"/>
      <c r="T194" s="7">
        <v>600</v>
      </c>
      <c r="U194" s="2"/>
      <c r="V194" s="6">
        <f t="shared" si="118"/>
        <v>1.4602409251502407E-4</v>
      </c>
      <c r="W194" s="2"/>
      <c r="X194" s="7">
        <f t="shared" si="119"/>
        <v>-181.99</v>
      </c>
      <c r="Y194" s="2"/>
      <c r="Z194" s="6">
        <f t="shared" si="120"/>
        <v>-0.30331666666666668</v>
      </c>
    </row>
    <row r="195" spans="1:26" s="24" customFormat="1" hidden="1" outlineLevel="2" x14ac:dyDescent="0.25">
      <c r="A195" s="28"/>
      <c r="B195" s="11" t="str">
        <f>CONCATENATE("          ", "6235", " - ", "COVID-19 EXPENSES")</f>
        <v xml:space="preserve">          6235 - COVID-19 EXPENSES</v>
      </c>
      <c r="C195" s="11"/>
      <c r="D195" s="7">
        <v>16805.12</v>
      </c>
      <c r="E195" s="2"/>
      <c r="F195" s="6">
        <f t="shared" si="113"/>
        <v>0.10496047599563869</v>
      </c>
      <c r="G195" s="2"/>
      <c r="H195" s="7">
        <v>900</v>
      </c>
      <c r="I195" s="2"/>
      <c r="J195" s="6">
        <f t="shared" si="114"/>
        <v>1.9158474644823168E-3</v>
      </c>
      <c r="K195" s="2"/>
      <c r="L195" s="7">
        <f t="shared" si="115"/>
        <v>15905.119999999999</v>
      </c>
      <c r="M195" s="2"/>
      <c r="N195" s="6">
        <f t="shared" si="116"/>
        <v>17.672355555555555</v>
      </c>
      <c r="O195" s="11"/>
      <c r="P195" s="7">
        <v>26107.06</v>
      </c>
      <c r="Q195" s="2"/>
      <c r="R195" s="6">
        <f t="shared" si="117"/>
        <v>1.1078289156414131E-2</v>
      </c>
      <c r="S195" s="2"/>
      <c r="T195" s="7">
        <v>63700</v>
      </c>
      <c r="U195" s="2"/>
      <c r="V195" s="6">
        <f t="shared" si="118"/>
        <v>1.5502891155345054E-2</v>
      </c>
      <c r="W195" s="2"/>
      <c r="X195" s="7">
        <f t="shared" si="119"/>
        <v>-37592.94</v>
      </c>
      <c r="Y195" s="2"/>
      <c r="Z195" s="6">
        <f t="shared" si="120"/>
        <v>-0.59015604395604404</v>
      </c>
    </row>
    <row r="196" spans="1:26" s="24" customFormat="1" hidden="1" outlineLevel="2" x14ac:dyDescent="0.25">
      <c r="A196" s="28"/>
      <c r="B196" s="11" t="str">
        <f>CONCATENATE("          ", "6237", " - ", "JANITORIAL SUPPLIES")</f>
        <v xml:space="preserve">          6237 - JANITORIAL SUPPLIES</v>
      </c>
      <c r="C196" s="11"/>
      <c r="D196" s="7">
        <v>1109.05</v>
      </c>
      <c r="E196" s="2"/>
      <c r="F196" s="6">
        <f t="shared" si="113"/>
        <v>6.9268422899070696E-3</v>
      </c>
      <c r="G196" s="2"/>
      <c r="H196" s="7">
        <v>508</v>
      </c>
      <c r="I196" s="2"/>
      <c r="J196" s="6">
        <f t="shared" si="114"/>
        <v>1.0813894577300187E-3</v>
      </c>
      <c r="K196" s="2"/>
      <c r="L196" s="7">
        <f t="shared" si="115"/>
        <v>601.04999999999995</v>
      </c>
      <c r="M196" s="2"/>
      <c r="N196" s="6">
        <f t="shared" si="116"/>
        <v>1.1831692913385825</v>
      </c>
      <c r="O196" s="11"/>
      <c r="P196" s="7">
        <v>1565.93</v>
      </c>
      <c r="Q196" s="2"/>
      <c r="R196" s="6">
        <f t="shared" si="117"/>
        <v>6.6448789479564454E-4</v>
      </c>
      <c r="S196" s="2"/>
      <c r="T196" s="7">
        <v>1328</v>
      </c>
      <c r="U196" s="2"/>
      <c r="V196" s="6">
        <f t="shared" si="118"/>
        <v>3.2319999143325324E-4</v>
      </c>
      <c r="W196" s="2"/>
      <c r="X196" s="7">
        <f t="shared" si="119"/>
        <v>237.93000000000006</v>
      </c>
      <c r="Y196" s="2"/>
      <c r="Z196" s="6">
        <f t="shared" si="120"/>
        <v>0.17916415662650606</v>
      </c>
    </row>
    <row r="197" spans="1:26" s="24" customFormat="1" hidden="1" outlineLevel="2" x14ac:dyDescent="0.25">
      <c r="A197" s="28"/>
      <c r="B197" s="11" t="str">
        <f>CONCATENATE("          ", "6241", " - ", "OFFICE EXPENSE")</f>
        <v xml:space="preserve">          6241 - OFFICE EXPENSE</v>
      </c>
      <c r="C197" s="11"/>
      <c r="D197" s="7">
        <v>330.19</v>
      </c>
      <c r="E197" s="2"/>
      <c r="F197" s="6">
        <f t="shared" si="113"/>
        <v>2.0622821835845234E-3</v>
      </c>
      <c r="G197" s="2"/>
      <c r="H197" s="7">
        <v>425</v>
      </c>
      <c r="I197" s="2"/>
      <c r="J197" s="6">
        <f t="shared" si="114"/>
        <v>9.0470574711664959E-4</v>
      </c>
      <c r="K197" s="2"/>
      <c r="L197" s="7">
        <f t="shared" si="115"/>
        <v>-94.81</v>
      </c>
      <c r="M197" s="2"/>
      <c r="N197" s="6">
        <f t="shared" si="116"/>
        <v>-0.22308235294117648</v>
      </c>
      <c r="O197" s="11"/>
      <c r="P197" s="7">
        <v>7940.98</v>
      </c>
      <c r="Q197" s="2"/>
      <c r="R197" s="6">
        <f t="shared" si="117"/>
        <v>3.3696813285487327E-3</v>
      </c>
      <c r="S197" s="2"/>
      <c r="T197" s="7">
        <v>2000</v>
      </c>
      <c r="U197" s="2"/>
      <c r="V197" s="6">
        <f t="shared" si="118"/>
        <v>4.867469750500802E-4</v>
      </c>
      <c r="W197" s="2"/>
      <c r="X197" s="7">
        <f t="shared" si="119"/>
        <v>5940.98</v>
      </c>
      <c r="Y197" s="2"/>
      <c r="Z197" s="6">
        <f t="shared" si="120"/>
        <v>2.9704899999999999</v>
      </c>
    </row>
    <row r="198" spans="1:26" s="24" customFormat="1" hidden="1" outlineLevel="2" x14ac:dyDescent="0.25">
      <c r="A198" s="28"/>
      <c r="B198" s="11" t="str">
        <f>CONCATENATE("          ", "6243", " - ", "PAPER SUPPLIES")</f>
        <v xml:space="preserve">          6243 - PAPER SUPPLIES</v>
      </c>
      <c r="C198" s="11"/>
      <c r="D198" s="7">
        <v>449.01</v>
      </c>
      <c r="E198" s="2"/>
      <c r="F198" s="6">
        <f t="shared" si="113"/>
        <v>2.8044014756694229E-3</v>
      </c>
      <c r="G198" s="2"/>
      <c r="H198" s="7">
        <v>1535</v>
      </c>
      <c r="I198" s="2"/>
      <c r="J198" s="6">
        <f t="shared" si="114"/>
        <v>3.2675842866448403E-3</v>
      </c>
      <c r="K198" s="2"/>
      <c r="L198" s="7">
        <f t="shared" si="115"/>
        <v>-1085.99</v>
      </c>
      <c r="M198" s="2"/>
      <c r="N198" s="6">
        <f t="shared" si="116"/>
        <v>-0.70748534201954394</v>
      </c>
      <c r="O198" s="11"/>
      <c r="P198" s="7">
        <v>3573.7</v>
      </c>
      <c r="Q198" s="2"/>
      <c r="R198" s="6">
        <f t="shared" si="117"/>
        <v>1.516466502098558E-3</v>
      </c>
      <c r="S198" s="2"/>
      <c r="T198" s="7">
        <v>4730</v>
      </c>
      <c r="U198" s="2"/>
      <c r="V198" s="6">
        <f t="shared" si="118"/>
        <v>1.1511565959934397E-3</v>
      </c>
      <c r="W198" s="2"/>
      <c r="X198" s="7">
        <f t="shared" si="119"/>
        <v>-1156.3000000000002</v>
      </c>
      <c r="Y198" s="2"/>
      <c r="Z198" s="6">
        <f t="shared" si="120"/>
        <v>-0.24446088794926008</v>
      </c>
    </row>
    <row r="199" spans="1:26" s="24" customFormat="1" hidden="1" outlineLevel="2" x14ac:dyDescent="0.25">
      <c r="A199" s="28"/>
      <c r="B199" s="11" t="str">
        <f>CONCATENATE("          ", "6244", " - ", "SAFETY SUPPLY EXPENSE")</f>
        <v xml:space="preserve">          6244 - SAFETY SUPPLY EXPENSE</v>
      </c>
      <c r="C199" s="11"/>
      <c r="D199" s="7"/>
      <c r="E199" s="2"/>
      <c r="F199" s="6">
        <f t="shared" si="113"/>
        <v>0</v>
      </c>
      <c r="G199" s="2"/>
      <c r="H199" s="7">
        <v>25</v>
      </c>
      <c r="I199" s="2"/>
      <c r="J199" s="6">
        <f t="shared" si="114"/>
        <v>5.3217985124508798E-5</v>
      </c>
      <c r="K199" s="2"/>
      <c r="L199" s="7">
        <f t="shared" si="115"/>
        <v>-25</v>
      </c>
      <c r="M199" s="2"/>
      <c r="N199" s="6">
        <f t="shared" si="116"/>
        <v>-1</v>
      </c>
      <c r="O199" s="11"/>
      <c r="P199" s="7"/>
      <c r="Q199" s="2"/>
      <c r="R199" s="6">
        <f t="shared" si="117"/>
        <v>0</v>
      </c>
      <c r="S199" s="2"/>
      <c r="T199" s="7">
        <v>50</v>
      </c>
      <c r="U199" s="2"/>
      <c r="V199" s="6">
        <f t="shared" si="118"/>
        <v>1.2168674376252004E-5</v>
      </c>
      <c r="W199" s="2"/>
      <c r="X199" s="7">
        <f t="shared" si="119"/>
        <v>-50</v>
      </c>
      <c r="Y199" s="2"/>
      <c r="Z199" s="6">
        <f t="shared" si="120"/>
        <v>-1</v>
      </c>
    </row>
    <row r="200" spans="1:26" s="24" customFormat="1" hidden="1" outlineLevel="2" x14ac:dyDescent="0.25">
      <c r="A200" s="28"/>
      <c r="B200" s="11" t="str">
        <f>CONCATENATE("          ", "6245", " - ", "PRINTING")</f>
        <v xml:space="preserve">          6245 - PRINTING</v>
      </c>
      <c r="C200" s="11"/>
      <c r="D200" s="7">
        <v>353.09</v>
      </c>
      <c r="E200" s="2"/>
      <c r="F200" s="6">
        <f t="shared" si="113"/>
        <v>2.2053097192581824E-3</v>
      </c>
      <c r="G200" s="2"/>
      <c r="H200" s="7">
        <v>350</v>
      </c>
      <c r="I200" s="2"/>
      <c r="J200" s="6">
        <f t="shared" si="114"/>
        <v>7.4505179174312315E-4</v>
      </c>
      <c r="K200" s="2"/>
      <c r="L200" s="7">
        <f t="shared" si="115"/>
        <v>3.089999999999975</v>
      </c>
      <c r="M200" s="2"/>
      <c r="N200" s="6">
        <f t="shared" si="116"/>
        <v>8.8285714285713576E-3</v>
      </c>
      <c r="O200" s="11"/>
      <c r="P200" s="7">
        <v>414.55</v>
      </c>
      <c r="Q200" s="2"/>
      <c r="R200" s="6">
        <f t="shared" si="117"/>
        <v>1.7591045371602465E-4</v>
      </c>
      <c r="S200" s="2"/>
      <c r="T200" s="7">
        <v>1800</v>
      </c>
      <c r="U200" s="2"/>
      <c r="V200" s="6">
        <f t="shared" si="118"/>
        <v>4.3807227754507217E-4</v>
      </c>
      <c r="W200" s="2"/>
      <c r="X200" s="7">
        <f t="shared" si="119"/>
        <v>-1385.45</v>
      </c>
      <c r="Y200" s="2"/>
      <c r="Z200" s="6">
        <f t="shared" si="120"/>
        <v>-0.76969444444444446</v>
      </c>
    </row>
    <row r="201" spans="1:26" s="24" customFormat="1" hidden="1" outlineLevel="2" x14ac:dyDescent="0.25">
      <c r="A201" s="28"/>
      <c r="B201" s="11" t="str">
        <f>CONCATENATE("          ", "6247", " - ", "STORE SUPPLIES")</f>
        <v xml:space="preserve">          6247 - STORE SUPPLIES</v>
      </c>
      <c r="C201" s="11"/>
      <c r="D201" s="7">
        <v>4102</v>
      </c>
      <c r="E201" s="2"/>
      <c r="F201" s="6">
        <f t="shared" si="113"/>
        <v>2.5620041542941077E-2</v>
      </c>
      <c r="G201" s="2"/>
      <c r="H201" s="7">
        <v>3715</v>
      </c>
      <c r="I201" s="2"/>
      <c r="J201" s="6">
        <f t="shared" si="114"/>
        <v>7.9081925895020076E-3</v>
      </c>
      <c r="K201" s="2"/>
      <c r="L201" s="7">
        <f t="shared" si="115"/>
        <v>387</v>
      </c>
      <c r="M201" s="2"/>
      <c r="N201" s="6">
        <f t="shared" si="116"/>
        <v>0.10417227456258411</v>
      </c>
      <c r="O201" s="11"/>
      <c r="P201" s="7">
        <v>17672.8</v>
      </c>
      <c r="Q201" s="2"/>
      <c r="R201" s="6">
        <f t="shared" si="117"/>
        <v>7.4992890276988546E-3</v>
      </c>
      <c r="S201" s="2"/>
      <c r="T201" s="7">
        <v>20500</v>
      </c>
      <c r="U201" s="2"/>
      <c r="V201" s="6">
        <f t="shared" si="118"/>
        <v>4.9891564942633219E-3</v>
      </c>
      <c r="W201" s="2"/>
      <c r="X201" s="7">
        <f t="shared" si="119"/>
        <v>-2827.2000000000007</v>
      </c>
      <c r="Y201" s="2"/>
      <c r="Z201" s="6">
        <f t="shared" si="120"/>
        <v>-0.13791219512195124</v>
      </c>
    </row>
    <row r="202" spans="1:26" s="24" customFormat="1" hidden="1" outlineLevel="2" x14ac:dyDescent="0.25">
      <c r="A202" s="28"/>
      <c r="B202" s="11" t="str">
        <f>CONCATENATE("          ", "6248", " - ", "UNIFORMS")</f>
        <v xml:space="preserve">          6248 - UNIFORMS</v>
      </c>
      <c r="C202" s="11"/>
      <c r="D202" s="7"/>
      <c r="E202" s="2"/>
      <c r="F202" s="6">
        <f t="shared" si="113"/>
        <v>0</v>
      </c>
      <c r="G202" s="2"/>
      <c r="H202" s="7">
        <v>1500</v>
      </c>
      <c r="I202" s="2"/>
      <c r="J202" s="6">
        <f t="shared" si="114"/>
        <v>3.1930791074705278E-3</v>
      </c>
      <c r="K202" s="2"/>
      <c r="L202" s="7">
        <f t="shared" si="115"/>
        <v>-1500</v>
      </c>
      <c r="M202" s="2"/>
      <c r="N202" s="6">
        <f t="shared" si="116"/>
        <v>-1</v>
      </c>
      <c r="O202" s="11"/>
      <c r="P202" s="7"/>
      <c r="Q202" s="2"/>
      <c r="R202" s="6">
        <f t="shared" si="117"/>
        <v>0</v>
      </c>
      <c r="S202" s="2"/>
      <c r="T202" s="7">
        <v>6200</v>
      </c>
      <c r="U202" s="2"/>
      <c r="V202" s="6">
        <f t="shared" si="118"/>
        <v>1.5089156226552485E-3</v>
      </c>
      <c r="W202" s="2"/>
      <c r="X202" s="7">
        <f t="shared" si="119"/>
        <v>-6200</v>
      </c>
      <c r="Y202" s="2"/>
      <c r="Z202" s="6">
        <f t="shared" si="120"/>
        <v>-1</v>
      </c>
    </row>
    <row r="203" spans="1:26" s="27" customFormat="1" outlineLevel="1" collapsed="1" x14ac:dyDescent="0.25">
      <c r="A203" s="29"/>
      <c r="B203" s="14" t="str">
        <f>CONCATENATE("     ","Telephone/Data Lines                              ")</f>
        <v xml:space="preserve">     Telephone/Data Lines                              </v>
      </c>
      <c r="C203" s="14"/>
      <c r="D203" s="1">
        <f>SUM(OSRRefD22_22x_0)</f>
        <v>2000.33</v>
      </c>
      <c r="E203" s="1"/>
      <c r="F203" s="5">
        <f t="shared" ref="F203:F205" si="121">IF(D$12=0,0,D203/D$12)</f>
        <v>1.2493548927252882E-2</v>
      </c>
      <c r="G203" s="1"/>
      <c r="H203" s="1">
        <f>SUM(OSRRefH22_22x_0)</f>
        <v>2678</v>
      </c>
      <c r="I203" s="1"/>
      <c r="J203" s="5">
        <f t="shared" ref="J203:J205" si="122">IF(H$12=0,0,H203/H$12)</f>
        <v>5.7007105665373824E-3</v>
      </c>
      <c r="K203" s="1"/>
      <c r="L203" s="1">
        <f t="shared" ref="L203:L205" si="123">+D203-H203</f>
        <v>-677.67000000000007</v>
      </c>
      <c r="M203" s="1"/>
      <c r="N203" s="5">
        <f t="shared" ref="N203:N205" si="124">IF(H203=0,0,L203/H203)</f>
        <v>-0.25305078416728904</v>
      </c>
      <c r="O203" s="14"/>
      <c r="P203" s="1">
        <f>SUM(OSRRefP22_22x_0)</f>
        <v>12637.36</v>
      </c>
      <c r="Q203" s="1"/>
      <c r="R203" s="5">
        <f t="shared" ref="R203:R205" si="125">IF(P$12=0,0,P203/P$12)</f>
        <v>5.3625466924924403E-3</v>
      </c>
      <c r="S203" s="1"/>
      <c r="T203" s="1">
        <f>SUM(OSRRefT22_22x_0)</f>
        <v>11915</v>
      </c>
      <c r="U203" s="1"/>
      <c r="V203" s="5">
        <f t="shared" ref="V203:V205" si="126">IF(T$12=0,0,T203/T$12)</f>
        <v>2.8997951038608528E-3</v>
      </c>
      <c r="W203" s="1"/>
      <c r="X203" s="1">
        <f t="shared" ref="X203:X205" si="127">+P203-T203</f>
        <v>722.36000000000058</v>
      </c>
      <c r="Y203" s="1"/>
      <c r="Z203" s="5">
        <f t="shared" ref="Z203:Z205" si="128">IF(T203=0,0,X203/T203)</f>
        <v>6.0626101552664756E-2</v>
      </c>
    </row>
    <row r="204" spans="1:26" s="24" customFormat="1" hidden="1" outlineLevel="2" x14ac:dyDescent="0.25">
      <c r="A204" s="28"/>
      <c r="B204" s="11" t="str">
        <f>CONCATENATE("          ", "6303", " - ", "DATA PHONE LINES")</f>
        <v xml:space="preserve">          6303 - DATA PHONE LINES</v>
      </c>
      <c r="C204" s="11"/>
      <c r="D204" s="7"/>
      <c r="E204" s="2"/>
      <c r="F204" s="6">
        <f t="shared" si="121"/>
        <v>0</v>
      </c>
      <c r="G204" s="2"/>
      <c r="H204" s="7">
        <v>863</v>
      </c>
      <c r="I204" s="2"/>
      <c r="J204" s="6">
        <f t="shared" si="122"/>
        <v>1.8370848464980436E-3</v>
      </c>
      <c r="K204" s="2"/>
      <c r="L204" s="7">
        <f t="shared" si="123"/>
        <v>-863</v>
      </c>
      <c r="M204" s="2"/>
      <c r="N204" s="6">
        <f t="shared" si="124"/>
        <v>-1</v>
      </c>
      <c r="O204" s="11"/>
      <c r="P204" s="7">
        <v>1180</v>
      </c>
      <c r="Q204" s="2"/>
      <c r="R204" s="6">
        <f t="shared" si="125"/>
        <v>5.0072207305490066E-4</v>
      </c>
      <c r="S204" s="2"/>
      <c r="T204" s="7">
        <v>3455</v>
      </c>
      <c r="U204" s="2"/>
      <c r="V204" s="6">
        <f t="shared" si="126"/>
        <v>8.4085539939901348E-4</v>
      </c>
      <c r="W204" s="2"/>
      <c r="X204" s="7">
        <f t="shared" si="127"/>
        <v>-2275</v>
      </c>
      <c r="Y204" s="2"/>
      <c r="Z204" s="6">
        <f t="shared" si="128"/>
        <v>-0.65846599131693195</v>
      </c>
    </row>
    <row r="205" spans="1:26" s="24" customFormat="1" hidden="1" outlineLevel="2" x14ac:dyDescent="0.25">
      <c r="A205" s="28"/>
      <c r="B205" s="11" t="str">
        <f>CONCATENATE("          ", "6309", " - ", "TELEPHONE")</f>
        <v xml:space="preserve">          6309 - TELEPHONE</v>
      </c>
      <c r="C205" s="11"/>
      <c r="D205" s="7">
        <v>2000.33</v>
      </c>
      <c r="E205" s="2"/>
      <c r="F205" s="6">
        <f t="shared" si="121"/>
        <v>1.2493548927252882E-2</v>
      </c>
      <c r="G205" s="2"/>
      <c r="H205" s="7">
        <v>1815</v>
      </c>
      <c r="I205" s="2"/>
      <c r="J205" s="6">
        <f t="shared" si="122"/>
        <v>3.8636257200393388E-3</v>
      </c>
      <c r="K205" s="2"/>
      <c r="L205" s="7">
        <f t="shared" si="123"/>
        <v>185.32999999999993</v>
      </c>
      <c r="M205" s="2"/>
      <c r="N205" s="6">
        <f t="shared" si="124"/>
        <v>0.10211019283746553</v>
      </c>
      <c r="O205" s="11"/>
      <c r="P205" s="7">
        <v>11457.36</v>
      </c>
      <c r="Q205" s="2"/>
      <c r="R205" s="6">
        <f t="shared" si="125"/>
        <v>4.8618246194375402E-3</v>
      </c>
      <c r="S205" s="2"/>
      <c r="T205" s="7">
        <v>8460</v>
      </c>
      <c r="U205" s="2"/>
      <c r="V205" s="6">
        <f t="shared" si="126"/>
        <v>2.0589397044618392E-3</v>
      </c>
      <c r="W205" s="2"/>
      <c r="X205" s="7">
        <f t="shared" si="127"/>
        <v>2997.3600000000006</v>
      </c>
      <c r="Y205" s="2"/>
      <c r="Z205" s="6">
        <f t="shared" si="128"/>
        <v>0.35429787234042559</v>
      </c>
    </row>
    <row r="206" spans="1:26" s="27" customFormat="1" outlineLevel="1" collapsed="1" x14ac:dyDescent="0.25">
      <c r="A206" s="29"/>
      <c r="B206" s="14" t="str">
        <f>CONCATENATE("     ","Training                                          ")</f>
        <v xml:space="preserve">     Training                                          </v>
      </c>
      <c r="C206" s="14"/>
      <c r="D206" s="1">
        <f>SUM(OSRRefD22_23x_0)</f>
        <v>14</v>
      </c>
      <c r="E206" s="1"/>
      <c r="F206" s="5">
        <f t="shared" ref="F206:F211" si="129">IF(D$12=0,0,D206/D$12)</f>
        <v>8.7440414822324497E-5</v>
      </c>
      <c r="G206" s="1"/>
      <c r="H206" s="1">
        <f>SUM(OSRRefH22_23x_0)</f>
        <v>2500</v>
      </c>
      <c r="I206" s="1"/>
      <c r="J206" s="5">
        <f t="shared" ref="J206:J211" si="130">IF(H$12=0,0,H206/H$12)</f>
        <v>5.3217985124508795E-3</v>
      </c>
      <c r="K206" s="1"/>
      <c r="L206" s="1">
        <f t="shared" ref="L206:L211" si="131">+D206-H206</f>
        <v>-2486</v>
      </c>
      <c r="M206" s="1"/>
      <c r="N206" s="5">
        <f t="shared" ref="N206:N211" si="132">IF(H206=0,0,L206/H206)</f>
        <v>-0.99439999999999995</v>
      </c>
      <c r="O206" s="14"/>
      <c r="P206" s="1">
        <f>SUM(OSRRefP22_23x_0)</f>
        <v>145.63</v>
      </c>
      <c r="Q206" s="1"/>
      <c r="R206" s="5">
        <f t="shared" ref="R206:R211" si="133">IF(P$12=0,0,P206/P$12)</f>
        <v>6.179674194829252E-5</v>
      </c>
      <c r="S206" s="1"/>
      <c r="T206" s="1">
        <f>SUM(OSRRefT22_23x_0)</f>
        <v>2680</v>
      </c>
      <c r="U206" s="1"/>
      <c r="V206" s="5">
        <f t="shared" ref="V206:V211" si="134">IF(T$12=0,0,T206/T$12)</f>
        <v>6.5224094656710747E-4</v>
      </c>
      <c r="W206" s="1"/>
      <c r="X206" s="1">
        <f t="shared" ref="X206:X211" si="135">+P206-T206</f>
        <v>-2534.37</v>
      </c>
      <c r="Y206" s="1"/>
      <c r="Z206" s="5">
        <f t="shared" ref="Z206:Z211" si="136">IF(T206=0,0,X206/T206)</f>
        <v>-0.94566044776119396</v>
      </c>
    </row>
    <row r="207" spans="1:26" s="24" customFormat="1" hidden="1" outlineLevel="2" x14ac:dyDescent="0.25">
      <c r="A207" s="28"/>
      <c r="B207" s="11" t="str">
        <f>CONCATENATE("          ", "6376", " - ", "TRAINING")</f>
        <v xml:space="preserve">          6376 - TRAINING</v>
      </c>
      <c r="C207" s="11"/>
      <c r="D207" s="7">
        <v>14</v>
      </c>
      <c r="E207" s="2"/>
      <c r="F207" s="6">
        <f t="shared" si="129"/>
        <v>8.7440414822324497E-5</v>
      </c>
      <c r="G207" s="2"/>
      <c r="H207" s="7">
        <v>2500</v>
      </c>
      <c r="I207" s="2"/>
      <c r="J207" s="6">
        <f t="shared" si="130"/>
        <v>5.3217985124508795E-3</v>
      </c>
      <c r="K207" s="2"/>
      <c r="L207" s="7">
        <f t="shared" si="131"/>
        <v>-2486</v>
      </c>
      <c r="M207" s="2"/>
      <c r="N207" s="6">
        <f t="shared" si="132"/>
        <v>-0.99439999999999995</v>
      </c>
      <c r="O207" s="11"/>
      <c r="P207" s="7">
        <v>145.63</v>
      </c>
      <c r="Q207" s="2"/>
      <c r="R207" s="6">
        <f t="shared" si="133"/>
        <v>6.179674194829252E-5</v>
      </c>
      <c r="S207" s="2"/>
      <c r="T207" s="7">
        <v>2680</v>
      </c>
      <c r="U207" s="2"/>
      <c r="V207" s="6">
        <f t="shared" si="134"/>
        <v>6.5224094656710747E-4</v>
      </c>
      <c r="W207" s="2"/>
      <c r="X207" s="7">
        <f t="shared" si="135"/>
        <v>-2534.37</v>
      </c>
      <c r="Y207" s="2"/>
      <c r="Z207" s="6">
        <f t="shared" si="136"/>
        <v>-0.94566044776119396</v>
      </c>
    </row>
    <row r="208" spans="1:26" s="27" customFormat="1" outlineLevel="1" collapsed="1" x14ac:dyDescent="0.25">
      <c r="A208" s="29"/>
      <c r="B208" s="14" t="str">
        <f>CONCATENATE("     ","Travel                                            ")</f>
        <v xml:space="preserve">     Travel                                            </v>
      </c>
      <c r="C208" s="14"/>
      <c r="D208" s="1">
        <f>SUM(OSRRefD22_24x_0)</f>
        <v>80.959999999999994</v>
      </c>
      <c r="E208" s="1"/>
      <c r="F208" s="5">
        <f t="shared" si="129"/>
        <v>5.056554274296708E-4</v>
      </c>
      <c r="G208" s="1"/>
      <c r="H208" s="1">
        <f>SUM(OSRRefH22_24x_0)</f>
        <v>1550</v>
      </c>
      <c r="I208" s="1"/>
      <c r="J208" s="5">
        <f t="shared" si="130"/>
        <v>3.2995150777195455E-3</v>
      </c>
      <c r="K208" s="1"/>
      <c r="L208" s="1">
        <f t="shared" si="131"/>
        <v>-1469.04</v>
      </c>
      <c r="M208" s="1"/>
      <c r="N208" s="5">
        <f t="shared" si="132"/>
        <v>-0.94776774193548385</v>
      </c>
      <c r="O208" s="14"/>
      <c r="P208" s="1">
        <f>SUM(OSRRefP22_24x_0)</f>
        <v>381.93</v>
      </c>
      <c r="Q208" s="1"/>
      <c r="R208" s="5">
        <f t="shared" si="133"/>
        <v>1.6206845878123579E-4</v>
      </c>
      <c r="S208" s="1"/>
      <c r="T208" s="1">
        <f>SUM(OSRRefT22_24x_0)</f>
        <v>1700</v>
      </c>
      <c r="U208" s="1"/>
      <c r="V208" s="5">
        <f t="shared" si="134"/>
        <v>4.1373492879256816E-4</v>
      </c>
      <c r="W208" s="1"/>
      <c r="X208" s="1">
        <f t="shared" si="135"/>
        <v>-1318.07</v>
      </c>
      <c r="Y208" s="1"/>
      <c r="Z208" s="5">
        <f t="shared" si="136"/>
        <v>-0.77533529411764701</v>
      </c>
    </row>
    <row r="209" spans="1:26" s="24" customFormat="1" hidden="1" outlineLevel="2" x14ac:dyDescent="0.25">
      <c r="A209" s="28"/>
      <c r="B209" s="11" t="str">
        <f>CONCATENATE("          ", "6292", " - ", "TRAVEL/CONFERENCE")</f>
        <v xml:space="preserve">          6292 - TRAVEL/CONFERENCE</v>
      </c>
      <c r="C209" s="11"/>
      <c r="D209" s="7"/>
      <c r="E209" s="2"/>
      <c r="F209" s="6">
        <f t="shared" si="129"/>
        <v>0</v>
      </c>
      <c r="G209" s="2"/>
      <c r="H209" s="7">
        <v>1500</v>
      </c>
      <c r="I209" s="2"/>
      <c r="J209" s="6">
        <f t="shared" si="130"/>
        <v>3.1930791074705278E-3</v>
      </c>
      <c r="K209" s="2"/>
      <c r="L209" s="7">
        <f t="shared" si="131"/>
        <v>-1500</v>
      </c>
      <c r="M209" s="2"/>
      <c r="N209" s="6">
        <f t="shared" si="132"/>
        <v>-1</v>
      </c>
      <c r="O209" s="11"/>
      <c r="P209" s="7">
        <v>0.16</v>
      </c>
      <c r="Q209" s="2"/>
      <c r="R209" s="6">
        <f t="shared" si="133"/>
        <v>6.7894518380325521E-8</v>
      </c>
      <c r="S209" s="2"/>
      <c r="T209" s="7">
        <v>1500</v>
      </c>
      <c r="U209" s="2"/>
      <c r="V209" s="6">
        <f t="shared" si="134"/>
        <v>3.6506023128756013E-4</v>
      </c>
      <c r="W209" s="2"/>
      <c r="X209" s="7">
        <f t="shared" si="135"/>
        <v>-1499.84</v>
      </c>
      <c r="Y209" s="2"/>
      <c r="Z209" s="6">
        <f t="shared" si="136"/>
        <v>-0.9998933333333333</v>
      </c>
    </row>
    <row r="210" spans="1:26" s="24" customFormat="1" hidden="1" outlineLevel="2" x14ac:dyDescent="0.25">
      <c r="A210" s="28"/>
      <c r="B210" s="11" t="str">
        <f>CONCATENATE("          ", "6294", " - ", "TRAVEL OPERATIONAL")</f>
        <v xml:space="preserve">          6294 - TRAVEL OPERATIONAL</v>
      </c>
      <c r="C210" s="11"/>
      <c r="D210" s="7">
        <v>80.959999999999994</v>
      </c>
      <c r="E210" s="2"/>
      <c r="F210" s="6">
        <f t="shared" si="129"/>
        <v>5.056554274296708E-4</v>
      </c>
      <c r="G210" s="2"/>
      <c r="H210" s="7">
        <v>25</v>
      </c>
      <c r="I210" s="2"/>
      <c r="J210" s="6">
        <f t="shared" si="130"/>
        <v>5.3217985124508798E-5</v>
      </c>
      <c r="K210" s="2"/>
      <c r="L210" s="7">
        <f t="shared" si="131"/>
        <v>55.959999999999994</v>
      </c>
      <c r="M210" s="2"/>
      <c r="N210" s="6">
        <f t="shared" si="132"/>
        <v>2.2383999999999999</v>
      </c>
      <c r="O210" s="11"/>
      <c r="P210" s="7">
        <v>321.88</v>
      </c>
      <c r="Q210" s="2"/>
      <c r="R210" s="6">
        <f t="shared" si="133"/>
        <v>1.3658679735161985E-4</v>
      </c>
      <c r="S210" s="2"/>
      <c r="T210" s="7">
        <v>100</v>
      </c>
      <c r="U210" s="2"/>
      <c r="V210" s="6">
        <f t="shared" si="134"/>
        <v>2.4337348752504009E-5</v>
      </c>
      <c r="W210" s="2"/>
      <c r="X210" s="7">
        <f t="shared" si="135"/>
        <v>221.88</v>
      </c>
      <c r="Y210" s="2"/>
      <c r="Z210" s="6">
        <f t="shared" si="136"/>
        <v>2.2187999999999999</v>
      </c>
    </row>
    <row r="211" spans="1:26" s="24" customFormat="1" hidden="1" outlineLevel="2" x14ac:dyDescent="0.25">
      <c r="A211" s="28"/>
      <c r="B211" s="11" t="str">
        <f>CONCATENATE("          ", "6298", " - ", "VEHICLE MILEAGE")</f>
        <v xml:space="preserve">          6298 - VEHICLE MILEAGE</v>
      </c>
      <c r="C211" s="11"/>
      <c r="D211" s="7"/>
      <c r="E211" s="2"/>
      <c r="F211" s="6">
        <f t="shared" si="129"/>
        <v>0</v>
      </c>
      <c r="G211" s="2"/>
      <c r="H211" s="7">
        <v>25</v>
      </c>
      <c r="I211" s="2"/>
      <c r="J211" s="6">
        <f t="shared" si="130"/>
        <v>5.3217985124508798E-5</v>
      </c>
      <c r="K211" s="2"/>
      <c r="L211" s="7">
        <f t="shared" si="131"/>
        <v>-25</v>
      </c>
      <c r="M211" s="2"/>
      <c r="N211" s="6">
        <f t="shared" si="132"/>
        <v>-1</v>
      </c>
      <c r="O211" s="11"/>
      <c r="P211" s="7">
        <v>59.89</v>
      </c>
      <c r="Q211" s="2"/>
      <c r="R211" s="6">
        <f t="shared" si="133"/>
        <v>2.5413766911235593E-5</v>
      </c>
      <c r="S211" s="2"/>
      <c r="T211" s="7">
        <v>100</v>
      </c>
      <c r="U211" s="2"/>
      <c r="V211" s="6">
        <f t="shared" si="134"/>
        <v>2.4337348752504009E-5</v>
      </c>
      <c r="W211" s="2"/>
      <c r="X211" s="7">
        <f t="shared" si="135"/>
        <v>-40.11</v>
      </c>
      <c r="Y211" s="2"/>
      <c r="Z211" s="6">
        <f t="shared" si="136"/>
        <v>-0.40110000000000001</v>
      </c>
    </row>
    <row r="212" spans="1:26" s="27" customFormat="1" outlineLevel="1" collapsed="1" x14ac:dyDescent="0.25">
      <c r="A212" s="29"/>
      <c r="B212" s="14" t="str">
        <f>CONCATENATE("     ","Utilities                                         ")</f>
        <v xml:space="preserve">     Utilities                                         </v>
      </c>
      <c r="C212" s="14"/>
      <c r="D212" s="1">
        <f>SUM(OSRRefD22_25x_0)</f>
        <v>7089.05</v>
      </c>
      <c r="E212" s="1"/>
      <c r="F212" s="5">
        <f t="shared" ref="F212:F213" si="137">IF(D$12=0,0,D212/D$12)</f>
        <v>4.4276390906871389E-2</v>
      </c>
      <c r="G212" s="1"/>
      <c r="H212" s="1">
        <f>SUM(OSRRefH22_25x_0)</f>
        <v>6926</v>
      </c>
      <c r="I212" s="1"/>
      <c r="J212" s="5">
        <f t="shared" ref="J212:J213" si="138">IF(H$12=0,0,H212/H$12)</f>
        <v>1.4743510598893917E-2</v>
      </c>
      <c r="K212" s="1"/>
      <c r="L212" s="1">
        <f t="shared" ref="L212:L213" si="139">+D212-H212</f>
        <v>163.05000000000018</v>
      </c>
      <c r="M212" s="1"/>
      <c r="N212" s="5">
        <f t="shared" ref="N212:N213" si="140">IF(H212=0,0,L212/H212)</f>
        <v>2.354172682645108E-2</v>
      </c>
      <c r="O212" s="14"/>
      <c r="P212" s="1">
        <f>SUM(OSRRefP22_25x_0)</f>
        <v>25721.43</v>
      </c>
      <c r="Q212" s="1"/>
      <c r="R212" s="5">
        <f t="shared" ref="R212:R213" si="141">IF(P$12=0,0,P212/P$12)</f>
        <v>1.091465063689535E-2</v>
      </c>
      <c r="S212" s="1"/>
      <c r="T212" s="1">
        <f>SUM(OSRRefT22_25x_0)</f>
        <v>26933</v>
      </c>
      <c r="U212" s="1"/>
      <c r="V212" s="5">
        <f t="shared" ref="V212:V213" si="142">IF(T$12=0,0,T212/T$12)</f>
        <v>6.5547781395119045E-3</v>
      </c>
      <c r="W212" s="1"/>
      <c r="X212" s="1">
        <f t="shared" ref="X212:X213" si="143">+P212-T212</f>
        <v>-1211.5699999999997</v>
      </c>
      <c r="Y212" s="1"/>
      <c r="Z212" s="5">
        <f t="shared" ref="Z212:Z213" si="144">IF(T212=0,0,X212/T212)</f>
        <v>-4.4984591393457826E-2</v>
      </c>
    </row>
    <row r="213" spans="1:26" s="24" customFormat="1" hidden="1" outlineLevel="2" x14ac:dyDescent="0.25">
      <c r="A213" s="28"/>
      <c r="B213" s="11" t="str">
        <f>CONCATENATE("          ", "6274", " - ", "UTILITIES")</f>
        <v xml:space="preserve">          6274 - UTILITIES</v>
      </c>
      <c r="C213" s="11"/>
      <c r="D213" s="7">
        <v>7089.05</v>
      </c>
      <c r="E213" s="2"/>
      <c r="F213" s="6">
        <f t="shared" si="137"/>
        <v>4.4276390906871389E-2</v>
      </c>
      <c r="G213" s="2"/>
      <c r="H213" s="7">
        <v>6926</v>
      </c>
      <c r="I213" s="2"/>
      <c r="J213" s="6">
        <f t="shared" si="138"/>
        <v>1.4743510598893917E-2</v>
      </c>
      <c r="K213" s="2"/>
      <c r="L213" s="7">
        <f t="shared" si="139"/>
        <v>163.05000000000018</v>
      </c>
      <c r="M213" s="2"/>
      <c r="N213" s="6">
        <f t="shared" si="140"/>
        <v>2.354172682645108E-2</v>
      </c>
      <c r="O213" s="11"/>
      <c r="P213" s="7">
        <v>25721.43</v>
      </c>
      <c r="Q213" s="2"/>
      <c r="R213" s="6">
        <f t="shared" si="141"/>
        <v>1.091465063689535E-2</v>
      </c>
      <c r="S213" s="2"/>
      <c r="T213" s="7">
        <v>26933</v>
      </c>
      <c r="U213" s="2"/>
      <c r="V213" s="6">
        <f t="shared" si="142"/>
        <v>6.5547781395119045E-3</v>
      </c>
      <c r="W213" s="2"/>
      <c r="X213" s="7">
        <f t="shared" si="143"/>
        <v>-1211.5699999999997</v>
      </c>
      <c r="Y213" s="2"/>
      <c r="Z213" s="6">
        <f t="shared" si="144"/>
        <v>-4.4984591393457826E-2</v>
      </c>
    </row>
    <row r="214" spans="1:26" s="63" customFormat="1" x14ac:dyDescent="0.25">
      <c r="A214" s="36"/>
      <c r="B214" s="36"/>
      <c r="C214" s="36"/>
      <c r="D214" s="1"/>
      <c r="E214" s="1"/>
      <c r="F214" s="5"/>
      <c r="G214" s="1"/>
      <c r="H214" s="1"/>
      <c r="I214" s="1"/>
      <c r="J214" s="5"/>
      <c r="K214" s="1"/>
      <c r="L214" s="1"/>
      <c r="M214" s="1"/>
      <c r="N214" s="5"/>
      <c r="O214" s="36"/>
      <c r="P214" s="1"/>
      <c r="Q214" s="1"/>
      <c r="R214" s="5"/>
      <c r="S214" s="1"/>
      <c r="T214" s="1"/>
      <c r="U214" s="1"/>
      <c r="V214" s="5"/>
      <c r="W214" s="1"/>
      <c r="X214" s="1"/>
      <c r="Y214" s="1"/>
      <c r="Z214" s="5"/>
    </row>
    <row r="215" spans="1:26" s="23" customFormat="1" collapsed="1" x14ac:dyDescent="0.25">
      <c r="A215" s="10"/>
      <c r="B215" s="25" t="s">
        <v>0</v>
      </c>
      <c r="C215" s="10"/>
      <c r="D215" s="4">
        <f>SUM(OSRRefD25x_0)</f>
        <v>30589.780000000002</v>
      </c>
      <c r="E215" s="4"/>
      <c r="F215" s="12">
        <f t="shared" ref="F215:F219" si="145">IF(D$12=0,0,D215/D$12)</f>
        <v>0.19105593232311754</v>
      </c>
      <c r="G215" s="4"/>
      <c r="H215" s="4">
        <f>SUM(OSRRefH25x_0)</f>
        <v>33025</v>
      </c>
      <c r="I215" s="4"/>
      <c r="J215" s="12">
        <f t="shared" ref="J215:J219" si="146">IF(H$12=0,0,H215/H$12)</f>
        <v>7.0300958349476125E-2</v>
      </c>
      <c r="K215" s="4"/>
      <c r="L215" s="4">
        <f t="shared" ref="L215:L219" si="147">+D215-H215</f>
        <v>-2435.2199999999975</v>
      </c>
      <c r="M215" s="4"/>
      <c r="N215" s="12">
        <f t="shared" ref="N215:N219" si="148">IF(H215=0,0,L215/H215)</f>
        <v>-7.3738682816048368E-2</v>
      </c>
      <c r="O215" s="10"/>
      <c r="P215" s="4">
        <f>SUM(OSRRefP25x_0)</f>
        <v>451995.42000000004</v>
      </c>
      <c r="Q215" s="4"/>
      <c r="R215" s="12">
        <f t="shared" ref="R215:R219" si="149">IF(P$12=0,0,P215/P$12)</f>
        <v>0.19180007094383095</v>
      </c>
      <c r="S215" s="4"/>
      <c r="T215" s="4">
        <f>SUM(OSRRefT25x_0)</f>
        <v>231059</v>
      </c>
      <c r="U215" s="4"/>
      <c r="V215" s="12">
        <f t="shared" ref="V215:V219" si="150">IF(T$12=0,0,T215/T$12)</f>
        <v>5.6233634654048237E-2</v>
      </c>
      <c r="W215" s="4"/>
      <c r="X215" s="4">
        <f t="shared" ref="X215:X219" si="151">+P215-T215</f>
        <v>220936.42000000004</v>
      </c>
      <c r="Y215" s="4"/>
      <c r="Z215" s="12">
        <f t="shared" ref="Z215:Z219" si="152">IF(T215=0,0,X215/T215)</f>
        <v>0.95619049679951895</v>
      </c>
    </row>
    <row r="216" spans="1:26" s="24" customFormat="1" hidden="1" outlineLevel="1" x14ac:dyDescent="0.25">
      <c r="A216" s="51"/>
      <c r="B216" s="11" t="str">
        <f>CONCATENATE("          ", "9150", " - ", "MISC. INCOME")</f>
        <v xml:space="preserve">          9150 - MISC. INCOME</v>
      </c>
      <c r="C216" s="11"/>
      <c r="D216" s="2">
        <f>--30327.7</f>
        <v>30327.7</v>
      </c>
      <c r="E216" s="2"/>
      <c r="F216" s="22">
        <f t="shared" si="145"/>
        <v>0.18941904775764362</v>
      </c>
      <c r="G216" s="2"/>
      <c r="H216" s="2">
        <v>17850</v>
      </c>
      <c r="I216" s="2"/>
      <c r="J216" s="22">
        <f t="shared" si="146"/>
        <v>3.7997641378899279E-2</v>
      </c>
      <c r="K216" s="2"/>
      <c r="L216" s="2">
        <f t="shared" si="147"/>
        <v>12477.7</v>
      </c>
      <c r="M216" s="2"/>
      <c r="N216" s="22">
        <f t="shared" si="148"/>
        <v>0.69903081232493003</v>
      </c>
      <c r="O216" s="11"/>
      <c r="P216" s="2">
        <f>--141695.11</f>
        <v>141695.10999999999</v>
      </c>
      <c r="Q216" s="2"/>
      <c r="R216" s="22">
        <f t="shared" si="149"/>
        <v>6.0127007814357779E-2</v>
      </c>
      <c r="S216" s="2"/>
      <c r="T216" s="2">
        <v>78100</v>
      </c>
      <c r="U216" s="2"/>
      <c r="V216" s="22">
        <f t="shared" si="150"/>
        <v>1.9007469375705632E-2</v>
      </c>
      <c r="W216" s="2"/>
      <c r="X216" s="2">
        <f t="shared" si="151"/>
        <v>63595.109999999986</v>
      </c>
      <c r="Y216" s="2"/>
      <c r="Z216" s="22">
        <f t="shared" si="152"/>
        <v>0.81427797695262472</v>
      </c>
    </row>
    <row r="217" spans="1:26" s="24" customFormat="1" hidden="1" outlineLevel="1" x14ac:dyDescent="0.25">
      <c r="A217" s="51"/>
      <c r="B217" s="11" t="str">
        <f>CONCATENATE("          ", "9151", " - ", "MISC. INCOME")</f>
        <v xml:space="preserve">          9151 - MISC. INCOME</v>
      </c>
      <c r="C217" s="11"/>
      <c r="D217" s="2">
        <f>0</f>
        <v>0</v>
      </c>
      <c r="E217" s="2"/>
      <c r="F217" s="22">
        <f t="shared" si="145"/>
        <v>0</v>
      </c>
      <c r="G217" s="2"/>
      <c r="H217" s="2">
        <v>15175</v>
      </c>
      <c r="I217" s="2"/>
      <c r="J217" s="22">
        <f t="shared" si="146"/>
        <v>3.230331697057684E-2</v>
      </c>
      <c r="K217" s="2"/>
      <c r="L217" s="2">
        <f t="shared" si="147"/>
        <v>-15175</v>
      </c>
      <c r="M217" s="2"/>
      <c r="N217" s="22">
        <f t="shared" si="148"/>
        <v>-1</v>
      </c>
      <c r="O217" s="11"/>
      <c r="P217" s="2">
        <f>--147285.39</f>
        <v>147285.39000000001</v>
      </c>
      <c r="Q217" s="2"/>
      <c r="R217" s="22">
        <f t="shared" si="149"/>
        <v>6.2499191365677581E-2</v>
      </c>
      <c r="S217" s="2"/>
      <c r="T217" s="2">
        <v>152959</v>
      </c>
      <c r="U217" s="2"/>
      <c r="V217" s="22">
        <f t="shared" si="150"/>
        <v>3.7226165278342604E-2</v>
      </c>
      <c r="W217" s="2"/>
      <c r="X217" s="2">
        <f t="shared" si="151"/>
        <v>-5673.609999999986</v>
      </c>
      <c r="Y217" s="2"/>
      <c r="Z217" s="22">
        <f t="shared" si="152"/>
        <v>-3.7092358082884865E-2</v>
      </c>
    </row>
    <row r="218" spans="1:26" s="24" customFormat="1" hidden="1" outlineLevel="1" x14ac:dyDescent="0.25">
      <c r="A218" s="51"/>
      <c r="B218" s="11" t="str">
        <f>CONCATENATE("          ", "9152", " - ", "MISC. INCOME")</f>
        <v xml:space="preserve">          9152 - MISC. INCOME</v>
      </c>
      <c r="C218" s="11"/>
      <c r="D218" s="2">
        <f>--262.08</f>
        <v>262.08</v>
      </c>
      <c r="E218" s="2"/>
      <c r="F218" s="22">
        <f t="shared" si="145"/>
        <v>1.6368845654739146E-3</v>
      </c>
      <c r="G218" s="2"/>
      <c r="H218" s="2"/>
      <c r="I218" s="2"/>
      <c r="J218" s="22">
        <f t="shared" si="146"/>
        <v>0</v>
      </c>
      <c r="K218" s="2"/>
      <c r="L218" s="2">
        <f t="shared" si="147"/>
        <v>262.08</v>
      </c>
      <c r="M218" s="2"/>
      <c r="N218" s="22">
        <f t="shared" si="148"/>
        <v>0</v>
      </c>
      <c r="O218" s="11"/>
      <c r="P218" s="2">
        <f>--2351.02</f>
        <v>2351.02</v>
      </c>
      <c r="Q218" s="2"/>
      <c r="R218" s="22">
        <f t="shared" si="149"/>
        <v>9.9763356626570549E-4</v>
      </c>
      <c r="S218" s="2"/>
      <c r="T218" s="2"/>
      <c r="U218" s="2"/>
      <c r="V218" s="22">
        <f t="shared" si="150"/>
        <v>0</v>
      </c>
      <c r="W218" s="2"/>
      <c r="X218" s="2">
        <f t="shared" si="151"/>
        <v>2351.02</v>
      </c>
      <c r="Y218" s="2"/>
      <c r="Z218" s="22">
        <f t="shared" si="152"/>
        <v>0</v>
      </c>
    </row>
    <row r="219" spans="1:26" s="24" customFormat="1" hidden="1" outlineLevel="1" x14ac:dyDescent="0.25">
      <c r="A219" s="51"/>
      <c r="B219" s="11" t="str">
        <f>CONCATENATE("          ", "9163", " - ", "MISC. INCOME")</f>
        <v xml:space="preserve">          9163 - MISC. INCOME</v>
      </c>
      <c r="C219" s="11"/>
      <c r="D219" s="2">
        <f>0</f>
        <v>0</v>
      </c>
      <c r="E219" s="2"/>
      <c r="F219" s="22">
        <f t="shared" si="145"/>
        <v>0</v>
      </c>
      <c r="G219" s="2"/>
      <c r="H219" s="2"/>
      <c r="I219" s="2"/>
      <c r="J219" s="22">
        <f t="shared" si="146"/>
        <v>0</v>
      </c>
      <c r="K219" s="2"/>
      <c r="L219" s="2">
        <f t="shared" si="147"/>
        <v>0</v>
      </c>
      <c r="M219" s="2"/>
      <c r="N219" s="22">
        <f t="shared" si="148"/>
        <v>0</v>
      </c>
      <c r="O219" s="11"/>
      <c r="P219" s="2">
        <f>--160663.9</f>
        <v>160663.9</v>
      </c>
      <c r="Q219" s="2"/>
      <c r="R219" s="22">
        <f t="shared" si="149"/>
        <v>6.8176238197529868E-2</v>
      </c>
      <c r="S219" s="2"/>
      <c r="T219" s="2"/>
      <c r="U219" s="2"/>
      <c r="V219" s="22">
        <f t="shared" si="150"/>
        <v>0</v>
      </c>
      <c r="W219" s="2"/>
      <c r="X219" s="2">
        <f t="shared" si="151"/>
        <v>160663.9</v>
      </c>
      <c r="Y219" s="2"/>
      <c r="Z219" s="22">
        <f t="shared" si="152"/>
        <v>0</v>
      </c>
    </row>
    <row r="220" spans="1:26" x14ac:dyDescent="0.25">
      <c r="A220" s="9"/>
      <c r="B220" s="10"/>
      <c r="C220" s="10"/>
      <c r="D220" s="3"/>
      <c r="E220" s="3"/>
      <c r="F220" s="8"/>
      <c r="G220" s="3"/>
      <c r="H220" s="3"/>
      <c r="I220" s="3"/>
      <c r="J220" s="8"/>
      <c r="K220" s="3"/>
      <c r="L220" s="3"/>
      <c r="M220" s="3"/>
      <c r="N220" s="8"/>
      <c r="O220" s="10"/>
      <c r="P220" s="3"/>
      <c r="Q220" s="3"/>
      <c r="R220" s="8"/>
      <c r="S220" s="3"/>
      <c r="T220" s="3"/>
      <c r="U220" s="3"/>
      <c r="V220" s="8"/>
      <c r="W220" s="3"/>
      <c r="X220" s="3"/>
      <c r="Y220" s="3"/>
      <c r="Z220" s="8"/>
    </row>
    <row r="221" spans="1:26" s="23" customFormat="1" x14ac:dyDescent="0.25">
      <c r="A221" s="10"/>
      <c r="B221" s="26" t="s">
        <v>3</v>
      </c>
      <c r="C221" s="26"/>
      <c r="D221" s="20">
        <f>+D112-D114+D215</f>
        <v>-256177.75000000003</v>
      </c>
      <c r="E221" s="13"/>
      <c r="F221" s="19">
        <f>IF(D$12=0,0,D221/D$12)</f>
        <v>-1.6000206234464101</v>
      </c>
      <c r="G221" s="13"/>
      <c r="H221" s="20">
        <f>+H112-H114+H215</f>
        <v>-127279.08523264428</v>
      </c>
      <c r="I221" s="13"/>
      <c r="J221" s="19">
        <f>IF(H$12=0,0,H221/H$12)</f>
        <v>-0.27094145858287805</v>
      </c>
      <c r="K221" s="15"/>
      <c r="L221" s="20">
        <f>+D221-H221</f>
        <v>-128898.66476735575</v>
      </c>
      <c r="M221" s="15"/>
      <c r="N221" s="19">
        <f>IF(H221=0,0,L221/H221)</f>
        <v>1.0127246321086543</v>
      </c>
      <c r="O221" s="25"/>
      <c r="P221" s="20">
        <f>+P112-P114+P215</f>
        <v>10243.770000000135</v>
      </c>
      <c r="Q221" s="13"/>
      <c r="R221" s="19">
        <f>IF(P$12=0,0,P221/P$12)</f>
        <v>4.3468489409302265E-3</v>
      </c>
      <c r="S221" s="13"/>
      <c r="T221" s="20">
        <f>+T112-T114+T215</f>
        <v>32354.956728180638</v>
      </c>
      <c r="U221" s="13"/>
      <c r="V221" s="19">
        <f>IF(T$12=0,0,T221/T$12)</f>
        <v>7.8743386576590815E-3</v>
      </c>
      <c r="W221" s="15"/>
      <c r="X221" s="20">
        <f>+P221-T221</f>
        <v>-22111.186728180503</v>
      </c>
      <c r="Y221" s="15"/>
      <c r="Z221" s="19">
        <f>IF(T221=0,0,X221/T221)</f>
        <v>-0.68339410600793726</v>
      </c>
    </row>
    <row r="222" spans="1:26" x14ac:dyDescent="0.25">
      <c r="A222" s="9"/>
      <c r="B222" s="10"/>
      <c r="C222" s="9"/>
      <c r="D222" s="3"/>
      <c r="E222" s="3"/>
      <c r="F222" s="8"/>
      <c r="G222" s="3"/>
      <c r="H222" s="3"/>
      <c r="I222" s="3"/>
      <c r="J222" s="8"/>
      <c r="K222" s="3"/>
      <c r="L222" s="3"/>
      <c r="M222" s="3"/>
      <c r="N222" s="8"/>
      <c r="P222" s="3"/>
      <c r="Q222" s="3"/>
      <c r="R222" s="8"/>
      <c r="S222" s="3"/>
      <c r="T222" s="3"/>
      <c r="U222" s="3"/>
      <c r="V222" s="8"/>
      <c r="W222" s="3"/>
      <c r="X222" s="3"/>
      <c r="Y222" s="3"/>
      <c r="Z222" s="8"/>
    </row>
    <row r="223" spans="1:26" s="23" customFormat="1" x14ac:dyDescent="0.25">
      <c r="A223" s="52"/>
      <c r="B223" s="10" t="s">
        <v>14</v>
      </c>
      <c r="C223" s="10"/>
      <c r="D223" s="4">
        <v>103579.3</v>
      </c>
      <c r="E223" s="4"/>
      <c r="F223" s="12">
        <f>IF(D$12=0,0,D223/D$12)</f>
        <v>0.64692978278614255</v>
      </c>
      <c r="G223" s="4"/>
      <c r="H223" s="4">
        <v>145992</v>
      </c>
      <c r="I223" s="4"/>
      <c r="J223" s="12">
        <f>IF(H$12=0,0,H223/H$12)</f>
        <v>0.31077600337189154</v>
      </c>
      <c r="K223" s="4"/>
      <c r="L223" s="4">
        <f>+D223-H223</f>
        <v>-42412.7</v>
      </c>
      <c r="M223" s="4"/>
      <c r="N223" s="12">
        <f>IF(H223=0,0,L223/H223)</f>
        <v>-0.29051386377335742</v>
      </c>
      <c r="O223" s="10"/>
      <c r="P223" s="4">
        <v>510489.61000000004</v>
      </c>
      <c r="Q223" s="4"/>
      <c r="R223" s="12">
        <f>IF(P$12=0,0,P223/P$12)</f>
        <v>0.2166215388069388</v>
      </c>
      <c r="S223" s="4"/>
      <c r="T223" s="4">
        <v>674214</v>
      </c>
      <c r="U223" s="4"/>
      <c r="V223" s="12">
        <f>IF(T$12=0,0,T223/T$12)</f>
        <v>0.16408581251820739</v>
      </c>
      <c r="W223" s="4"/>
      <c r="X223" s="4">
        <f>+P223-T223</f>
        <v>-163724.38999999996</v>
      </c>
      <c r="Y223" s="4"/>
      <c r="Z223" s="12">
        <f>IF(T223=0,0,X223/T223)</f>
        <v>-0.24283742253943102</v>
      </c>
    </row>
    <row r="224" spans="1:26" x14ac:dyDescent="0.25">
      <c r="A224" s="9"/>
      <c r="B224" s="10"/>
      <c r="C224" s="10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O224" s="10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3" customFormat="1" ht="15.75" thickBot="1" x14ac:dyDescent="0.3">
      <c r="A225" s="10"/>
      <c r="B225" s="26" t="s">
        <v>4</v>
      </c>
      <c r="C225" s="26"/>
      <c r="D225" s="34">
        <f>+D221-D223</f>
        <v>-359757.05000000005</v>
      </c>
      <c r="E225" s="13"/>
      <c r="F225" s="35">
        <f>IF(D$12=0,0,D225/D$12)</f>
        <v>-2.2469504062325529</v>
      </c>
      <c r="G225" s="13"/>
      <c r="H225" s="34">
        <f>+H221-H223</f>
        <v>-273271.08523264428</v>
      </c>
      <c r="I225" s="13"/>
      <c r="J225" s="35">
        <f>IF(H$12=0,0,H225/H$12)</f>
        <v>-0.58171746195476959</v>
      </c>
      <c r="K225" s="15"/>
      <c r="L225" s="34">
        <f>D225-H225</f>
        <v>-86485.964767355763</v>
      </c>
      <c r="M225" s="15"/>
      <c r="N225" s="35">
        <f>IF(H225=0,0,L225/H225)</f>
        <v>0.31648414135629294</v>
      </c>
      <c r="O225" s="25"/>
      <c r="P225" s="34">
        <f>+P221-P223</f>
        <v>-500245.83999999991</v>
      </c>
      <c r="Q225" s="13"/>
      <c r="R225" s="35">
        <f>IF(P$12=0,0,P225/P$12)</f>
        <v>-0.21227468986600856</v>
      </c>
      <c r="S225" s="13"/>
      <c r="T225" s="34">
        <f>+T221-T223</f>
        <v>-641859.04327181936</v>
      </c>
      <c r="U225" s="13"/>
      <c r="V225" s="35">
        <f>IF(T$12=0,0,T225/T$12)</f>
        <v>-0.15621147386054829</v>
      </c>
      <c r="W225" s="15"/>
      <c r="X225" s="34">
        <f>P225-T225</f>
        <v>141613.20327181945</v>
      </c>
      <c r="Y225" s="15"/>
      <c r="Z225" s="35">
        <f>IF(T225=0,0,X225/T225)</f>
        <v>-0.22062975470433313</v>
      </c>
    </row>
    <row r="226" spans="1:26" ht="15.75" thickTop="1" x14ac:dyDescent="0.25">
      <c r="A226" s="9"/>
      <c r="B226" s="9"/>
      <c r="C226" s="9"/>
      <c r="D226" s="3"/>
      <c r="E226" s="3"/>
      <c r="F226" s="8"/>
      <c r="G226" s="3"/>
      <c r="H226" s="3"/>
      <c r="I226" s="3"/>
      <c r="J226" s="8"/>
      <c r="K226" s="3"/>
      <c r="L226" s="3"/>
      <c r="M226" s="3"/>
      <c r="N226" s="8"/>
      <c r="P226" s="3"/>
      <c r="Q226" s="3"/>
      <c r="R226" s="8"/>
      <c r="S226" s="3"/>
      <c r="T226" s="3"/>
      <c r="U226" s="3"/>
      <c r="V226" s="8"/>
      <c r="W226" s="3"/>
      <c r="X226" s="3"/>
      <c r="Y226" s="3"/>
      <c r="Z226" s="8"/>
    </row>
    <row r="227" spans="1:26" x14ac:dyDescent="0.25">
      <c r="A227" s="9"/>
      <c r="B227" s="9"/>
      <c r="C227" s="9"/>
      <c r="D227" s="3"/>
      <c r="E227" s="3"/>
      <c r="F227" s="8"/>
      <c r="G227" s="3"/>
      <c r="H227" s="3"/>
      <c r="I227" s="3"/>
      <c r="J227" s="8"/>
      <c r="K227" s="3"/>
      <c r="L227" s="3"/>
      <c r="M227" s="3"/>
      <c r="N227" s="8"/>
      <c r="P227" s="3"/>
      <c r="Q227" s="3"/>
      <c r="R227" s="8"/>
      <c r="S227" s="3"/>
      <c r="T227" s="3"/>
      <c r="U227" s="3"/>
      <c r="V227" s="8"/>
      <c r="W227" s="3"/>
      <c r="X227" s="3"/>
      <c r="Y227" s="3"/>
      <c r="Z227" s="8"/>
    </row>
    <row r="228" spans="1:26" s="23" customFormat="1" ht="15.75" thickBot="1" x14ac:dyDescent="0.3">
      <c r="A228" s="10"/>
      <c r="B228" s="26" t="s">
        <v>5</v>
      </c>
      <c r="C228" s="26"/>
      <c r="D228" s="30">
        <f>SUM(D225:D227)</f>
        <v>-359757.05000000005</v>
      </c>
      <c r="E228" s="13"/>
      <c r="F228" s="32">
        <f>IF(D$12=0,0,D228/D$12)</f>
        <v>-2.2469504062325529</v>
      </c>
      <c r="G228" s="13"/>
      <c r="H228" s="30">
        <f>SUM(H225:H227)</f>
        <v>-273271.08523264428</v>
      </c>
      <c r="I228" s="13"/>
      <c r="J228" s="32">
        <f>IF(H$12=0,0,H228/H$12)</f>
        <v>-0.58171746195476959</v>
      </c>
      <c r="K228" s="15"/>
      <c r="L228" s="30">
        <f>+D228-H228</f>
        <v>-86485.964767355763</v>
      </c>
      <c r="M228" s="15"/>
      <c r="N228" s="32">
        <f>IF(H228=0,0,L228/H228)</f>
        <v>0.31648414135629294</v>
      </c>
      <c r="O228" s="25"/>
      <c r="P228" s="30">
        <f>SUM(P225:P227)</f>
        <v>-500245.83999999991</v>
      </c>
      <c r="Q228" s="13"/>
      <c r="R228" s="32">
        <f>IF(P$12=0,0,P228/P$12)</f>
        <v>-0.21227468986600856</v>
      </c>
      <c r="S228" s="13"/>
      <c r="T228" s="30">
        <f>SUM(T225:T227)</f>
        <v>-641859.04327181936</v>
      </c>
      <c r="U228" s="13"/>
      <c r="V228" s="32">
        <f>IF(T$12=0,0,T228/T$12)</f>
        <v>-0.15621147386054829</v>
      </c>
      <c r="W228" s="15"/>
      <c r="X228" s="30">
        <f>+P228-T228</f>
        <v>141613.20327181945</v>
      </c>
      <c r="Y228" s="15"/>
      <c r="Z228" s="32">
        <f>IF(T228=0,0,X228/T228)</f>
        <v>-0.22062975470433313</v>
      </c>
    </row>
    <row r="229" spans="1:26" ht="15.75" thickTop="1" x14ac:dyDescent="0.25">
      <c r="A229" s="9"/>
      <c r="C229" s="9"/>
      <c r="D229" s="17"/>
      <c r="E229" s="17"/>
      <c r="G229" s="17"/>
      <c r="H229" s="17"/>
      <c r="I229" s="17"/>
      <c r="J229" s="42"/>
      <c r="K229" s="17"/>
      <c r="L229" s="17"/>
      <c r="M229" s="17"/>
      <c r="P229" s="17"/>
      <c r="Q229" s="17"/>
      <c r="R229" s="42"/>
      <c r="S229" s="17"/>
      <c r="T229" s="17"/>
      <c r="U229" s="17"/>
      <c r="V229" s="42"/>
      <c r="W229" s="17"/>
      <c r="X229" s="17"/>
    </row>
    <row r="230" spans="1:26" x14ac:dyDescent="0.25">
      <c r="A230" s="9"/>
      <c r="B230" s="60">
        <v>44151.567706365742</v>
      </c>
      <c r="D230" s="17"/>
      <c r="E230" s="17"/>
      <c r="G230" s="17"/>
      <c r="H230" s="17"/>
      <c r="I230" s="17"/>
      <c r="J230" s="42"/>
      <c r="K230" s="17"/>
      <c r="L230" s="17"/>
      <c r="M230" s="17"/>
      <c r="P230" s="17"/>
      <c r="Q230" s="17"/>
      <c r="R230" s="42"/>
      <c r="S230" s="17"/>
      <c r="T230" s="17"/>
      <c r="U230" s="17"/>
      <c r="V230" s="42"/>
      <c r="W230" s="17"/>
      <c r="X230" s="17"/>
    </row>
    <row r="231" spans="1:26" x14ac:dyDescent="0.25">
      <c r="A231" s="9"/>
      <c r="B231" s="58" t="s">
        <v>314</v>
      </c>
      <c r="D231" s="17"/>
      <c r="E231" s="17"/>
      <c r="G231" s="17"/>
      <c r="H231" s="17"/>
      <c r="I231" s="17"/>
      <c r="J231" s="42"/>
      <c r="K231" s="17"/>
      <c r="L231" s="17"/>
      <c r="M231" s="17"/>
      <c r="P231" s="17"/>
      <c r="Q231" s="17"/>
      <c r="R231" s="42"/>
      <c r="S231" s="17"/>
      <c r="T231" s="17"/>
      <c r="U231" s="17"/>
      <c r="V231" s="42"/>
      <c r="W231" s="17"/>
      <c r="X231" s="17"/>
    </row>
    <row r="232" spans="1:26" x14ac:dyDescent="0.25">
      <c r="A232" s="9"/>
      <c r="B232" s="53"/>
      <c r="D232" s="17"/>
      <c r="E232" s="17"/>
      <c r="G232" s="17"/>
      <c r="H232" s="17"/>
      <c r="I232" s="17"/>
      <c r="J232" s="42"/>
      <c r="K232" s="17"/>
      <c r="L232" s="17"/>
      <c r="M232" s="17"/>
      <c r="P232" s="17"/>
      <c r="Q232" s="17"/>
      <c r="R232" s="42"/>
      <c r="S232" s="17"/>
      <c r="T232" s="17"/>
      <c r="U232" s="17"/>
      <c r="V232" s="42"/>
      <c r="W232" s="17"/>
      <c r="X232" s="17"/>
    </row>
    <row r="233" spans="1:26" x14ac:dyDescent="0.25">
      <c r="D233" s="17"/>
      <c r="E233" s="17"/>
      <c r="G233" s="17"/>
      <c r="H233" s="17"/>
      <c r="I233" s="17"/>
      <c r="J233" s="42"/>
      <c r="K233" s="17"/>
      <c r="L233" s="17"/>
      <c r="M233" s="17"/>
      <c r="P233" s="17"/>
      <c r="Q233" s="17"/>
      <c r="R233" s="42"/>
      <c r="S233" s="17"/>
      <c r="T233" s="17"/>
      <c r="U233" s="17"/>
      <c r="V233" s="42"/>
      <c r="W233" s="17"/>
      <c r="X233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2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160109.03000000003</v>
      </c>
      <c r="E12" s="4"/>
      <c r="F12" s="12"/>
      <c r="G12" s="4"/>
      <c r="H12" s="4">
        <f>SUM(OSRRefH13x_0)</f>
        <v>402926</v>
      </c>
      <c r="I12" s="4"/>
      <c r="J12" s="12"/>
      <c r="K12" s="4"/>
      <c r="L12" s="4">
        <f t="shared" ref="L12:L73" si="0">+D12-H12</f>
        <v>-242816.96999999997</v>
      </c>
      <c r="M12" s="4"/>
      <c r="N12" s="12">
        <f t="shared" ref="N12:N73" si="1">IF(H12=0,0,L12/H12)</f>
        <v>-0.60263415614777893</v>
      </c>
      <c r="O12" s="10"/>
      <c r="P12" s="4">
        <f>SUM(OSRRefP13x_0)</f>
        <v>2354010.2599999998</v>
      </c>
      <c r="Q12" s="4"/>
      <c r="R12" s="12"/>
      <c r="S12" s="4"/>
      <c r="T12" s="4">
        <f>SUM(OSRRefT13x_0)</f>
        <v>3986389</v>
      </c>
      <c r="U12" s="4"/>
      <c r="V12" s="12"/>
      <c r="W12" s="4"/>
      <c r="X12" s="4">
        <f t="shared" ref="X12:X73" si="2">+P12-T12</f>
        <v>-1632378.7400000002</v>
      </c>
      <c r="Y12" s="4"/>
      <c r="Z12" s="12">
        <f t="shared" ref="Z12:Z73" si="3">IF(T12=0,0,X12/T12)</f>
        <v>-0.40948807053200281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-11383.24</f>
        <v>-11383.24</v>
      </c>
      <c r="E13" s="2"/>
      <c r="F13" s="22"/>
      <c r="G13" s="2"/>
      <c r="H13" s="2">
        <v>385375</v>
      </c>
      <c r="I13" s="2"/>
      <c r="J13" s="22"/>
      <c r="K13" s="2"/>
      <c r="L13" s="2">
        <f t="shared" si="0"/>
        <v>-396758.24</v>
      </c>
      <c r="M13" s="2"/>
      <c r="N13" s="22">
        <f t="shared" si="1"/>
        <v>-1.0295380862795978</v>
      </c>
      <c r="O13" s="11"/>
      <c r="P13" s="2">
        <f>-47460.32</f>
        <v>-47460.32</v>
      </c>
      <c r="Q13" s="2"/>
      <c r="R13" s="22"/>
      <c r="S13" s="2"/>
      <c r="T13" s="2">
        <v>3943477</v>
      </c>
      <c r="U13" s="2"/>
      <c r="V13" s="22"/>
      <c r="W13" s="2"/>
      <c r="X13" s="2">
        <f t="shared" si="2"/>
        <v>-3990937.32</v>
      </c>
      <c r="Y13" s="2"/>
      <c r="Z13" s="22">
        <f t="shared" si="3"/>
        <v>-1.0120351456341701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--17630.93</f>
        <v>17630.93</v>
      </c>
      <c r="E14" s="2"/>
      <c r="F14" s="22"/>
      <c r="G14" s="2"/>
      <c r="H14" s="2"/>
      <c r="I14" s="2"/>
      <c r="J14" s="22"/>
      <c r="K14" s="2"/>
      <c r="L14" s="2">
        <f t="shared" si="0"/>
        <v>17630.93</v>
      </c>
      <c r="M14" s="2"/>
      <c r="N14" s="22">
        <f t="shared" si="1"/>
        <v>0</v>
      </c>
      <c r="O14" s="11"/>
      <c r="P14" s="2">
        <f>--712327.57</f>
        <v>712327.57</v>
      </c>
      <c r="Q14" s="2"/>
      <c r="R14" s="22"/>
      <c r="S14" s="2"/>
      <c r="T14" s="2"/>
      <c r="U14" s="2"/>
      <c r="V14" s="22"/>
      <c r="W14" s="2"/>
      <c r="X14" s="2">
        <f t="shared" si="2"/>
        <v>712327.57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--2483.62</f>
        <v>2483.62</v>
      </c>
      <c r="E15" s="2"/>
      <c r="F15" s="22"/>
      <c r="G15" s="2"/>
      <c r="H15" s="2"/>
      <c r="I15" s="2"/>
      <c r="J15" s="22"/>
      <c r="K15" s="2"/>
      <c r="L15" s="2">
        <f t="shared" si="0"/>
        <v>2483.62</v>
      </c>
      <c r="M15" s="2"/>
      <c r="N15" s="22">
        <f t="shared" si="1"/>
        <v>0</v>
      </c>
      <c r="O15" s="11"/>
      <c r="P15" s="2">
        <f>--319139.52</f>
        <v>319139.52</v>
      </c>
      <c r="Q15" s="2"/>
      <c r="R15" s="22"/>
      <c r="S15" s="2"/>
      <c r="T15" s="2"/>
      <c r="U15" s="2"/>
      <c r="V15" s="22"/>
      <c r="W15" s="2"/>
      <c r="X15" s="2">
        <f t="shared" si="2"/>
        <v>319139.52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22"/>
      <c r="G16" s="2"/>
      <c r="H16" s="2"/>
      <c r="I16" s="2"/>
      <c r="J16" s="22"/>
      <c r="K16" s="2"/>
      <c r="L16" s="2">
        <f t="shared" si="0"/>
        <v>70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22"/>
      <c r="G17" s="2"/>
      <c r="H17" s="2"/>
      <c r="I17" s="2"/>
      <c r="J17" s="22"/>
      <c r="K17" s="2"/>
      <c r="L17" s="2">
        <f t="shared" si="0"/>
        <v>354.45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--157.47</f>
        <v>157.47</v>
      </c>
      <c r="E18" s="2"/>
      <c r="F18" s="22"/>
      <c r="G18" s="2"/>
      <c r="H18" s="2"/>
      <c r="I18" s="2"/>
      <c r="J18" s="22"/>
      <c r="K18" s="2"/>
      <c r="L18" s="2">
        <f t="shared" si="0"/>
        <v>157.47</v>
      </c>
      <c r="M18" s="2"/>
      <c r="N18" s="22">
        <f t="shared" si="1"/>
        <v>0</v>
      </c>
      <c r="O18" s="11"/>
      <c r="P18" s="2">
        <f>--197.37</f>
        <v>197.37</v>
      </c>
      <c r="Q18" s="2"/>
      <c r="R18" s="22"/>
      <c r="S18" s="2"/>
      <c r="T18" s="2"/>
      <c r="U18" s="2"/>
      <c r="V18" s="22"/>
      <c r="W18" s="2"/>
      <c r="X18" s="2">
        <f t="shared" si="2"/>
        <v>197.37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</f>
        <v>35.799999999999997</v>
      </c>
      <c r="E19" s="2"/>
      <c r="F19" s="22"/>
      <c r="G19" s="2"/>
      <c r="H19" s="2"/>
      <c r="I19" s="2"/>
      <c r="J19" s="22"/>
      <c r="K19" s="2"/>
      <c r="L19" s="2">
        <f t="shared" si="0"/>
        <v>35.799999999999997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0</f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--20.8</f>
        <v>20.8</v>
      </c>
      <c r="E21" s="2"/>
      <c r="F21" s="22"/>
      <c r="G21" s="2"/>
      <c r="H21" s="2"/>
      <c r="I21" s="2"/>
      <c r="J21" s="22"/>
      <c r="K21" s="2"/>
      <c r="L21" s="2">
        <f t="shared" si="0"/>
        <v>20.8</v>
      </c>
      <c r="M21" s="2"/>
      <c r="N21" s="22">
        <f t="shared" si="1"/>
        <v>0</v>
      </c>
      <c r="O21" s="11"/>
      <c r="P21" s="2">
        <f>--278.83</f>
        <v>278.83</v>
      </c>
      <c r="Q21" s="2"/>
      <c r="R21" s="22"/>
      <c r="S21" s="2"/>
      <c r="T21" s="2"/>
      <c r="U21" s="2"/>
      <c r="V21" s="22"/>
      <c r="W21" s="2"/>
      <c r="X21" s="2">
        <f t="shared" si="2"/>
        <v>278.83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--2328.89</f>
        <v>2328.89</v>
      </c>
      <c r="E22" s="2"/>
      <c r="F22" s="22"/>
      <c r="G22" s="2"/>
      <c r="H22" s="2"/>
      <c r="I22" s="2"/>
      <c r="J22" s="22"/>
      <c r="K22" s="2"/>
      <c r="L22" s="2">
        <f t="shared" si="0"/>
        <v>2328.89</v>
      </c>
      <c r="M22" s="2"/>
      <c r="N22" s="22">
        <f t="shared" si="1"/>
        <v>0</v>
      </c>
      <c r="O22" s="11"/>
      <c r="P22" s="2">
        <f>--35003.5</f>
        <v>35003.5</v>
      </c>
      <c r="Q22" s="2"/>
      <c r="R22" s="22"/>
      <c r="S22" s="2"/>
      <c r="T22" s="2"/>
      <c r="U22" s="2"/>
      <c r="V22" s="22"/>
      <c r="W22" s="2"/>
      <c r="X22" s="2">
        <f t="shared" si="2"/>
        <v>35003.5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--1769.95</f>
        <v>1769.95</v>
      </c>
      <c r="E23" s="2"/>
      <c r="F23" s="22"/>
      <c r="G23" s="2"/>
      <c r="H23" s="2"/>
      <c r="I23" s="2"/>
      <c r="J23" s="22"/>
      <c r="K23" s="2"/>
      <c r="L23" s="2">
        <f t="shared" si="0"/>
        <v>1769.95</v>
      </c>
      <c r="M23" s="2"/>
      <c r="N23" s="22">
        <f t="shared" si="1"/>
        <v>0</v>
      </c>
      <c r="O23" s="11"/>
      <c r="P23" s="2">
        <f>--14268.85</f>
        <v>14268.85</v>
      </c>
      <c r="Q23" s="2"/>
      <c r="R23" s="22"/>
      <c r="S23" s="2"/>
      <c r="T23" s="2"/>
      <c r="U23" s="2"/>
      <c r="V23" s="22"/>
      <c r="W23" s="2"/>
      <c r="X23" s="2">
        <f t="shared" si="2"/>
        <v>14268.85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--429.8</f>
        <v>429.8</v>
      </c>
      <c r="E24" s="2"/>
      <c r="F24" s="22"/>
      <c r="G24" s="2"/>
      <c r="H24" s="2"/>
      <c r="I24" s="2"/>
      <c r="J24" s="22"/>
      <c r="K24" s="2"/>
      <c r="L24" s="2">
        <f t="shared" si="0"/>
        <v>429.8</v>
      </c>
      <c r="M24" s="2"/>
      <c r="N24" s="22">
        <f t="shared" si="1"/>
        <v>0</v>
      </c>
      <c r="O24" s="11"/>
      <c r="P24" s="2">
        <f>--1667.96</f>
        <v>1667.96</v>
      </c>
      <c r="Q24" s="2"/>
      <c r="R24" s="22"/>
      <c r="S24" s="2"/>
      <c r="T24" s="2"/>
      <c r="U24" s="2"/>
      <c r="V24" s="22"/>
      <c r="W24" s="2"/>
      <c r="X24" s="2">
        <f t="shared" si="2"/>
        <v>1667.96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--54384.72</f>
        <v>54384.72</v>
      </c>
      <c r="E26" s="2"/>
      <c r="F26" s="22"/>
      <c r="G26" s="2"/>
      <c r="H26" s="2"/>
      <c r="I26" s="2"/>
      <c r="J26" s="22"/>
      <c r="K26" s="2"/>
      <c r="L26" s="2">
        <f t="shared" si="0"/>
        <v>54384.72</v>
      </c>
      <c r="M26" s="2"/>
      <c r="N26" s="22">
        <f t="shared" si="1"/>
        <v>0</v>
      </c>
      <c r="O26" s="11"/>
      <c r="P26" s="2">
        <f>--382804.91</f>
        <v>382804.91</v>
      </c>
      <c r="Q26" s="2"/>
      <c r="R26" s="22"/>
      <c r="S26" s="2"/>
      <c r="T26" s="2"/>
      <c r="U26" s="2"/>
      <c r="V26" s="22"/>
      <c r="W26" s="2"/>
      <c r="X26" s="2">
        <f t="shared" si="2"/>
        <v>382804.91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--22053.6</f>
        <v>22053.599999999999</v>
      </c>
      <c r="E27" s="2"/>
      <c r="F27" s="22"/>
      <c r="G27" s="2"/>
      <c r="H27" s="2"/>
      <c r="I27" s="2"/>
      <c r="J27" s="22"/>
      <c r="K27" s="2"/>
      <c r="L27" s="2">
        <f t="shared" si="0"/>
        <v>22053.599999999999</v>
      </c>
      <c r="M27" s="2"/>
      <c r="N27" s="22">
        <f t="shared" si="1"/>
        <v>0</v>
      </c>
      <c r="O27" s="11"/>
      <c r="P27" s="2">
        <f>--153087.22</f>
        <v>153087.22</v>
      </c>
      <c r="Q27" s="2"/>
      <c r="R27" s="22"/>
      <c r="S27" s="2"/>
      <c r="T27" s="2"/>
      <c r="U27" s="2"/>
      <c r="V27" s="22"/>
      <c r="W27" s="2"/>
      <c r="X27" s="2">
        <f t="shared" si="2"/>
        <v>153087.22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--6854.18</f>
        <v>6854.18</v>
      </c>
      <c r="E28" s="2"/>
      <c r="F28" s="22"/>
      <c r="G28" s="2"/>
      <c r="H28" s="2"/>
      <c r="I28" s="2"/>
      <c r="J28" s="22"/>
      <c r="K28" s="2"/>
      <c r="L28" s="2">
        <f t="shared" si="0"/>
        <v>6854.18</v>
      </c>
      <c r="M28" s="2"/>
      <c r="N28" s="22">
        <f t="shared" si="1"/>
        <v>0</v>
      </c>
      <c r="O28" s="11"/>
      <c r="P28" s="2">
        <f>--54783.68</f>
        <v>54783.68</v>
      </c>
      <c r="Q28" s="2"/>
      <c r="R28" s="22"/>
      <c r="S28" s="2"/>
      <c r="T28" s="2"/>
      <c r="U28" s="2"/>
      <c r="V28" s="22"/>
      <c r="W28" s="2"/>
      <c r="X28" s="2">
        <f t="shared" si="2"/>
        <v>54783.68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--30454.88</f>
        <v>30454.880000000001</v>
      </c>
      <c r="E29" s="2"/>
      <c r="F29" s="22"/>
      <c r="G29" s="2"/>
      <c r="H29" s="2"/>
      <c r="I29" s="2"/>
      <c r="J29" s="22"/>
      <c r="K29" s="2"/>
      <c r="L29" s="2">
        <f t="shared" si="0"/>
        <v>30454.880000000001</v>
      </c>
      <c r="M29" s="2"/>
      <c r="N29" s="22">
        <f t="shared" si="1"/>
        <v>0</v>
      </c>
      <c r="O29" s="11"/>
      <c r="P29" s="2">
        <f>--40246.04</f>
        <v>40246.04</v>
      </c>
      <c r="Q29" s="2"/>
      <c r="R29" s="22"/>
      <c r="S29" s="2"/>
      <c r="T29" s="2"/>
      <c r="U29" s="2"/>
      <c r="V29" s="22"/>
      <c r="W29" s="2"/>
      <c r="X29" s="2">
        <f t="shared" si="2"/>
        <v>40246.04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--1157.64</f>
        <v>1157.6400000000001</v>
      </c>
      <c r="E30" s="2"/>
      <c r="F30" s="22"/>
      <c r="G30" s="2"/>
      <c r="H30" s="2"/>
      <c r="I30" s="2"/>
      <c r="J30" s="22"/>
      <c r="K30" s="2"/>
      <c r="L30" s="2">
        <f t="shared" si="0"/>
        <v>1157.6400000000001</v>
      </c>
      <c r="M30" s="2"/>
      <c r="N30" s="22">
        <f t="shared" si="1"/>
        <v>0</v>
      </c>
      <c r="O30" s="11"/>
      <c r="P30" s="2">
        <f>--12489.16</f>
        <v>12489.16</v>
      </c>
      <c r="Q30" s="2"/>
      <c r="R30" s="22"/>
      <c r="S30" s="2"/>
      <c r="T30" s="2"/>
      <c r="U30" s="2"/>
      <c r="V30" s="22"/>
      <c r="W30" s="2"/>
      <c r="X30" s="2">
        <f t="shared" si="2"/>
        <v>12489.16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--4950.17</f>
        <v>4950.17</v>
      </c>
      <c r="E31" s="2"/>
      <c r="F31" s="22"/>
      <c r="G31" s="2"/>
      <c r="H31" s="2"/>
      <c r="I31" s="2"/>
      <c r="J31" s="22"/>
      <c r="K31" s="2"/>
      <c r="L31" s="2">
        <f t="shared" si="0"/>
        <v>4950.17</v>
      </c>
      <c r="M31" s="2"/>
      <c r="N31" s="22">
        <f t="shared" si="1"/>
        <v>0</v>
      </c>
      <c r="O31" s="11"/>
      <c r="P31" s="2">
        <f>--96956.61</f>
        <v>96956.61</v>
      </c>
      <c r="Q31" s="2"/>
      <c r="R31" s="22"/>
      <c r="S31" s="2"/>
      <c r="T31" s="2"/>
      <c r="U31" s="2"/>
      <c r="V31" s="22"/>
      <c r="W31" s="2"/>
      <c r="X31" s="2">
        <f t="shared" si="2"/>
        <v>96956.61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ref="D32:D33" si="4">0</f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--71.95</f>
        <v>71.95</v>
      </c>
      <c r="Q32" s="2"/>
      <c r="R32" s="22"/>
      <c r="S32" s="2"/>
      <c r="T32" s="2"/>
      <c r="U32" s="2"/>
      <c r="V32" s="22"/>
      <c r="W32" s="2"/>
      <c r="X32" s="2">
        <f t="shared" si="2"/>
        <v>71.95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--9.99</f>
        <v>9.99</v>
      </c>
      <c r="Q33" s="2"/>
      <c r="R33" s="22"/>
      <c r="S33" s="2"/>
      <c r="T33" s="2"/>
      <c r="U33" s="2"/>
      <c r="V33" s="22"/>
      <c r="W33" s="2"/>
      <c r="X33" s="2">
        <f t="shared" si="2"/>
        <v>9.99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"4100", " - ", "NON-TAXABLE SALES")</f>
        <v xml:space="preserve">          4100 - NON-TAXABLE SALES</v>
      </c>
      <c r="C34" s="11"/>
      <c r="D34" s="2">
        <f>--135.79</f>
        <v>135.79</v>
      </c>
      <c r="E34" s="2"/>
      <c r="F34" s="22"/>
      <c r="G34" s="2"/>
      <c r="H34" s="2">
        <v>17551</v>
      </c>
      <c r="I34" s="2"/>
      <c r="J34" s="22"/>
      <c r="K34" s="2"/>
      <c r="L34" s="2">
        <f t="shared" si="0"/>
        <v>-17415.21</v>
      </c>
      <c r="M34" s="2"/>
      <c r="N34" s="22">
        <f t="shared" si="1"/>
        <v>-0.99226311891060337</v>
      </c>
      <c r="O34" s="11"/>
      <c r="P34" s="2">
        <f>--164479.81</f>
        <v>164479.81</v>
      </c>
      <c r="Q34" s="2"/>
      <c r="R34" s="22"/>
      <c r="S34" s="2"/>
      <c r="T34" s="2">
        <v>42912</v>
      </c>
      <c r="U34" s="2"/>
      <c r="V34" s="22"/>
      <c r="W34" s="2"/>
      <c r="X34" s="2">
        <f t="shared" si="2"/>
        <v>121567.81</v>
      </c>
      <c r="Y34" s="2"/>
      <c r="Z34" s="22">
        <f t="shared" si="3"/>
        <v>2.8329560495898582</v>
      </c>
    </row>
    <row r="35" spans="1:26" s="24" customFormat="1" hidden="1" outlineLevel="1" x14ac:dyDescent="0.25">
      <c r="A35" s="51"/>
      <c r="B35" s="11" t="str">
        <f>CONCATENATE("          ", "4101", " - ", "NON-TAXABLE SALES-NEW TEXT")</f>
        <v xml:space="preserve">          4101 - NON-TAXABLE SALES-NEW TEXT</v>
      </c>
      <c r="C35" s="11"/>
      <c r="D35" s="2">
        <f>--7260.05</f>
        <v>7260.05</v>
      </c>
      <c r="E35" s="2"/>
      <c r="F35" s="22"/>
      <c r="G35" s="2"/>
      <c r="H35" s="2"/>
      <c r="I35" s="2"/>
      <c r="J35" s="22"/>
      <c r="K35" s="2"/>
      <c r="L35" s="2">
        <f t="shared" si="0"/>
        <v>7260.05</v>
      </c>
      <c r="M35" s="2"/>
      <c r="N35" s="22">
        <f t="shared" si="1"/>
        <v>0</v>
      </c>
      <c r="O35" s="11"/>
      <c r="P35" s="2">
        <f>--77664.89</f>
        <v>77664.89</v>
      </c>
      <c r="Q35" s="2"/>
      <c r="R35" s="22"/>
      <c r="S35" s="2"/>
      <c r="T35" s="2"/>
      <c r="U35" s="2"/>
      <c r="V35" s="22"/>
      <c r="W35" s="2"/>
      <c r="X35" s="2">
        <f t="shared" si="2"/>
        <v>77664.89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"4102", " - ", "NON-TAXABLE SALES-USED TEXT")</f>
        <v xml:space="preserve">          4102 - NON-TAXABLE SALES-USED TEXT</v>
      </c>
      <c r="C36" s="11"/>
      <c r="D36" s="2">
        <f>--2341.65</f>
        <v>2341.65</v>
      </c>
      <c r="E36" s="2"/>
      <c r="F36" s="22"/>
      <c r="G36" s="2"/>
      <c r="H36" s="2"/>
      <c r="I36" s="2"/>
      <c r="J36" s="22"/>
      <c r="K36" s="2"/>
      <c r="L36" s="2">
        <f t="shared" si="0"/>
        <v>2341.65</v>
      </c>
      <c r="M36" s="2"/>
      <c r="N36" s="22">
        <f t="shared" si="1"/>
        <v>0</v>
      </c>
      <c r="O36" s="11"/>
      <c r="P36" s="2">
        <f>--32712.47</f>
        <v>32712.47</v>
      </c>
      <c r="Q36" s="2"/>
      <c r="R36" s="22"/>
      <c r="S36" s="2"/>
      <c r="T36" s="2"/>
      <c r="U36" s="2"/>
      <c r="V36" s="22"/>
      <c r="W36" s="2"/>
      <c r="X36" s="2">
        <f t="shared" si="2"/>
        <v>32712.47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"4103", " - ", "NON-TAXABLE SALES-RENTAL TEXT")</f>
        <v xml:space="preserve">          4103 - NON-TAXABLE SALES-RENTAL TEXT</v>
      </c>
      <c r="C37" s="11"/>
      <c r="D37" s="2">
        <f>0</f>
        <v>0</v>
      </c>
      <c r="E37" s="2"/>
      <c r="F37" s="22"/>
      <c r="G37" s="2"/>
      <c r="H37" s="2"/>
      <c r="I37" s="2"/>
      <c r="J37" s="22"/>
      <c r="K37" s="2"/>
      <c r="L37" s="2">
        <f t="shared" si="0"/>
        <v>0</v>
      </c>
      <c r="M37" s="2"/>
      <c r="N37" s="22">
        <f t="shared" si="1"/>
        <v>0</v>
      </c>
      <c r="O37" s="11"/>
      <c r="P37" s="2">
        <f>--284.97</f>
        <v>284.97000000000003</v>
      </c>
      <c r="Q37" s="2"/>
      <c r="R37" s="22"/>
      <c r="S37" s="2"/>
      <c r="T37" s="2"/>
      <c r="U37" s="2"/>
      <c r="V37" s="22"/>
      <c r="W37" s="2"/>
      <c r="X37" s="2">
        <f t="shared" si="2"/>
        <v>284.97000000000003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"4104", " - ", "NON-TAXABLE SALES-DIGITAL TEXT")</f>
        <v xml:space="preserve">          4104 - NON-TAXABLE SALES-DIGITAL TEXT</v>
      </c>
      <c r="C38" s="11"/>
      <c r="D38" s="2">
        <f>--6767.67</f>
        <v>6767.67</v>
      </c>
      <c r="E38" s="2"/>
      <c r="F38" s="22"/>
      <c r="G38" s="2"/>
      <c r="H38" s="2"/>
      <c r="I38" s="2"/>
      <c r="J38" s="22"/>
      <c r="K38" s="2"/>
      <c r="L38" s="2">
        <f t="shared" si="0"/>
        <v>6767.67</v>
      </c>
      <c r="M38" s="2"/>
      <c r="N38" s="22">
        <f t="shared" si="1"/>
        <v>0</v>
      </c>
      <c r="O38" s="11"/>
      <c r="P38" s="2">
        <f>--293475.52</f>
        <v>293475.52</v>
      </c>
      <c r="Q38" s="2"/>
      <c r="R38" s="22"/>
      <c r="S38" s="2"/>
      <c r="T38" s="2"/>
      <c r="U38" s="2"/>
      <c r="V38" s="22"/>
      <c r="W38" s="2"/>
      <c r="X38" s="2">
        <f t="shared" si="2"/>
        <v>293475.52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"4113", " - ", "NON-TAXABLE SALES-TRADE BOOKS")</f>
        <v xml:space="preserve">          4113 - NON-TAXABLE SALES-TRADE BOOKS</v>
      </c>
      <c r="C39" s="11"/>
      <c r="D39" s="2">
        <f>--1655.95</f>
        <v>1655.95</v>
      </c>
      <c r="E39" s="2"/>
      <c r="F39" s="22"/>
      <c r="G39" s="2"/>
      <c r="H39" s="2"/>
      <c r="I39" s="2"/>
      <c r="J39" s="22"/>
      <c r="K39" s="2"/>
      <c r="L39" s="2">
        <f t="shared" si="0"/>
        <v>1655.95</v>
      </c>
      <c r="M39" s="2"/>
      <c r="N39" s="22">
        <f t="shared" si="1"/>
        <v>0</v>
      </c>
      <c r="O39" s="11"/>
      <c r="P39" s="2">
        <f>--1655.95</f>
        <v>1655.95</v>
      </c>
      <c r="Q39" s="2"/>
      <c r="R39" s="22"/>
      <c r="S39" s="2"/>
      <c r="T39" s="2"/>
      <c r="U39" s="2"/>
      <c r="V39" s="22"/>
      <c r="W39" s="2"/>
      <c r="X39" s="2">
        <f t="shared" si="2"/>
        <v>1655.95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"4118", " - ", "NON-TAXABLE SALES-STUDY GUIDES")</f>
        <v xml:space="preserve">          4118 - NON-TAXABLE SALES-STUDY GUIDES</v>
      </c>
      <c r="C40" s="11"/>
      <c r="D40" s="2">
        <f>--97.3</f>
        <v>97.3</v>
      </c>
      <c r="E40" s="2"/>
      <c r="F40" s="22"/>
      <c r="G40" s="2"/>
      <c r="H40" s="2"/>
      <c r="I40" s="2"/>
      <c r="J40" s="22"/>
      <c r="K40" s="2"/>
      <c r="L40" s="2">
        <f t="shared" si="0"/>
        <v>97.3</v>
      </c>
      <c r="M40" s="2"/>
      <c r="N40" s="22">
        <f t="shared" si="1"/>
        <v>0</v>
      </c>
      <c r="O40" s="11"/>
      <c r="P40" s="2">
        <f>--205.63</f>
        <v>205.63</v>
      </c>
      <c r="Q40" s="2"/>
      <c r="R40" s="22"/>
      <c r="S40" s="2"/>
      <c r="T40" s="2"/>
      <c r="U40" s="2"/>
      <c r="V40" s="22"/>
      <c r="W40" s="2"/>
      <c r="X40" s="2">
        <f t="shared" si="2"/>
        <v>205.63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"4126", " - ", "NON-TAXABLE SALES-WRITING INST")</f>
        <v xml:space="preserve">          4126 - NON-TAXABLE SALES-WRITING INST</v>
      </c>
      <c r="C41" s="11"/>
      <c r="D41" s="2">
        <f>0</f>
        <v>0</v>
      </c>
      <c r="E41" s="2"/>
      <c r="F41" s="22"/>
      <c r="G41" s="2"/>
      <c r="H41" s="2"/>
      <c r="I41" s="2"/>
      <c r="J41" s="22"/>
      <c r="K41" s="2"/>
      <c r="L41" s="2">
        <f t="shared" si="0"/>
        <v>0</v>
      </c>
      <c r="M41" s="2"/>
      <c r="N41" s="22">
        <f t="shared" si="1"/>
        <v>0</v>
      </c>
      <c r="O41" s="11"/>
      <c r="P41" s="2">
        <f>--52.68</f>
        <v>52.68</v>
      </c>
      <c r="Q41" s="2"/>
      <c r="R41" s="22"/>
      <c r="S41" s="2"/>
      <c r="T41" s="2"/>
      <c r="U41" s="2"/>
      <c r="V41" s="22"/>
      <c r="W41" s="2"/>
      <c r="X41" s="2">
        <f t="shared" si="2"/>
        <v>52.68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"4127", " - ", "NON-TAXABLE SALES-SCHOOL SUPPL")</f>
        <v xml:space="preserve">          4127 - NON-TAXABLE SALES-SCHOOL SUPPL</v>
      </c>
      <c r="C42" s="11"/>
      <c r="D42" s="2">
        <f>--160.95</f>
        <v>160.94999999999999</v>
      </c>
      <c r="E42" s="2"/>
      <c r="F42" s="22"/>
      <c r="G42" s="2"/>
      <c r="H42" s="2"/>
      <c r="I42" s="2"/>
      <c r="J42" s="22"/>
      <c r="K42" s="2"/>
      <c r="L42" s="2">
        <f t="shared" si="0"/>
        <v>160.94999999999999</v>
      </c>
      <c r="M42" s="2"/>
      <c r="N42" s="22">
        <f t="shared" si="1"/>
        <v>0</v>
      </c>
      <c r="O42" s="11"/>
      <c r="P42" s="2">
        <f>--2831.69</f>
        <v>2831.69</v>
      </c>
      <c r="Q42" s="2"/>
      <c r="R42" s="22"/>
      <c r="S42" s="2"/>
      <c r="T42" s="2"/>
      <c r="U42" s="2"/>
      <c r="V42" s="22"/>
      <c r="W42" s="2"/>
      <c r="X42" s="2">
        <f t="shared" si="2"/>
        <v>2831.69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"4131", " - ", "NON-TAXABLE SALES-FOOD")</f>
        <v xml:space="preserve">          4131 - NON-TAXABLE SALES-FOOD</v>
      </c>
      <c r="C43" s="11"/>
      <c r="D43" s="2">
        <f>--1521.48</f>
        <v>1521.48</v>
      </c>
      <c r="E43" s="2"/>
      <c r="F43" s="22"/>
      <c r="G43" s="2"/>
      <c r="H43" s="2"/>
      <c r="I43" s="2"/>
      <c r="J43" s="22"/>
      <c r="K43" s="2"/>
      <c r="L43" s="2">
        <f t="shared" si="0"/>
        <v>1521.48</v>
      </c>
      <c r="M43" s="2"/>
      <c r="N43" s="22">
        <f t="shared" si="1"/>
        <v>0</v>
      </c>
      <c r="O43" s="11"/>
      <c r="P43" s="2">
        <f>--5525.44</f>
        <v>5525.44</v>
      </c>
      <c r="Q43" s="2"/>
      <c r="R43" s="22"/>
      <c r="S43" s="2"/>
      <c r="T43" s="2"/>
      <c r="U43" s="2"/>
      <c r="V43" s="22"/>
      <c r="W43" s="2"/>
      <c r="X43" s="2">
        <f t="shared" si="2"/>
        <v>5525.44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"4132", " - ", "NON-TAXABLE SALES-JUICE")</f>
        <v xml:space="preserve">          4132 - NON-TAXABLE SALES-JUICE</v>
      </c>
      <c r="C44" s="11"/>
      <c r="D44" s="2">
        <f t="shared" ref="D44:D47" si="5">0</f>
        <v>0</v>
      </c>
      <c r="E44" s="2"/>
      <c r="F44" s="22"/>
      <c r="G44" s="2"/>
      <c r="H44" s="2"/>
      <c r="I44" s="2"/>
      <c r="J44" s="22"/>
      <c r="K44" s="2"/>
      <c r="L44" s="2">
        <f t="shared" si="0"/>
        <v>0</v>
      </c>
      <c r="M44" s="2"/>
      <c r="N44" s="22">
        <f t="shared" si="1"/>
        <v>0</v>
      </c>
      <c r="O44" s="11"/>
      <c r="P44" s="2">
        <f>--22.49</f>
        <v>22.49</v>
      </c>
      <c r="Q44" s="2"/>
      <c r="R44" s="22"/>
      <c r="S44" s="2"/>
      <c r="T44" s="2"/>
      <c r="U44" s="2"/>
      <c r="V44" s="22"/>
      <c r="W44" s="2"/>
      <c r="X44" s="2">
        <f t="shared" si="2"/>
        <v>22.49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"4133", " - ", "NON-TAXABLE SALES-CANDY")</f>
        <v xml:space="preserve">          4133 - NON-TAXABLE SALES-CANDY</v>
      </c>
      <c r="C45" s="11"/>
      <c r="D45" s="2">
        <f t="shared" si="5"/>
        <v>0</v>
      </c>
      <c r="E45" s="2"/>
      <c r="F45" s="22"/>
      <c r="G45" s="2"/>
      <c r="H45" s="2"/>
      <c r="I45" s="2"/>
      <c r="J45" s="22"/>
      <c r="K45" s="2"/>
      <c r="L45" s="2">
        <f t="shared" si="0"/>
        <v>0</v>
      </c>
      <c r="M45" s="2"/>
      <c r="N45" s="22">
        <f t="shared" si="1"/>
        <v>0</v>
      </c>
      <c r="O45" s="11"/>
      <c r="P45" s="2">
        <f>--80.71</f>
        <v>80.709999999999994</v>
      </c>
      <c r="Q45" s="2"/>
      <c r="R45" s="22"/>
      <c r="S45" s="2"/>
      <c r="T45" s="2"/>
      <c r="U45" s="2"/>
      <c r="V45" s="22"/>
      <c r="W45" s="2"/>
      <c r="X45" s="2">
        <f t="shared" si="2"/>
        <v>80.709999999999994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"4134", " - ", "NON-TAXABLE SALES-SODA")</f>
        <v xml:space="preserve">          4134 - NON-TAXABLE SALES-SODA</v>
      </c>
      <c r="C46" s="11"/>
      <c r="D46" s="2">
        <f t="shared" si="5"/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--45.53</f>
        <v>45.53</v>
      </c>
      <c r="Q46" s="2"/>
      <c r="R46" s="22"/>
      <c r="S46" s="2"/>
      <c r="T46" s="2"/>
      <c r="U46" s="2"/>
      <c r="V46" s="22"/>
      <c r="W46" s="2"/>
      <c r="X46" s="2">
        <f t="shared" si="2"/>
        <v>45.53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"4137", " - ", "NON-TAXABLE SALES-WATER")</f>
        <v xml:space="preserve">          4137 - NON-TAXABLE SALES-WATER</v>
      </c>
      <c r="C47" s="11"/>
      <c r="D47" s="2">
        <f t="shared" si="5"/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--68.25</f>
        <v>68.25</v>
      </c>
      <c r="Q47" s="2"/>
      <c r="R47" s="22"/>
      <c r="S47" s="2"/>
      <c r="T47" s="2"/>
      <c r="U47" s="2"/>
      <c r="V47" s="22"/>
      <c r="W47" s="2"/>
      <c r="X47" s="2">
        <f t="shared" si="2"/>
        <v>68.25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"4140", " - ", "NON-TAXABLE SALES-LOGO CLOTHIN")</f>
        <v xml:space="preserve">          4140 - NON-TAXABLE SALES-LOGO CLOTHIN</v>
      </c>
      <c r="C48" s="11"/>
      <c r="D48" s="2">
        <f>--13163.04</f>
        <v>13163.04</v>
      </c>
      <c r="E48" s="2"/>
      <c r="F48" s="22"/>
      <c r="G48" s="2"/>
      <c r="H48" s="2"/>
      <c r="I48" s="2"/>
      <c r="J48" s="22"/>
      <c r="K48" s="2"/>
      <c r="L48" s="2">
        <f t="shared" si="0"/>
        <v>13163.04</v>
      </c>
      <c r="M48" s="2"/>
      <c r="N48" s="22">
        <f t="shared" si="1"/>
        <v>0</v>
      </c>
      <c r="O48" s="11"/>
      <c r="P48" s="2">
        <f>--30615.48</f>
        <v>30615.48</v>
      </c>
      <c r="Q48" s="2"/>
      <c r="R48" s="22"/>
      <c r="S48" s="2"/>
      <c r="T48" s="2"/>
      <c r="U48" s="2"/>
      <c r="V48" s="22"/>
      <c r="W48" s="2"/>
      <c r="X48" s="2">
        <f t="shared" si="2"/>
        <v>30615.48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"4141", " - ", "NON-TAXABLE SALES-LOGO GIFTS")</f>
        <v xml:space="preserve">          4141 - NON-TAXABLE SALES-LOGO GIFTS</v>
      </c>
      <c r="C49" s="11"/>
      <c r="D49" s="2">
        <f>--437.71</f>
        <v>437.71</v>
      </c>
      <c r="E49" s="2"/>
      <c r="F49" s="22"/>
      <c r="G49" s="2"/>
      <c r="H49" s="2"/>
      <c r="I49" s="2"/>
      <c r="J49" s="22"/>
      <c r="K49" s="2"/>
      <c r="L49" s="2">
        <f t="shared" si="0"/>
        <v>437.71</v>
      </c>
      <c r="M49" s="2"/>
      <c r="N49" s="22">
        <f t="shared" si="1"/>
        <v>0</v>
      </c>
      <c r="O49" s="11"/>
      <c r="P49" s="2">
        <f>--3382.7</f>
        <v>3382.7</v>
      </c>
      <c r="Q49" s="2"/>
      <c r="R49" s="22"/>
      <c r="S49" s="2"/>
      <c r="T49" s="2"/>
      <c r="U49" s="2"/>
      <c r="V49" s="22"/>
      <c r="W49" s="2"/>
      <c r="X49" s="2">
        <f t="shared" si="2"/>
        <v>3382.7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"4142", " - ", "NON-TAXABLE SALES-EVERYDAY GIF")</f>
        <v xml:space="preserve">          4142 - NON-TAXABLE SALES-EVERYDAY GIF</v>
      </c>
      <c r="C50" s="11"/>
      <c r="D50" s="2">
        <f>--310.68</f>
        <v>310.68</v>
      </c>
      <c r="E50" s="2"/>
      <c r="F50" s="22"/>
      <c r="G50" s="2"/>
      <c r="H50" s="2"/>
      <c r="I50" s="2"/>
      <c r="J50" s="22"/>
      <c r="K50" s="2"/>
      <c r="L50" s="2">
        <f t="shared" si="0"/>
        <v>310.68</v>
      </c>
      <c r="M50" s="2"/>
      <c r="N50" s="22">
        <f t="shared" si="1"/>
        <v>0</v>
      </c>
      <c r="O50" s="11"/>
      <c r="P50" s="2">
        <f>--1320.41</f>
        <v>1320.41</v>
      </c>
      <c r="Q50" s="2"/>
      <c r="R50" s="22"/>
      <c r="S50" s="2"/>
      <c r="T50" s="2"/>
      <c r="U50" s="2"/>
      <c r="V50" s="22"/>
      <c r="W50" s="2"/>
      <c r="X50" s="2">
        <f t="shared" si="2"/>
        <v>1320.41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"4143", " - ", "NON-TAXABLE SALES-CARDS")</f>
        <v xml:space="preserve">          4143 - NON-TAXABLE SALES-CARDS</v>
      </c>
      <c r="C51" s="11"/>
      <c r="D51" s="2">
        <f>--9.99</f>
        <v>9.99</v>
      </c>
      <c r="E51" s="2"/>
      <c r="F51" s="22"/>
      <c r="G51" s="2"/>
      <c r="H51" s="2"/>
      <c r="I51" s="2"/>
      <c r="J51" s="22"/>
      <c r="K51" s="2"/>
      <c r="L51" s="2">
        <f t="shared" si="0"/>
        <v>9.99</v>
      </c>
      <c r="M51" s="2"/>
      <c r="N51" s="22">
        <f t="shared" si="1"/>
        <v>0</v>
      </c>
      <c r="O51" s="11"/>
      <c r="P51" s="2">
        <f>--29.97</f>
        <v>29.97</v>
      </c>
      <c r="Q51" s="2"/>
      <c r="R51" s="22"/>
      <c r="S51" s="2"/>
      <c r="T51" s="2"/>
      <c r="U51" s="2"/>
      <c r="V51" s="22"/>
      <c r="W51" s="2"/>
      <c r="X51" s="2">
        <f t="shared" si="2"/>
        <v>29.97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"4144", " - ", "NON-TAXABLE SALES-ACCESSORIES")</f>
        <v xml:space="preserve">          4144 - NON-TAXABLE SALES-ACCESSORIES</v>
      </c>
      <c r="C52" s="11"/>
      <c r="D52" s="2">
        <f>--154</f>
        <v>154</v>
      </c>
      <c r="E52" s="2"/>
      <c r="F52" s="22"/>
      <c r="G52" s="2"/>
      <c r="H52" s="2"/>
      <c r="I52" s="2"/>
      <c r="J52" s="22"/>
      <c r="K52" s="2"/>
      <c r="L52" s="2">
        <f t="shared" si="0"/>
        <v>154</v>
      </c>
      <c r="M52" s="2"/>
      <c r="N52" s="22">
        <f t="shared" si="1"/>
        <v>0</v>
      </c>
      <c r="O52" s="11"/>
      <c r="P52" s="2">
        <f>--369.75</f>
        <v>369.75</v>
      </c>
      <c r="Q52" s="2"/>
      <c r="R52" s="22"/>
      <c r="S52" s="2"/>
      <c r="T52" s="2"/>
      <c r="U52" s="2"/>
      <c r="V52" s="22"/>
      <c r="W52" s="2"/>
      <c r="X52" s="2">
        <f t="shared" si="2"/>
        <v>369.75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"4145", " - ", "NON-TAXABLE SALES-SPECIAL ORDE")</f>
        <v xml:space="preserve">          4145 - NON-TAXABLE SALES-SPECIAL ORDE</v>
      </c>
      <c r="C53" s="11"/>
      <c r="D53" s="2">
        <f>0</f>
        <v>0</v>
      </c>
      <c r="E53" s="2"/>
      <c r="F53" s="22"/>
      <c r="G53" s="2"/>
      <c r="H53" s="2"/>
      <c r="I53" s="2"/>
      <c r="J53" s="22"/>
      <c r="K53" s="2"/>
      <c r="L53" s="2">
        <f t="shared" si="0"/>
        <v>0</v>
      </c>
      <c r="M53" s="2"/>
      <c r="N53" s="22">
        <f t="shared" si="1"/>
        <v>0</v>
      </c>
      <c r="O53" s="11"/>
      <c r="P53" s="2">
        <f>--35846</f>
        <v>35846</v>
      </c>
      <c r="Q53" s="2"/>
      <c r="R53" s="22"/>
      <c r="S53" s="2"/>
      <c r="T53" s="2"/>
      <c r="U53" s="2"/>
      <c r="V53" s="22"/>
      <c r="W53" s="2"/>
      <c r="X53" s="2">
        <f t="shared" si="2"/>
        <v>35846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"4146", " - ", "NON-TAXABLE SALES-COIN OP MACH")</f>
        <v xml:space="preserve">          4146 - NON-TAXABLE SALES-COIN OP MACH</v>
      </c>
      <c r="C54" s="11"/>
      <c r="D54" s="2">
        <f>--21.3</f>
        <v>21.3</v>
      </c>
      <c r="E54" s="2"/>
      <c r="F54" s="22"/>
      <c r="G54" s="2"/>
      <c r="H54" s="2"/>
      <c r="I54" s="2"/>
      <c r="J54" s="22"/>
      <c r="K54" s="2"/>
      <c r="L54" s="2">
        <f t="shared" si="0"/>
        <v>21.3</v>
      </c>
      <c r="M54" s="2"/>
      <c r="N54" s="22">
        <f t="shared" si="1"/>
        <v>0</v>
      </c>
      <c r="O54" s="11"/>
      <c r="P54" s="2">
        <f t="shared" ref="P54:P55" si="6">--86.5</f>
        <v>86.5</v>
      </c>
      <c r="Q54" s="2"/>
      <c r="R54" s="22"/>
      <c r="S54" s="2"/>
      <c r="T54" s="2"/>
      <c r="U54" s="2"/>
      <c r="V54" s="22"/>
      <c r="W54" s="2"/>
      <c r="X54" s="2">
        <f t="shared" si="2"/>
        <v>86.5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"4147", " - ", "NON-TAXABLE SALES-MISC")</f>
        <v xml:space="preserve">          4147 - NON-TAXABLE SALES-MISC</v>
      </c>
      <c r="C55" s="11"/>
      <c r="D55" s="2">
        <f>--38.5</f>
        <v>38.5</v>
      </c>
      <c r="E55" s="2"/>
      <c r="F55" s="22"/>
      <c r="G55" s="2"/>
      <c r="H55" s="2"/>
      <c r="I55" s="2"/>
      <c r="J55" s="22"/>
      <c r="K55" s="2"/>
      <c r="L55" s="2">
        <f t="shared" si="0"/>
        <v>38.5</v>
      </c>
      <c r="M55" s="2"/>
      <c r="N55" s="22">
        <f t="shared" si="1"/>
        <v>0</v>
      </c>
      <c r="O55" s="11"/>
      <c r="P55" s="2">
        <f t="shared" si="6"/>
        <v>86.5</v>
      </c>
      <c r="Q55" s="2"/>
      <c r="R55" s="22"/>
      <c r="S55" s="2"/>
      <c r="T55" s="2"/>
      <c r="U55" s="2"/>
      <c r="V55" s="22"/>
      <c r="W55" s="2"/>
      <c r="X55" s="2">
        <f t="shared" si="2"/>
        <v>86.5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"4201", " - ", "SALES RETURN TAXABLE-NEW TEXT")</f>
        <v xml:space="preserve">          4201 - SALES RETURN TAXABLE-NEW TEXT</v>
      </c>
      <c r="C56" s="11"/>
      <c r="D56" s="2">
        <f>-1512.25</f>
        <v>-1512.25</v>
      </c>
      <c r="E56" s="2"/>
      <c r="F56" s="22"/>
      <c r="G56" s="2"/>
      <c r="H56" s="2"/>
      <c r="I56" s="2"/>
      <c r="J56" s="22"/>
      <c r="K56" s="2"/>
      <c r="L56" s="2">
        <f t="shared" si="0"/>
        <v>-1512.25</v>
      </c>
      <c r="M56" s="2"/>
      <c r="N56" s="22">
        <f t="shared" si="1"/>
        <v>0</v>
      </c>
      <c r="O56" s="11"/>
      <c r="P56" s="2">
        <f>-33761.24</f>
        <v>-33761.24</v>
      </c>
      <c r="Q56" s="2"/>
      <c r="R56" s="22"/>
      <c r="S56" s="2"/>
      <c r="T56" s="2"/>
      <c r="U56" s="2"/>
      <c r="V56" s="22"/>
      <c r="W56" s="2"/>
      <c r="X56" s="2">
        <f t="shared" si="2"/>
        <v>-33761.24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"4202", " - ", "SALES RETURN TAXABLE-USED TEXT")</f>
        <v xml:space="preserve">          4202 - SALES RETURN TAXABLE-USED TEXT</v>
      </c>
      <c r="C57" s="11"/>
      <c r="D57" s="2">
        <f>-136.05</f>
        <v>-136.05000000000001</v>
      </c>
      <c r="E57" s="2"/>
      <c r="F57" s="22"/>
      <c r="G57" s="2"/>
      <c r="H57" s="2"/>
      <c r="I57" s="2"/>
      <c r="J57" s="22"/>
      <c r="K57" s="2"/>
      <c r="L57" s="2">
        <f t="shared" si="0"/>
        <v>-136.05000000000001</v>
      </c>
      <c r="M57" s="2"/>
      <c r="N57" s="22">
        <f t="shared" si="1"/>
        <v>0</v>
      </c>
      <c r="O57" s="11"/>
      <c r="P57" s="2">
        <f>-10529</f>
        <v>-10529</v>
      </c>
      <c r="Q57" s="2"/>
      <c r="R57" s="22"/>
      <c r="S57" s="2"/>
      <c r="T57" s="2"/>
      <c r="U57" s="2"/>
      <c r="V57" s="22"/>
      <c r="W57" s="2"/>
      <c r="X57" s="2">
        <f t="shared" si="2"/>
        <v>-10529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"4204", " - ", "SALES RETURN TAXABLE-DIGITAL T")</f>
        <v xml:space="preserve">          4204 - SALES RETURN TAXABLE-DIGITAL T</v>
      </c>
      <c r="C58" s="11"/>
      <c r="D58" s="2">
        <f>-383.9</f>
        <v>-383.9</v>
      </c>
      <c r="E58" s="2"/>
      <c r="F58" s="22"/>
      <c r="G58" s="2"/>
      <c r="H58" s="2"/>
      <c r="I58" s="2"/>
      <c r="J58" s="22"/>
      <c r="K58" s="2"/>
      <c r="L58" s="2">
        <f t="shared" si="0"/>
        <v>-383.9</v>
      </c>
      <c r="M58" s="2"/>
      <c r="N58" s="22">
        <f t="shared" si="1"/>
        <v>0</v>
      </c>
      <c r="O58" s="11"/>
      <c r="P58" s="2">
        <f>-1630.85</f>
        <v>-1630.85</v>
      </c>
      <c r="Q58" s="2"/>
      <c r="R58" s="22"/>
      <c r="S58" s="2"/>
      <c r="T58" s="2"/>
      <c r="U58" s="2"/>
      <c r="V58" s="22"/>
      <c r="W58" s="2"/>
      <c r="X58" s="2">
        <f t="shared" si="2"/>
        <v>-1630.85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"4226", " - ", "SALES RETURN TAXABLE-WRITING I")</f>
        <v xml:space="preserve">          4226 - SALES RETURN TAXABLE-WRITING I</v>
      </c>
      <c r="C59" s="11"/>
      <c r="D59" s="2">
        <f>-5.36</f>
        <v>-5.36</v>
      </c>
      <c r="E59" s="2"/>
      <c r="F59" s="22"/>
      <c r="G59" s="2"/>
      <c r="H59" s="2"/>
      <c r="I59" s="2"/>
      <c r="J59" s="22"/>
      <c r="K59" s="2"/>
      <c r="L59" s="2">
        <f t="shared" si="0"/>
        <v>-5.36</v>
      </c>
      <c r="M59" s="2"/>
      <c r="N59" s="22">
        <f t="shared" si="1"/>
        <v>0</v>
      </c>
      <c r="O59" s="11"/>
      <c r="P59" s="2">
        <f>-34.23</f>
        <v>-34.229999999999997</v>
      </c>
      <c r="Q59" s="2"/>
      <c r="R59" s="22"/>
      <c r="S59" s="2"/>
      <c r="T59" s="2"/>
      <c r="U59" s="2"/>
      <c r="V59" s="22"/>
      <c r="W59" s="2"/>
      <c r="X59" s="2">
        <f t="shared" si="2"/>
        <v>-34.229999999999997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"4227", " - ", "SALES RETURN TAXABLE-SCHOOL SU")</f>
        <v xml:space="preserve">          4227 - SALES RETURN TAXABLE-SCHOOL SU</v>
      </c>
      <c r="C60" s="11"/>
      <c r="D60" s="2">
        <f>-9.99</f>
        <v>-9.99</v>
      </c>
      <c r="E60" s="2"/>
      <c r="F60" s="22"/>
      <c r="G60" s="2"/>
      <c r="H60" s="2"/>
      <c r="I60" s="2"/>
      <c r="J60" s="22"/>
      <c r="K60" s="2"/>
      <c r="L60" s="2">
        <f t="shared" si="0"/>
        <v>-9.99</v>
      </c>
      <c r="M60" s="2"/>
      <c r="N60" s="22">
        <f t="shared" si="1"/>
        <v>0</v>
      </c>
      <c r="O60" s="11"/>
      <c r="P60" s="2">
        <f>-578.66</f>
        <v>-578.66</v>
      </c>
      <c r="Q60" s="2"/>
      <c r="R60" s="22"/>
      <c r="S60" s="2"/>
      <c r="T60" s="2"/>
      <c r="U60" s="2"/>
      <c r="V60" s="22"/>
      <c r="W60" s="2"/>
      <c r="X60" s="2">
        <f t="shared" si="2"/>
        <v>-578.66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"4228", " - ", "SALES RETURN TAXABLE-ART/TECH")</f>
        <v xml:space="preserve">          4228 - SALES RETURN TAXABLE-ART/TECH</v>
      </c>
      <c r="C61" s="11"/>
      <c r="D61" s="2">
        <f>0</f>
        <v>0</v>
      </c>
      <c r="E61" s="2"/>
      <c r="F61" s="22"/>
      <c r="G61" s="2"/>
      <c r="H61" s="2"/>
      <c r="I61" s="2"/>
      <c r="J61" s="22"/>
      <c r="K61" s="2"/>
      <c r="L61" s="2">
        <f t="shared" si="0"/>
        <v>0</v>
      </c>
      <c r="M61" s="2"/>
      <c r="N61" s="22">
        <f t="shared" si="1"/>
        <v>0</v>
      </c>
      <c r="O61" s="11"/>
      <c r="P61" s="2">
        <f>-222.2</f>
        <v>-222.2</v>
      </c>
      <c r="Q61" s="2"/>
      <c r="R61" s="22"/>
      <c r="S61" s="2"/>
      <c r="T61" s="2"/>
      <c r="U61" s="2"/>
      <c r="V61" s="22"/>
      <c r="W61" s="2"/>
      <c r="X61" s="2">
        <f t="shared" si="2"/>
        <v>-222.2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"4240", " - ", "SALES RETURN TAXABLE-LOGO CLOT")</f>
        <v xml:space="preserve">          4240 - SALES RETURN TAXABLE-LOGO CLOT</v>
      </c>
      <c r="C62" s="11"/>
      <c r="D62" s="2">
        <f>-2239.56</f>
        <v>-2239.56</v>
      </c>
      <c r="E62" s="2"/>
      <c r="F62" s="22"/>
      <c r="G62" s="2"/>
      <c r="H62" s="2"/>
      <c r="I62" s="2"/>
      <c r="J62" s="22"/>
      <c r="K62" s="2"/>
      <c r="L62" s="2">
        <f t="shared" si="0"/>
        <v>-2239.56</v>
      </c>
      <c r="M62" s="2"/>
      <c r="N62" s="22">
        <f t="shared" si="1"/>
        <v>0</v>
      </c>
      <c r="O62" s="11"/>
      <c r="P62" s="2">
        <f>-13849.52</f>
        <v>-13849.52</v>
      </c>
      <c r="Q62" s="2"/>
      <c r="R62" s="22"/>
      <c r="S62" s="2"/>
      <c r="T62" s="2"/>
      <c r="U62" s="2"/>
      <c r="V62" s="22"/>
      <c r="W62" s="2"/>
      <c r="X62" s="2">
        <f t="shared" si="2"/>
        <v>-13849.52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"4241", " - ", "SALES RETURN TAXABLE-LOGO GIFT")</f>
        <v xml:space="preserve">          4241 - SALES RETURN TAXABLE-LOGO GIFT</v>
      </c>
      <c r="C63" s="11"/>
      <c r="D63" s="2">
        <f>-379.45</f>
        <v>-379.45</v>
      </c>
      <c r="E63" s="2"/>
      <c r="F63" s="22"/>
      <c r="G63" s="2"/>
      <c r="H63" s="2"/>
      <c r="I63" s="2"/>
      <c r="J63" s="22"/>
      <c r="K63" s="2"/>
      <c r="L63" s="2">
        <f t="shared" si="0"/>
        <v>-379.45</v>
      </c>
      <c r="M63" s="2"/>
      <c r="N63" s="22">
        <f t="shared" si="1"/>
        <v>0</v>
      </c>
      <c r="O63" s="11"/>
      <c r="P63" s="2">
        <f>-2696.56</f>
        <v>-2696.56</v>
      </c>
      <c r="Q63" s="2"/>
      <c r="R63" s="22"/>
      <c r="S63" s="2"/>
      <c r="T63" s="2"/>
      <c r="U63" s="2"/>
      <c r="V63" s="22"/>
      <c r="W63" s="2"/>
      <c r="X63" s="2">
        <f t="shared" si="2"/>
        <v>-2696.56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"4242", " - ", "SALES RETURN TAXABLE-EVERYDAY")</f>
        <v xml:space="preserve">          4242 - SALES RETURN TAXABLE-EVERYDAY</v>
      </c>
      <c r="C64" s="11"/>
      <c r="D64" s="2">
        <f>-266.95</f>
        <v>-266.95</v>
      </c>
      <c r="E64" s="2"/>
      <c r="F64" s="22"/>
      <c r="G64" s="2"/>
      <c r="H64" s="2"/>
      <c r="I64" s="2"/>
      <c r="J64" s="22"/>
      <c r="K64" s="2"/>
      <c r="L64" s="2">
        <f t="shared" si="0"/>
        <v>-266.95</v>
      </c>
      <c r="M64" s="2"/>
      <c r="N64" s="22">
        <f t="shared" si="1"/>
        <v>0</v>
      </c>
      <c r="O64" s="11"/>
      <c r="P64" s="2">
        <f>-1321.51</f>
        <v>-1321.51</v>
      </c>
      <c r="Q64" s="2"/>
      <c r="R64" s="22"/>
      <c r="S64" s="2"/>
      <c r="T64" s="2"/>
      <c r="U64" s="2"/>
      <c r="V64" s="22"/>
      <c r="W64" s="2"/>
      <c r="X64" s="2">
        <f t="shared" si="2"/>
        <v>-1321.51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"4243", " - ", "SALES RETURN TAXABLE-CARDS")</f>
        <v xml:space="preserve">          4243 - SALES RETURN TAXABLE-CARDS</v>
      </c>
      <c r="C65" s="11"/>
      <c r="D65" s="2">
        <f>-829.55</f>
        <v>-829.55</v>
      </c>
      <c r="E65" s="2"/>
      <c r="F65" s="22"/>
      <c r="G65" s="2"/>
      <c r="H65" s="2"/>
      <c r="I65" s="2"/>
      <c r="J65" s="22"/>
      <c r="K65" s="2"/>
      <c r="L65" s="2">
        <f t="shared" si="0"/>
        <v>-829.55</v>
      </c>
      <c r="M65" s="2"/>
      <c r="N65" s="22">
        <f t="shared" si="1"/>
        <v>0</v>
      </c>
      <c r="O65" s="11"/>
      <c r="P65" s="2">
        <f>-982.92</f>
        <v>-982.92</v>
      </c>
      <c r="Q65" s="2"/>
      <c r="R65" s="22"/>
      <c r="S65" s="2"/>
      <c r="T65" s="2"/>
      <c r="U65" s="2"/>
      <c r="V65" s="22"/>
      <c r="W65" s="2"/>
      <c r="X65" s="2">
        <f t="shared" si="2"/>
        <v>-982.92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"4244", " - ", "SALES RETURN TAXABLE-ACCESSORI")</f>
        <v xml:space="preserve">          4244 - SALES RETURN TAXABLE-ACCESSORI</v>
      </c>
      <c r="C66" s="11"/>
      <c r="D66" s="2">
        <f>0</f>
        <v>0</v>
      </c>
      <c r="E66" s="2"/>
      <c r="F66" s="22"/>
      <c r="G66" s="2"/>
      <c r="H66" s="2"/>
      <c r="I66" s="2"/>
      <c r="J66" s="22"/>
      <c r="K66" s="2"/>
      <c r="L66" s="2">
        <f t="shared" si="0"/>
        <v>0</v>
      </c>
      <c r="M66" s="2"/>
      <c r="N66" s="22">
        <f t="shared" si="1"/>
        <v>0</v>
      </c>
      <c r="O66" s="11"/>
      <c r="P66" s="2">
        <f>-410.99</f>
        <v>-410.99</v>
      </c>
      <c r="Q66" s="2"/>
      <c r="R66" s="22"/>
      <c r="S66" s="2"/>
      <c r="T66" s="2"/>
      <c r="U66" s="2"/>
      <c r="V66" s="22"/>
      <c r="W66" s="2"/>
      <c r="X66" s="2">
        <f t="shared" si="2"/>
        <v>-410.99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"4245", " - ", "SALES RETURN TAXABLE-SPECIAL O")</f>
        <v xml:space="preserve">          4245 - SALES RETURN TAXABLE-SPECIAL O</v>
      </c>
      <c r="C67" s="11"/>
      <c r="D67" s="2">
        <f>-363.98</f>
        <v>-363.98</v>
      </c>
      <c r="E67" s="2"/>
      <c r="F67" s="22"/>
      <c r="G67" s="2"/>
      <c r="H67" s="2"/>
      <c r="I67" s="2"/>
      <c r="J67" s="22"/>
      <c r="K67" s="2"/>
      <c r="L67" s="2">
        <f t="shared" si="0"/>
        <v>-363.98</v>
      </c>
      <c r="M67" s="2"/>
      <c r="N67" s="22">
        <f t="shared" si="1"/>
        <v>0</v>
      </c>
      <c r="O67" s="11"/>
      <c r="P67" s="2">
        <f>-1546.93</f>
        <v>-1546.93</v>
      </c>
      <c r="Q67" s="2"/>
      <c r="R67" s="22"/>
      <c r="S67" s="2"/>
      <c r="T67" s="2"/>
      <c r="U67" s="2"/>
      <c r="V67" s="22"/>
      <c r="W67" s="2"/>
      <c r="X67" s="2">
        <f t="shared" si="2"/>
        <v>-1546.93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"4301", " - ", "SALES RETURN NON TAXABLE-NEW T")</f>
        <v xml:space="preserve">          4301 - SALES RETURN NON TAXABLE-NEW T</v>
      </c>
      <c r="C68" s="11"/>
      <c r="D68" s="2">
        <f>-535.49</f>
        <v>-535.49</v>
      </c>
      <c r="E68" s="2"/>
      <c r="F68" s="22"/>
      <c r="G68" s="2"/>
      <c r="H68" s="2"/>
      <c r="I68" s="2"/>
      <c r="J68" s="22"/>
      <c r="K68" s="2"/>
      <c r="L68" s="2">
        <f t="shared" si="0"/>
        <v>-535.49</v>
      </c>
      <c r="M68" s="2"/>
      <c r="N68" s="22">
        <f t="shared" si="1"/>
        <v>0</v>
      </c>
      <c r="O68" s="11"/>
      <c r="P68" s="2">
        <f>-2376.17</f>
        <v>-2376.17</v>
      </c>
      <c r="Q68" s="2"/>
      <c r="R68" s="22"/>
      <c r="S68" s="2"/>
      <c r="T68" s="2"/>
      <c r="U68" s="2"/>
      <c r="V68" s="22"/>
      <c r="W68" s="2"/>
      <c r="X68" s="2">
        <f t="shared" si="2"/>
        <v>-2376.17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"4302", " - ", "SALES RETURN NON TAXABLE-TEXT")</f>
        <v xml:space="preserve">          4302 - SALES RETURN NON TAXABLE-TEXT</v>
      </c>
      <c r="C69" s="11"/>
      <c r="D69" s="2">
        <f>-169.72</f>
        <v>-169.72</v>
      </c>
      <c r="E69" s="2"/>
      <c r="F69" s="22"/>
      <c r="G69" s="2"/>
      <c r="H69" s="2"/>
      <c r="I69" s="2"/>
      <c r="J69" s="22"/>
      <c r="K69" s="2"/>
      <c r="L69" s="2">
        <f t="shared" si="0"/>
        <v>-169.72</v>
      </c>
      <c r="M69" s="2"/>
      <c r="N69" s="22">
        <f t="shared" si="1"/>
        <v>0</v>
      </c>
      <c r="O69" s="11"/>
      <c r="P69" s="2">
        <f>-1316.8</f>
        <v>-1316.8</v>
      </c>
      <c r="Q69" s="2"/>
      <c r="R69" s="22"/>
      <c r="S69" s="2"/>
      <c r="T69" s="2"/>
      <c r="U69" s="2"/>
      <c r="V69" s="22"/>
      <c r="W69" s="2"/>
      <c r="X69" s="2">
        <f t="shared" si="2"/>
        <v>-1316.8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"4304", " - ", "SALES RETURN NON TAXABLE-DIGIT")</f>
        <v xml:space="preserve">          4304 - SALES RETURN NON TAXABLE-DIGIT</v>
      </c>
      <c r="C70" s="11"/>
      <c r="D70" s="2">
        <f>-692.75</f>
        <v>-692.75</v>
      </c>
      <c r="E70" s="2"/>
      <c r="F70" s="22"/>
      <c r="G70" s="2"/>
      <c r="H70" s="2"/>
      <c r="I70" s="2"/>
      <c r="J70" s="22"/>
      <c r="K70" s="2"/>
      <c r="L70" s="2">
        <f t="shared" si="0"/>
        <v>-692.75</v>
      </c>
      <c r="M70" s="2"/>
      <c r="N70" s="22">
        <f t="shared" si="1"/>
        <v>0</v>
      </c>
      <c r="O70" s="11"/>
      <c r="P70" s="2">
        <f>-14102.11</f>
        <v>-14102.11</v>
      </c>
      <c r="Q70" s="2"/>
      <c r="R70" s="22"/>
      <c r="S70" s="2"/>
      <c r="T70" s="2"/>
      <c r="U70" s="2"/>
      <c r="V70" s="22"/>
      <c r="W70" s="2"/>
      <c r="X70" s="2">
        <f t="shared" si="2"/>
        <v>-14102.11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"4340", " - ", "SALES RETURN NON TAXABLE-LOGO")</f>
        <v xml:space="preserve">          4340 - SALES RETURN NON TAXABLE-LOGO</v>
      </c>
      <c r="C71" s="11"/>
      <c r="D71" s="2">
        <f>-195.69</f>
        <v>-195.69</v>
      </c>
      <c r="E71" s="2"/>
      <c r="F71" s="22"/>
      <c r="G71" s="2"/>
      <c r="H71" s="2"/>
      <c r="I71" s="2"/>
      <c r="J71" s="22"/>
      <c r="K71" s="2"/>
      <c r="L71" s="2">
        <f t="shared" si="0"/>
        <v>-195.69</v>
      </c>
      <c r="M71" s="2"/>
      <c r="N71" s="22">
        <f t="shared" si="1"/>
        <v>0</v>
      </c>
      <c r="O71" s="11"/>
      <c r="P71" s="2">
        <f>-736.73</f>
        <v>-736.73</v>
      </c>
      <c r="Q71" s="2"/>
      <c r="R71" s="22"/>
      <c r="S71" s="2"/>
      <c r="T71" s="2"/>
      <c r="U71" s="2"/>
      <c r="V71" s="22"/>
      <c r="W71" s="2"/>
      <c r="X71" s="2">
        <f t="shared" si="2"/>
        <v>-736.73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"4341", " - ", "SALES RETURN NON TAXABLE-LOGO")</f>
        <v xml:space="preserve">          4341 - SALES RETURN NON TAXABLE-LOGO</v>
      </c>
      <c r="C72" s="11"/>
      <c r="D72" s="2">
        <f t="shared" ref="D72:D73" si="7">0</f>
        <v>0</v>
      </c>
      <c r="E72" s="2"/>
      <c r="F72" s="22"/>
      <c r="G72" s="2"/>
      <c r="H72" s="2"/>
      <c r="I72" s="2"/>
      <c r="J72" s="22"/>
      <c r="K72" s="2"/>
      <c r="L72" s="2">
        <f t="shared" si="0"/>
        <v>0</v>
      </c>
      <c r="M72" s="2"/>
      <c r="N72" s="22">
        <f t="shared" si="1"/>
        <v>0</v>
      </c>
      <c r="O72" s="11"/>
      <c r="P72" s="2">
        <f>-146.9</f>
        <v>-146.9</v>
      </c>
      <c r="Q72" s="2"/>
      <c r="R72" s="22"/>
      <c r="S72" s="2"/>
      <c r="T72" s="2"/>
      <c r="U72" s="2"/>
      <c r="V72" s="22"/>
      <c r="W72" s="2"/>
      <c r="X72" s="2">
        <f t="shared" si="2"/>
        <v>-146.9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"4342", " - ", "SALES RETURN NON TAXABLE-EVERY")</f>
        <v xml:space="preserve">          4342 - SALES RETURN NON TAXABLE-EVERY</v>
      </c>
      <c r="C73" s="11"/>
      <c r="D73" s="2">
        <f t="shared" si="7"/>
        <v>0</v>
      </c>
      <c r="E73" s="2"/>
      <c r="F73" s="22"/>
      <c r="G73" s="2"/>
      <c r="H73" s="2"/>
      <c r="I73" s="2"/>
      <c r="J73" s="22"/>
      <c r="K73" s="2"/>
      <c r="L73" s="2">
        <f t="shared" si="0"/>
        <v>0</v>
      </c>
      <c r="M73" s="2"/>
      <c r="N73" s="22">
        <f t="shared" si="1"/>
        <v>0</v>
      </c>
      <c r="O73" s="11"/>
      <c r="P73" s="2">
        <f>-118.7</f>
        <v>-118.7</v>
      </c>
      <c r="Q73" s="2"/>
      <c r="R73" s="22"/>
      <c r="S73" s="2"/>
      <c r="T73" s="2"/>
      <c r="U73" s="2"/>
      <c r="V73" s="22"/>
      <c r="W73" s="2"/>
      <c r="X73" s="2">
        <f t="shared" si="2"/>
        <v>-118.7</v>
      </c>
      <c r="Y73" s="2"/>
      <c r="Z73" s="22">
        <f t="shared" si="3"/>
        <v>0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collapsed="1" x14ac:dyDescent="0.25">
      <c r="A75" s="10"/>
      <c r="B75" s="25" t="s">
        <v>8</v>
      </c>
      <c r="C75" s="10"/>
      <c r="D75" s="4">
        <f>SUM(OSRRefD16x_0)</f>
        <v>86470.499999999985</v>
      </c>
      <c r="E75" s="4"/>
      <c r="F75" s="12">
        <f t="shared" ref="F75:F106" si="8">IF(D$12=0,0,D75/D$12)</f>
        <v>0.54007259927812923</v>
      </c>
      <c r="G75" s="4"/>
      <c r="H75" s="4">
        <f>SUM(OSRRefH16x_0)</f>
        <v>191133</v>
      </c>
      <c r="I75" s="4"/>
      <c r="J75" s="12">
        <f t="shared" ref="J75:J106" si="9">IF(H$12=0,0,H75/H$12)</f>
        <v>0.47436253803427925</v>
      </c>
      <c r="K75" s="4"/>
      <c r="L75" s="4">
        <f t="shared" ref="L75:L106" si="10">+D75-H75</f>
        <v>-104662.50000000001</v>
      </c>
      <c r="M75" s="4"/>
      <c r="N75" s="12">
        <f t="shared" ref="N75:N106" si="11">IF(H75=0,0,L75/H75)</f>
        <v>-0.54758989813376036</v>
      </c>
      <c r="O75" s="10"/>
      <c r="P75" s="4">
        <f>SUM(OSRRefP16x_0)</f>
        <v>1540429.9300000002</v>
      </c>
      <c r="Q75" s="4"/>
      <c r="R75" s="12">
        <f t="shared" ref="R75:R106" si="12">IF(P$12=0,0,P75/P$12)</f>
        <v>0.65438539337547341</v>
      </c>
      <c r="S75" s="4"/>
      <c r="T75" s="4">
        <f>SUM(OSRRefT16x_0)</f>
        <v>2472894</v>
      </c>
      <c r="U75" s="4"/>
      <c r="V75" s="12">
        <f t="shared" ref="V75:V106" si="13">IF(T$12=0,0,T75/T$12)</f>
        <v>0.62033434268456988</v>
      </c>
      <c r="W75" s="4"/>
      <c r="X75" s="4">
        <f t="shared" ref="X75:X106" si="14">+P75-T75</f>
        <v>-932464.06999999983</v>
      </c>
      <c r="Y75" s="4"/>
      <c r="Z75" s="12">
        <f t="shared" ref="Z75:Z106" si="15">IF(T75=0,0,X75/T75)</f>
        <v>-0.37707401530352691</v>
      </c>
    </row>
    <row r="76" spans="1:26" s="24" customFormat="1" hidden="1" outlineLevel="1" x14ac:dyDescent="0.25">
      <c r="A76" s="51"/>
      <c r="B76" s="11" t="str">
        <f>CONCATENATE("          ", "5000", " - ", "PURCHASES @ COST")</f>
        <v xml:space="preserve">          5000 - PURCHASES @ COST</v>
      </c>
      <c r="C76" s="11"/>
      <c r="D76" s="2"/>
      <c r="E76" s="2"/>
      <c r="F76" s="22">
        <f t="shared" si="8"/>
        <v>0</v>
      </c>
      <c r="G76" s="2"/>
      <c r="H76" s="2">
        <v>191133</v>
      </c>
      <c r="I76" s="2"/>
      <c r="J76" s="22">
        <f t="shared" si="9"/>
        <v>0.47436253803427925</v>
      </c>
      <c r="K76" s="2"/>
      <c r="L76" s="2">
        <f t="shared" si="10"/>
        <v>-191133</v>
      </c>
      <c r="M76" s="2"/>
      <c r="N76" s="22">
        <f t="shared" si="11"/>
        <v>-1</v>
      </c>
      <c r="O76" s="11"/>
      <c r="P76" s="2"/>
      <c r="Q76" s="2"/>
      <c r="R76" s="22">
        <f t="shared" si="12"/>
        <v>0</v>
      </c>
      <c r="S76" s="2"/>
      <c r="T76" s="2">
        <v>2472894</v>
      </c>
      <c r="U76" s="2"/>
      <c r="V76" s="22">
        <f t="shared" si="13"/>
        <v>0.62033434268456988</v>
      </c>
      <c r="W76" s="2"/>
      <c r="X76" s="2">
        <f t="shared" si="14"/>
        <v>-2472894</v>
      </c>
      <c r="Y76" s="2"/>
      <c r="Z76" s="22">
        <f t="shared" si="15"/>
        <v>-1</v>
      </c>
    </row>
    <row r="77" spans="1:26" s="24" customFormat="1" hidden="1" outlineLevel="1" x14ac:dyDescent="0.25">
      <c r="A77" s="51"/>
      <c r="B77" s="11" t="str">
        <f>CONCATENATE("          ", "5001", " - ", "PURCHASES @ COST-NEW TEXT")</f>
        <v xml:space="preserve">          5001 - PURCHASES @ COST-NEW TEXT</v>
      </c>
      <c r="C77" s="11"/>
      <c r="D77" s="2">
        <v>55775.07</v>
      </c>
      <c r="E77" s="2"/>
      <c r="F77" s="22">
        <f t="shared" si="8"/>
        <v>0.34835680411029901</v>
      </c>
      <c r="G77" s="2"/>
      <c r="H77" s="2"/>
      <c r="I77" s="2"/>
      <c r="J77" s="22">
        <f t="shared" si="9"/>
        <v>0</v>
      </c>
      <c r="K77" s="2"/>
      <c r="L77" s="2">
        <f t="shared" si="10"/>
        <v>55775.07</v>
      </c>
      <c r="M77" s="2"/>
      <c r="N77" s="22">
        <f t="shared" si="11"/>
        <v>0</v>
      </c>
      <c r="O77" s="11"/>
      <c r="P77" s="2">
        <v>1349196.8299999998</v>
      </c>
      <c r="Q77" s="2"/>
      <c r="R77" s="22">
        <f t="shared" si="12"/>
        <v>0.5731482368305395</v>
      </c>
      <c r="S77" s="2"/>
      <c r="T77" s="2"/>
      <c r="U77" s="2"/>
      <c r="V77" s="22">
        <f t="shared" si="13"/>
        <v>0</v>
      </c>
      <c r="W77" s="2"/>
      <c r="X77" s="2">
        <f t="shared" si="14"/>
        <v>1349196.8299999998</v>
      </c>
      <c r="Y77" s="2"/>
      <c r="Z77" s="22">
        <f t="shared" si="15"/>
        <v>0</v>
      </c>
    </row>
    <row r="78" spans="1:26" s="24" customFormat="1" hidden="1" outlineLevel="1" x14ac:dyDescent="0.25">
      <c r="A78" s="51"/>
      <c r="B78" s="11" t="str">
        <f>CONCATENATE("          ", "5002", " - ", "PURCHASES @ COST-USED TEXT")</f>
        <v xml:space="preserve">          5002 - PURCHASES @ COST-USED TEXT</v>
      </c>
      <c r="C78" s="11"/>
      <c r="D78" s="2">
        <v>6331.95</v>
      </c>
      <c r="E78" s="2"/>
      <c r="F78" s="22">
        <f t="shared" si="8"/>
        <v>3.9547738188158398E-2</v>
      </c>
      <c r="G78" s="2"/>
      <c r="H78" s="2"/>
      <c r="I78" s="2"/>
      <c r="J78" s="22">
        <f t="shared" si="9"/>
        <v>0</v>
      </c>
      <c r="K78" s="2"/>
      <c r="L78" s="2">
        <f t="shared" si="10"/>
        <v>6331.95</v>
      </c>
      <c r="M78" s="2"/>
      <c r="N78" s="22">
        <f t="shared" si="11"/>
        <v>0</v>
      </c>
      <c r="O78" s="11"/>
      <c r="P78" s="2">
        <v>303063.33</v>
      </c>
      <c r="Q78" s="2"/>
      <c r="R78" s="22">
        <f t="shared" si="12"/>
        <v>0.12874341932562353</v>
      </c>
      <c r="S78" s="2"/>
      <c r="T78" s="2"/>
      <c r="U78" s="2"/>
      <c r="V78" s="22">
        <f t="shared" si="13"/>
        <v>0</v>
      </c>
      <c r="W78" s="2"/>
      <c r="X78" s="2">
        <f t="shared" si="14"/>
        <v>303063.33</v>
      </c>
      <c r="Y78" s="2"/>
      <c r="Z78" s="22">
        <f t="shared" si="15"/>
        <v>0</v>
      </c>
    </row>
    <row r="79" spans="1:26" s="24" customFormat="1" hidden="1" outlineLevel="1" x14ac:dyDescent="0.25">
      <c r="A79" s="51"/>
      <c r="B79" s="11" t="str">
        <f>CONCATENATE("          ", "5003", " - ", "PURCHASES @ COST-RENTAL TEXT")</f>
        <v xml:space="preserve">          5003 - PURCHASES @ COST-RENTAL TEXT</v>
      </c>
      <c r="C79" s="11"/>
      <c r="D79" s="2">
        <v>10600.69</v>
      </c>
      <c r="E79" s="2"/>
      <c r="F79" s="22">
        <f t="shared" si="8"/>
        <v>6.6209195071633364E-2</v>
      </c>
      <c r="G79" s="2"/>
      <c r="H79" s="2"/>
      <c r="I79" s="2"/>
      <c r="J79" s="22">
        <f t="shared" si="9"/>
        <v>0</v>
      </c>
      <c r="K79" s="2"/>
      <c r="L79" s="2">
        <f t="shared" si="10"/>
        <v>10600.69</v>
      </c>
      <c r="M79" s="2"/>
      <c r="N79" s="22">
        <f t="shared" si="11"/>
        <v>0</v>
      </c>
      <c r="O79" s="11"/>
      <c r="P79" s="2">
        <v>-485.41</v>
      </c>
      <c r="Q79" s="2"/>
      <c r="R79" s="22">
        <f t="shared" si="12"/>
        <v>-2.0620555833941016E-4</v>
      </c>
      <c r="S79" s="2"/>
      <c r="T79" s="2"/>
      <c r="U79" s="2"/>
      <c r="V79" s="22">
        <f t="shared" si="13"/>
        <v>0</v>
      </c>
      <c r="W79" s="2"/>
      <c r="X79" s="2">
        <f t="shared" si="14"/>
        <v>-485.41</v>
      </c>
      <c r="Y79" s="2"/>
      <c r="Z79" s="22">
        <f t="shared" si="15"/>
        <v>0</v>
      </c>
    </row>
    <row r="80" spans="1:26" s="24" customFormat="1" hidden="1" outlineLevel="1" x14ac:dyDescent="0.25">
      <c r="A80" s="51"/>
      <c r="B80" s="11" t="str">
        <f>CONCATENATE("          ", "5004", " - ", "PURCHASES @ COST-DIGITAL TEXT")</f>
        <v xml:space="preserve">          5004 - PURCHASES @ COST-DIGITAL TEXT</v>
      </c>
      <c r="C80" s="11"/>
      <c r="D80" s="2">
        <v>12903.46</v>
      </c>
      <c r="E80" s="2"/>
      <c r="F80" s="22">
        <f t="shared" si="8"/>
        <v>8.059170678880509E-2</v>
      </c>
      <c r="G80" s="2"/>
      <c r="H80" s="2"/>
      <c r="I80" s="2"/>
      <c r="J80" s="22">
        <f t="shared" si="9"/>
        <v>0</v>
      </c>
      <c r="K80" s="2"/>
      <c r="L80" s="2">
        <f t="shared" si="10"/>
        <v>12903.46</v>
      </c>
      <c r="M80" s="2"/>
      <c r="N80" s="22">
        <f t="shared" si="11"/>
        <v>0</v>
      </c>
      <c r="O80" s="11"/>
      <c r="P80" s="2">
        <v>195519.53</v>
      </c>
      <c r="Q80" s="2"/>
      <c r="R80" s="22">
        <f t="shared" si="12"/>
        <v>8.3058061947444542E-2</v>
      </c>
      <c r="S80" s="2"/>
      <c r="T80" s="2"/>
      <c r="U80" s="2"/>
      <c r="V80" s="22">
        <f t="shared" si="13"/>
        <v>0</v>
      </c>
      <c r="W80" s="2"/>
      <c r="X80" s="2">
        <f t="shared" si="14"/>
        <v>195519.53</v>
      </c>
      <c r="Y80" s="2"/>
      <c r="Z80" s="22">
        <f t="shared" si="15"/>
        <v>0</v>
      </c>
    </row>
    <row r="81" spans="1:26" s="24" customFormat="1" hidden="1" outlineLevel="1" x14ac:dyDescent="0.25">
      <c r="A81" s="51"/>
      <c r="B81" s="11" t="str">
        <f>CONCATENATE("          ", "5011", " - ", "PURCHASES @ COST-NO VALUE TEXT")</f>
        <v xml:space="preserve">          5011 - PURCHASES @ COST-NO VALUE TEXT</v>
      </c>
      <c r="C81" s="11"/>
      <c r="D81" s="2">
        <v>67.17</v>
      </c>
      <c r="E81" s="2"/>
      <c r="F81" s="22">
        <f t="shared" si="8"/>
        <v>4.1952661882968116E-4</v>
      </c>
      <c r="G81" s="2"/>
      <c r="H81" s="2"/>
      <c r="I81" s="2"/>
      <c r="J81" s="22">
        <f t="shared" si="9"/>
        <v>0</v>
      </c>
      <c r="K81" s="2"/>
      <c r="L81" s="2">
        <f t="shared" si="10"/>
        <v>67.17</v>
      </c>
      <c r="M81" s="2"/>
      <c r="N81" s="22">
        <f t="shared" si="11"/>
        <v>0</v>
      </c>
      <c r="O81" s="11"/>
      <c r="P81" s="2">
        <v>67.17</v>
      </c>
      <c r="Q81" s="2"/>
      <c r="R81" s="22">
        <f t="shared" si="12"/>
        <v>2.8534285147933045E-5</v>
      </c>
      <c r="S81" s="2"/>
      <c r="T81" s="2"/>
      <c r="U81" s="2"/>
      <c r="V81" s="22">
        <f t="shared" si="13"/>
        <v>0</v>
      </c>
      <c r="W81" s="2"/>
      <c r="X81" s="2">
        <f t="shared" si="14"/>
        <v>67.17</v>
      </c>
      <c r="Y81" s="2"/>
      <c r="Z81" s="22">
        <f t="shared" si="15"/>
        <v>0</v>
      </c>
    </row>
    <row r="82" spans="1:26" s="24" customFormat="1" hidden="1" outlineLevel="1" x14ac:dyDescent="0.25">
      <c r="A82" s="51"/>
      <c r="B82" s="11" t="str">
        <f>CONCATENATE("          ", "5013", " - ", "PURCHASES @ COST-TRADE BOOKS")</f>
        <v xml:space="preserve">          5013 - PURCHASES @ COST-TRADE BOOKS</v>
      </c>
      <c r="C82" s="11"/>
      <c r="D82" s="2">
        <v>1384.46</v>
      </c>
      <c r="E82" s="2"/>
      <c r="F82" s="22">
        <f t="shared" si="8"/>
        <v>8.6469826217796704E-3</v>
      </c>
      <c r="G82" s="2"/>
      <c r="H82" s="2"/>
      <c r="I82" s="2"/>
      <c r="J82" s="22">
        <f t="shared" si="9"/>
        <v>0</v>
      </c>
      <c r="K82" s="2"/>
      <c r="L82" s="2">
        <f t="shared" si="10"/>
        <v>1384.46</v>
      </c>
      <c r="M82" s="2"/>
      <c r="N82" s="22">
        <f t="shared" si="11"/>
        <v>0</v>
      </c>
      <c r="O82" s="11"/>
      <c r="P82" s="2">
        <v>1483.64</v>
      </c>
      <c r="Q82" s="2"/>
      <c r="R82" s="22">
        <f t="shared" si="12"/>
        <v>6.3026063446299516E-4</v>
      </c>
      <c r="S82" s="2"/>
      <c r="T82" s="2"/>
      <c r="U82" s="2"/>
      <c r="V82" s="22">
        <f t="shared" si="13"/>
        <v>0</v>
      </c>
      <c r="W82" s="2"/>
      <c r="X82" s="2">
        <f t="shared" si="14"/>
        <v>1483.64</v>
      </c>
      <c r="Y82" s="2"/>
      <c r="Z82" s="22">
        <f t="shared" si="15"/>
        <v>0</v>
      </c>
    </row>
    <row r="83" spans="1:26" s="24" customFormat="1" hidden="1" outlineLevel="1" x14ac:dyDescent="0.25">
      <c r="A83" s="51"/>
      <c r="B83" s="11" t="str">
        <f>CONCATENATE("          ", "5014", " - ", "PURCHASES @ COST-REMAINDERS")</f>
        <v xml:space="preserve">          5014 - PURCHASES @ COST-REMAINDERS</v>
      </c>
      <c r="C83" s="11"/>
      <c r="D83" s="2">
        <v>102.92</v>
      </c>
      <c r="E83" s="2"/>
      <c r="F83" s="22">
        <f t="shared" si="8"/>
        <v>6.4281196382240272E-4</v>
      </c>
      <c r="G83" s="2"/>
      <c r="H83" s="2"/>
      <c r="I83" s="2"/>
      <c r="J83" s="22">
        <f t="shared" si="9"/>
        <v>0</v>
      </c>
      <c r="K83" s="2"/>
      <c r="L83" s="2">
        <f t="shared" si="10"/>
        <v>102.92</v>
      </c>
      <c r="M83" s="2"/>
      <c r="N83" s="22">
        <f t="shared" si="11"/>
        <v>0</v>
      </c>
      <c r="O83" s="11"/>
      <c r="P83" s="2">
        <v>90.41</v>
      </c>
      <c r="Q83" s="2"/>
      <c r="R83" s="22">
        <f t="shared" si="12"/>
        <v>3.8406799467390602E-5</v>
      </c>
      <c r="S83" s="2"/>
      <c r="T83" s="2"/>
      <c r="U83" s="2"/>
      <c r="V83" s="22">
        <f t="shared" si="13"/>
        <v>0</v>
      </c>
      <c r="W83" s="2"/>
      <c r="X83" s="2">
        <f t="shared" si="14"/>
        <v>90.41</v>
      </c>
      <c r="Y83" s="2"/>
      <c r="Z83" s="22">
        <f t="shared" si="15"/>
        <v>0</v>
      </c>
    </row>
    <row r="84" spans="1:26" s="24" customFormat="1" hidden="1" outlineLevel="1" x14ac:dyDescent="0.25">
      <c r="A84" s="51"/>
      <c r="B84" s="11" t="str">
        <f>CONCATENATE("          ", "5025", " - ", "PURCHASES @ COST-TEST FORMS")</f>
        <v xml:space="preserve">          5025 - PURCHASES @ COST-TEST FORMS</v>
      </c>
      <c r="C84" s="11"/>
      <c r="D84" s="2">
        <v>599.29</v>
      </c>
      <c r="E84" s="2"/>
      <c r="F84" s="22">
        <f t="shared" si="8"/>
        <v>3.7430118713479175E-3</v>
      </c>
      <c r="G84" s="2"/>
      <c r="H84" s="2"/>
      <c r="I84" s="2"/>
      <c r="J84" s="22">
        <f t="shared" si="9"/>
        <v>0</v>
      </c>
      <c r="K84" s="2"/>
      <c r="L84" s="2">
        <f t="shared" si="10"/>
        <v>599.29</v>
      </c>
      <c r="M84" s="2"/>
      <c r="N84" s="22">
        <f t="shared" si="11"/>
        <v>0</v>
      </c>
      <c r="O84" s="11"/>
      <c r="P84" s="2">
        <v>599.29</v>
      </c>
      <c r="Q84" s="2"/>
      <c r="R84" s="22">
        <f t="shared" si="12"/>
        <v>2.5458257773269008E-4</v>
      </c>
      <c r="S84" s="2"/>
      <c r="T84" s="2"/>
      <c r="U84" s="2"/>
      <c r="V84" s="22">
        <f t="shared" si="13"/>
        <v>0</v>
      </c>
      <c r="W84" s="2"/>
      <c r="X84" s="2">
        <f t="shared" si="14"/>
        <v>599.29</v>
      </c>
      <c r="Y84" s="2"/>
      <c r="Z84" s="22">
        <f t="shared" si="15"/>
        <v>0</v>
      </c>
    </row>
    <row r="85" spans="1:26" s="24" customFormat="1" hidden="1" outlineLevel="1" x14ac:dyDescent="0.25">
      <c r="A85" s="51"/>
      <c r="B85" s="11" t="str">
        <f>CONCATENATE("          ", "5026", " - ", "PURCHASES @ COST-WRITING INSTR")</f>
        <v xml:space="preserve">          5026 - PURCHASES @ COST-WRITING INSTR</v>
      </c>
      <c r="C85" s="11"/>
      <c r="D85" s="2">
        <v>380.02</v>
      </c>
      <c r="E85" s="2"/>
      <c r="F85" s="22">
        <f t="shared" si="8"/>
        <v>2.3735076029128394E-3</v>
      </c>
      <c r="G85" s="2"/>
      <c r="H85" s="2"/>
      <c r="I85" s="2"/>
      <c r="J85" s="22">
        <f t="shared" si="9"/>
        <v>0</v>
      </c>
      <c r="K85" s="2"/>
      <c r="L85" s="2">
        <f t="shared" si="10"/>
        <v>380.02</v>
      </c>
      <c r="M85" s="2"/>
      <c r="N85" s="22">
        <f t="shared" si="11"/>
        <v>0</v>
      </c>
      <c r="O85" s="11"/>
      <c r="P85" s="2">
        <v>380.02</v>
      </c>
      <c r="Q85" s="2"/>
      <c r="R85" s="22">
        <f t="shared" si="12"/>
        <v>1.6143515024441739E-4</v>
      </c>
      <c r="S85" s="2"/>
      <c r="T85" s="2"/>
      <c r="U85" s="2"/>
      <c r="V85" s="22">
        <f t="shared" si="13"/>
        <v>0</v>
      </c>
      <c r="W85" s="2"/>
      <c r="X85" s="2">
        <f t="shared" si="14"/>
        <v>380.02</v>
      </c>
      <c r="Y85" s="2"/>
      <c r="Z85" s="22">
        <f t="shared" si="15"/>
        <v>0</v>
      </c>
    </row>
    <row r="86" spans="1:26" s="24" customFormat="1" hidden="1" outlineLevel="1" x14ac:dyDescent="0.25">
      <c r="A86" s="51"/>
      <c r="B86" s="11" t="str">
        <f>CONCATENATE("          ", "5027", " - ", "PURCHASES @ COST-SCHOOL SUPPLI")</f>
        <v xml:space="preserve">          5027 - PURCHASES @ COST-SCHOOL SUPPLI</v>
      </c>
      <c r="C86" s="11"/>
      <c r="D86" s="2">
        <v>10567.95</v>
      </c>
      <c r="E86" s="2"/>
      <c r="F86" s="22">
        <f t="shared" si="8"/>
        <v>6.6004709415827451E-2</v>
      </c>
      <c r="G86" s="2"/>
      <c r="H86" s="2"/>
      <c r="I86" s="2"/>
      <c r="J86" s="22">
        <f t="shared" si="9"/>
        <v>0</v>
      </c>
      <c r="K86" s="2"/>
      <c r="L86" s="2">
        <f t="shared" si="10"/>
        <v>10567.95</v>
      </c>
      <c r="M86" s="2"/>
      <c r="N86" s="22">
        <f t="shared" si="11"/>
        <v>0</v>
      </c>
      <c r="O86" s="11"/>
      <c r="P86" s="2">
        <v>19071.350000000002</v>
      </c>
      <c r="Q86" s="2"/>
      <c r="R86" s="22">
        <f t="shared" si="12"/>
        <v>8.10164268357947E-3</v>
      </c>
      <c r="S86" s="2"/>
      <c r="T86" s="2"/>
      <c r="U86" s="2"/>
      <c r="V86" s="22">
        <f t="shared" si="13"/>
        <v>0</v>
      </c>
      <c r="W86" s="2"/>
      <c r="X86" s="2">
        <f t="shared" si="14"/>
        <v>19071.350000000002</v>
      </c>
      <c r="Y86" s="2"/>
      <c r="Z86" s="22">
        <f t="shared" si="15"/>
        <v>0</v>
      </c>
    </row>
    <row r="87" spans="1:26" s="24" customFormat="1" hidden="1" outlineLevel="1" x14ac:dyDescent="0.25">
      <c r="A87" s="51"/>
      <c r="B87" s="11" t="str">
        <f>CONCATENATE("          ", "5028", " - ", "PURCHASES @ COST-ART/TECH")</f>
        <v xml:space="preserve">          5028 - PURCHASES @ COST-ART/TECH</v>
      </c>
      <c r="C87" s="11"/>
      <c r="D87" s="2">
        <v>41425.96</v>
      </c>
      <c r="E87" s="2"/>
      <c r="F87" s="22">
        <f t="shared" si="8"/>
        <v>0.25873593762950153</v>
      </c>
      <c r="G87" s="2"/>
      <c r="H87" s="2"/>
      <c r="I87" s="2"/>
      <c r="J87" s="22">
        <f t="shared" si="9"/>
        <v>0</v>
      </c>
      <c r="K87" s="2"/>
      <c r="L87" s="2">
        <f t="shared" si="10"/>
        <v>41425.96</v>
      </c>
      <c r="M87" s="2"/>
      <c r="N87" s="22">
        <f t="shared" si="11"/>
        <v>0</v>
      </c>
      <c r="O87" s="11"/>
      <c r="P87" s="2">
        <v>41342.559999999998</v>
      </c>
      <c r="Q87" s="2"/>
      <c r="R87" s="22">
        <f t="shared" si="12"/>
        <v>1.7562608244536707E-2</v>
      </c>
      <c r="S87" s="2"/>
      <c r="T87" s="2"/>
      <c r="U87" s="2"/>
      <c r="V87" s="22">
        <f t="shared" si="13"/>
        <v>0</v>
      </c>
      <c r="W87" s="2"/>
      <c r="X87" s="2">
        <f t="shared" si="14"/>
        <v>41342.559999999998</v>
      </c>
      <c r="Y87" s="2"/>
      <c r="Z87" s="22">
        <f t="shared" si="15"/>
        <v>0</v>
      </c>
    </row>
    <row r="88" spans="1:26" s="24" customFormat="1" hidden="1" outlineLevel="1" x14ac:dyDescent="0.25">
      <c r="A88" s="51"/>
      <c r="B88" s="11" t="str">
        <f>CONCATENATE("          ", "5031", " - ", "PURCHASES @ COST-FOOD")</f>
        <v xml:space="preserve">          5031 - PURCHASES @ COST-FOOD</v>
      </c>
      <c r="C88" s="11"/>
      <c r="D88" s="2">
        <v>4469.18</v>
      </c>
      <c r="E88" s="2"/>
      <c r="F88" s="22">
        <f t="shared" si="8"/>
        <v>2.7913353793974017E-2</v>
      </c>
      <c r="G88" s="2"/>
      <c r="H88" s="2"/>
      <c r="I88" s="2"/>
      <c r="J88" s="22">
        <f t="shared" si="9"/>
        <v>0</v>
      </c>
      <c r="K88" s="2"/>
      <c r="L88" s="2">
        <f t="shared" si="10"/>
        <v>4469.18</v>
      </c>
      <c r="M88" s="2"/>
      <c r="N88" s="22">
        <f t="shared" si="11"/>
        <v>0</v>
      </c>
      <c r="O88" s="11"/>
      <c r="P88" s="2">
        <v>8535.1</v>
      </c>
      <c r="Q88" s="2"/>
      <c r="R88" s="22">
        <f t="shared" si="12"/>
        <v>3.6257700932875291E-3</v>
      </c>
      <c r="S88" s="2"/>
      <c r="T88" s="2"/>
      <c r="U88" s="2"/>
      <c r="V88" s="22">
        <f t="shared" si="13"/>
        <v>0</v>
      </c>
      <c r="W88" s="2"/>
      <c r="X88" s="2">
        <f t="shared" si="14"/>
        <v>8535.1</v>
      </c>
      <c r="Y88" s="2"/>
      <c r="Z88" s="22">
        <f t="shared" si="15"/>
        <v>0</v>
      </c>
    </row>
    <row r="89" spans="1:26" s="24" customFormat="1" hidden="1" outlineLevel="1" x14ac:dyDescent="0.25">
      <c r="A89" s="51"/>
      <c r="B89" s="11" t="str">
        <f>CONCATENATE("          ", "5040", " - ", "PURCHASES @ COST-LOGO CLOTHING")</f>
        <v xml:space="preserve">          5040 - PURCHASES @ COST-LOGO CLOTHING</v>
      </c>
      <c r="C89" s="11"/>
      <c r="D89" s="2">
        <v>25420.9</v>
      </c>
      <c r="E89" s="2"/>
      <c r="F89" s="22">
        <f t="shared" si="8"/>
        <v>0.15877243151120207</v>
      </c>
      <c r="G89" s="2"/>
      <c r="H89" s="2"/>
      <c r="I89" s="2"/>
      <c r="J89" s="22">
        <f t="shared" si="9"/>
        <v>0</v>
      </c>
      <c r="K89" s="2"/>
      <c r="L89" s="2">
        <f t="shared" si="10"/>
        <v>25420.9</v>
      </c>
      <c r="M89" s="2"/>
      <c r="N89" s="22">
        <f t="shared" si="11"/>
        <v>0</v>
      </c>
      <c r="O89" s="11"/>
      <c r="P89" s="2">
        <v>39170.950000000004</v>
      </c>
      <c r="Q89" s="2"/>
      <c r="R89" s="22">
        <f t="shared" si="12"/>
        <v>1.6640093148956796E-2</v>
      </c>
      <c r="S89" s="2"/>
      <c r="T89" s="2"/>
      <c r="U89" s="2"/>
      <c r="V89" s="22">
        <f t="shared" si="13"/>
        <v>0</v>
      </c>
      <c r="W89" s="2"/>
      <c r="X89" s="2">
        <f t="shared" si="14"/>
        <v>39170.950000000004</v>
      </c>
      <c r="Y89" s="2"/>
      <c r="Z89" s="22">
        <f t="shared" si="15"/>
        <v>0</v>
      </c>
    </row>
    <row r="90" spans="1:26" s="24" customFormat="1" hidden="1" outlineLevel="1" x14ac:dyDescent="0.25">
      <c r="A90" s="51"/>
      <c r="B90" s="11" t="str">
        <f>CONCATENATE("          ", "5041", " - ", "PURCHASES @ COST-LOGO GIFTS")</f>
        <v xml:space="preserve">          5041 - PURCHASES @ COST-LOGO GIFTS</v>
      </c>
      <c r="C90" s="11"/>
      <c r="D90" s="2">
        <v>15289.8</v>
      </c>
      <c r="E90" s="2"/>
      <c r="F90" s="22">
        <f t="shared" si="8"/>
        <v>9.5496175325026925E-2</v>
      </c>
      <c r="G90" s="2"/>
      <c r="H90" s="2"/>
      <c r="I90" s="2"/>
      <c r="J90" s="22">
        <f t="shared" si="9"/>
        <v>0</v>
      </c>
      <c r="K90" s="2"/>
      <c r="L90" s="2">
        <f t="shared" si="10"/>
        <v>15289.8</v>
      </c>
      <c r="M90" s="2"/>
      <c r="N90" s="22">
        <f t="shared" si="11"/>
        <v>0</v>
      </c>
      <c r="O90" s="11"/>
      <c r="P90" s="2">
        <v>17287.34</v>
      </c>
      <c r="Q90" s="2"/>
      <c r="R90" s="22">
        <f t="shared" si="12"/>
        <v>7.3437827751863761E-3</v>
      </c>
      <c r="S90" s="2"/>
      <c r="T90" s="2"/>
      <c r="U90" s="2"/>
      <c r="V90" s="22">
        <f t="shared" si="13"/>
        <v>0</v>
      </c>
      <c r="W90" s="2"/>
      <c r="X90" s="2">
        <f t="shared" si="14"/>
        <v>17287.34</v>
      </c>
      <c r="Y90" s="2"/>
      <c r="Z90" s="22">
        <f t="shared" si="15"/>
        <v>0</v>
      </c>
    </row>
    <row r="91" spans="1:26" s="24" customFormat="1" hidden="1" outlineLevel="1" x14ac:dyDescent="0.25">
      <c r="A91" s="51"/>
      <c r="B91" s="11" t="str">
        <f>CONCATENATE("          ", "5042", " - ", "PURCHASES @ COST-EVERYDAY GIFT")</f>
        <v xml:space="preserve">          5042 - PURCHASES @ COST-EVERYDAY GIFT</v>
      </c>
      <c r="C91" s="11"/>
      <c r="D91" s="2">
        <v>9421.5300000000007</v>
      </c>
      <c r="E91" s="2"/>
      <c r="F91" s="22">
        <f t="shared" si="8"/>
        <v>5.8844463675783928E-2</v>
      </c>
      <c r="G91" s="2"/>
      <c r="H91" s="2"/>
      <c r="I91" s="2"/>
      <c r="J91" s="22">
        <f t="shared" si="9"/>
        <v>0</v>
      </c>
      <c r="K91" s="2"/>
      <c r="L91" s="2">
        <f t="shared" si="10"/>
        <v>9421.5300000000007</v>
      </c>
      <c r="M91" s="2"/>
      <c r="N91" s="22">
        <f t="shared" si="11"/>
        <v>0</v>
      </c>
      <c r="O91" s="11"/>
      <c r="P91" s="2">
        <v>10912.68</v>
      </c>
      <c r="Q91" s="2"/>
      <c r="R91" s="22">
        <f t="shared" si="12"/>
        <v>4.6357826834620515E-3</v>
      </c>
      <c r="S91" s="2"/>
      <c r="T91" s="2"/>
      <c r="U91" s="2"/>
      <c r="V91" s="22">
        <f t="shared" si="13"/>
        <v>0</v>
      </c>
      <c r="W91" s="2"/>
      <c r="X91" s="2">
        <f t="shared" si="14"/>
        <v>10912.68</v>
      </c>
      <c r="Y91" s="2"/>
      <c r="Z91" s="22">
        <f t="shared" si="15"/>
        <v>0</v>
      </c>
    </row>
    <row r="92" spans="1:26" s="24" customFormat="1" hidden="1" outlineLevel="1" x14ac:dyDescent="0.25">
      <c r="A92" s="51"/>
      <c r="B92" s="11" t="str">
        <f>CONCATENATE("          ", "5043", " - ", "PURCHASES @ COST-CARDS")</f>
        <v xml:space="preserve">          5043 - PURCHASES @ COST-CARDS</v>
      </c>
      <c r="C92" s="11"/>
      <c r="D92" s="2">
        <v>2526.75</v>
      </c>
      <c r="E92" s="2"/>
      <c r="F92" s="22">
        <f t="shared" si="8"/>
        <v>1.5781433439450602E-2</v>
      </c>
      <c r="G92" s="2"/>
      <c r="H92" s="2"/>
      <c r="I92" s="2"/>
      <c r="J92" s="22">
        <f t="shared" si="9"/>
        <v>0</v>
      </c>
      <c r="K92" s="2"/>
      <c r="L92" s="2">
        <f t="shared" si="10"/>
        <v>2526.75</v>
      </c>
      <c r="M92" s="2"/>
      <c r="N92" s="22">
        <f t="shared" si="11"/>
        <v>0</v>
      </c>
      <c r="O92" s="11"/>
      <c r="P92" s="2">
        <v>5643</v>
      </c>
      <c r="Q92" s="2"/>
      <c r="R92" s="22">
        <f t="shared" si="12"/>
        <v>2.397185813455206E-3</v>
      </c>
      <c r="S92" s="2"/>
      <c r="T92" s="2"/>
      <c r="U92" s="2"/>
      <c r="V92" s="22">
        <f t="shared" si="13"/>
        <v>0</v>
      </c>
      <c r="W92" s="2"/>
      <c r="X92" s="2">
        <f t="shared" si="14"/>
        <v>5643</v>
      </c>
      <c r="Y92" s="2"/>
      <c r="Z92" s="22">
        <f t="shared" si="15"/>
        <v>0</v>
      </c>
    </row>
    <row r="93" spans="1:26" s="24" customFormat="1" hidden="1" outlineLevel="1" x14ac:dyDescent="0.25">
      <c r="A93" s="51"/>
      <c r="B93" s="11" t="str">
        <f>CONCATENATE("          ", "5045", " - ", "PURCHASES @ COST-SPECIAL ORDER")</f>
        <v xml:space="preserve">          5045 - PURCHASES @ COST-SPECIAL ORDER</v>
      </c>
      <c r="C93" s="11"/>
      <c r="D93" s="2">
        <v>10080.23</v>
      </c>
      <c r="E93" s="2"/>
      <c r="F93" s="22">
        <f t="shared" si="8"/>
        <v>6.2958535193174292E-2</v>
      </c>
      <c r="G93" s="2"/>
      <c r="H93" s="2"/>
      <c r="I93" s="2"/>
      <c r="J93" s="22">
        <f t="shared" si="9"/>
        <v>0</v>
      </c>
      <c r="K93" s="2"/>
      <c r="L93" s="2">
        <f t="shared" si="10"/>
        <v>10080.23</v>
      </c>
      <c r="M93" s="2"/>
      <c r="N93" s="22">
        <f t="shared" si="11"/>
        <v>0</v>
      </c>
      <c r="O93" s="11"/>
      <c r="P93" s="2">
        <v>71254.52</v>
      </c>
      <c r="Q93" s="2"/>
      <c r="R93" s="22">
        <f t="shared" si="12"/>
        <v>3.0269417772206316E-2</v>
      </c>
      <c r="S93" s="2"/>
      <c r="T93" s="2"/>
      <c r="U93" s="2"/>
      <c r="V93" s="22">
        <f t="shared" si="13"/>
        <v>0</v>
      </c>
      <c r="W93" s="2"/>
      <c r="X93" s="2">
        <f t="shared" si="14"/>
        <v>71254.52</v>
      </c>
      <c r="Y93" s="2"/>
      <c r="Z93" s="22">
        <f t="shared" si="15"/>
        <v>0</v>
      </c>
    </row>
    <row r="94" spans="1:26" s="24" customFormat="1" hidden="1" outlineLevel="1" x14ac:dyDescent="0.25">
      <c r="A94" s="51"/>
      <c r="B94" s="11" t="str">
        <f>CONCATENATE("          ", "5200", " - ", "PURCHASES OFFSET")</f>
        <v xml:space="preserve">          5200 - PURCHASES OFFSET</v>
      </c>
      <c r="C94" s="11"/>
      <c r="D94" s="2">
        <v>-234183.50999999998</v>
      </c>
      <c r="E94" s="2"/>
      <c r="F94" s="22">
        <f t="shared" si="8"/>
        <v>-1.4626502327819981</v>
      </c>
      <c r="G94" s="2"/>
      <c r="H94" s="2"/>
      <c r="I94" s="2"/>
      <c r="J94" s="22">
        <f t="shared" si="9"/>
        <v>0</v>
      </c>
      <c r="K94" s="2"/>
      <c r="L94" s="2">
        <f t="shared" si="10"/>
        <v>-234183.50999999998</v>
      </c>
      <c r="M94" s="2"/>
      <c r="N94" s="22">
        <f t="shared" si="11"/>
        <v>0</v>
      </c>
      <c r="O94" s="11"/>
      <c r="P94" s="2">
        <v>-1769157.19</v>
      </c>
      <c r="Q94" s="2"/>
      <c r="R94" s="22">
        <f t="shared" si="12"/>
        <v>-0.75155033096584722</v>
      </c>
      <c r="S94" s="2"/>
      <c r="T94" s="2"/>
      <c r="U94" s="2"/>
      <c r="V94" s="22">
        <f t="shared" si="13"/>
        <v>0</v>
      </c>
      <c r="W94" s="2"/>
      <c r="X94" s="2">
        <f t="shared" si="14"/>
        <v>-1769157.19</v>
      </c>
      <c r="Y94" s="2"/>
      <c r="Z94" s="22">
        <f t="shared" si="15"/>
        <v>0</v>
      </c>
    </row>
    <row r="95" spans="1:26" s="24" customFormat="1" hidden="1" outlineLevel="1" x14ac:dyDescent="0.25">
      <c r="A95" s="51"/>
      <c r="B95" s="11" t="str">
        <f>CONCATENATE("          ", "5300", " - ", "COG$ OFFSET")</f>
        <v xml:space="preserve">          5300 - COG$ OFFSET</v>
      </c>
      <c r="C95" s="11"/>
      <c r="D95" s="2">
        <v>85211</v>
      </c>
      <c r="E95" s="2"/>
      <c r="F95" s="22">
        <f t="shared" si="8"/>
        <v>0.53220608481607801</v>
      </c>
      <c r="G95" s="2"/>
      <c r="H95" s="2"/>
      <c r="I95" s="2"/>
      <c r="J95" s="22">
        <f t="shared" si="9"/>
        <v>0</v>
      </c>
      <c r="K95" s="2"/>
      <c r="L95" s="2">
        <f t="shared" si="10"/>
        <v>85211</v>
      </c>
      <c r="M95" s="2"/>
      <c r="N95" s="22">
        <f t="shared" si="11"/>
        <v>0</v>
      </c>
      <c r="O95" s="11"/>
      <c r="P95" s="2">
        <v>1195689</v>
      </c>
      <c r="Q95" s="2"/>
      <c r="R95" s="22">
        <f t="shared" si="12"/>
        <v>0.5079370384732308</v>
      </c>
      <c r="S95" s="2"/>
      <c r="T95" s="2"/>
      <c r="U95" s="2"/>
      <c r="V95" s="22">
        <f t="shared" si="13"/>
        <v>0</v>
      </c>
      <c r="W95" s="2"/>
      <c r="X95" s="2">
        <f t="shared" si="14"/>
        <v>1195689</v>
      </c>
      <c r="Y95" s="2"/>
      <c r="Z95" s="22">
        <f t="shared" si="15"/>
        <v>0</v>
      </c>
    </row>
    <row r="96" spans="1:26" s="24" customFormat="1" hidden="1" outlineLevel="1" x14ac:dyDescent="0.25">
      <c r="A96" s="51"/>
      <c r="B96" s="11" t="str">
        <f>CONCATENATE("          ", "5501", " - ", "FREIGHT-IN-NEW TEXT")</f>
        <v xml:space="preserve">          5501 - FREIGHT-IN-NEW TEXT</v>
      </c>
      <c r="C96" s="11"/>
      <c r="D96" s="2">
        <v>23295.74</v>
      </c>
      <c r="E96" s="2"/>
      <c r="F96" s="22">
        <f t="shared" si="8"/>
        <v>0.14549922637092985</v>
      </c>
      <c r="G96" s="2"/>
      <c r="H96" s="2"/>
      <c r="I96" s="2"/>
      <c r="J96" s="22">
        <f t="shared" si="9"/>
        <v>0</v>
      </c>
      <c r="K96" s="2"/>
      <c r="L96" s="2">
        <f t="shared" si="10"/>
        <v>23295.74</v>
      </c>
      <c r="M96" s="2"/>
      <c r="N96" s="22">
        <f t="shared" si="11"/>
        <v>0</v>
      </c>
      <c r="O96" s="11"/>
      <c r="P96" s="2">
        <v>34058.620000000003</v>
      </c>
      <c r="Q96" s="2"/>
      <c r="R96" s="22">
        <f t="shared" si="12"/>
        <v>1.4468339657958842E-2</v>
      </c>
      <c r="S96" s="2"/>
      <c r="T96" s="2"/>
      <c r="U96" s="2"/>
      <c r="V96" s="22">
        <f t="shared" si="13"/>
        <v>0</v>
      </c>
      <c r="W96" s="2"/>
      <c r="X96" s="2">
        <f t="shared" si="14"/>
        <v>34058.620000000003</v>
      </c>
      <c r="Y96" s="2"/>
      <c r="Z96" s="22">
        <f t="shared" si="15"/>
        <v>0</v>
      </c>
    </row>
    <row r="97" spans="1:26" s="24" customFormat="1" hidden="1" outlineLevel="1" x14ac:dyDescent="0.25">
      <c r="A97" s="51"/>
      <c r="B97" s="11" t="str">
        <f>CONCATENATE("          ", "5502", " - ", "FREIGHT-IN-USED TEXT")</f>
        <v xml:space="preserve">          5502 - FREIGHT-IN-USED TEXT</v>
      </c>
      <c r="C97" s="11"/>
      <c r="D97" s="2">
        <v>2233.9</v>
      </c>
      <c r="E97" s="2"/>
      <c r="F97" s="22">
        <f t="shared" si="8"/>
        <v>1.395236733368505E-2</v>
      </c>
      <c r="G97" s="2"/>
      <c r="H97" s="2"/>
      <c r="I97" s="2"/>
      <c r="J97" s="22">
        <f t="shared" si="9"/>
        <v>0</v>
      </c>
      <c r="K97" s="2"/>
      <c r="L97" s="2">
        <f t="shared" si="10"/>
        <v>2233.9</v>
      </c>
      <c r="M97" s="2"/>
      <c r="N97" s="22">
        <f t="shared" si="11"/>
        <v>0</v>
      </c>
      <c r="O97" s="11"/>
      <c r="P97" s="2">
        <v>10744.72</v>
      </c>
      <c r="Q97" s="2"/>
      <c r="R97" s="22">
        <f t="shared" si="12"/>
        <v>4.5644321023477616E-3</v>
      </c>
      <c r="S97" s="2"/>
      <c r="T97" s="2"/>
      <c r="U97" s="2"/>
      <c r="V97" s="22">
        <f t="shared" si="13"/>
        <v>0</v>
      </c>
      <c r="W97" s="2"/>
      <c r="X97" s="2">
        <f t="shared" si="14"/>
        <v>10744.72</v>
      </c>
      <c r="Y97" s="2"/>
      <c r="Z97" s="22">
        <f t="shared" si="15"/>
        <v>0</v>
      </c>
    </row>
    <row r="98" spans="1:26" s="24" customFormat="1" hidden="1" outlineLevel="1" x14ac:dyDescent="0.25">
      <c r="A98" s="51"/>
      <c r="B98" s="11" t="str">
        <f>CONCATENATE("          ", "5504", " - ", "FREIGHT-IN-DIGITAL TEXT")</f>
        <v xml:space="preserve">          5504 - FREIGHT-IN-DIGITAL TEXT</v>
      </c>
      <c r="C98" s="11"/>
      <c r="D98" s="2">
        <v>10.99</v>
      </c>
      <c r="E98" s="2"/>
      <c r="F98" s="22">
        <f t="shared" si="8"/>
        <v>6.8640725635524738E-5</v>
      </c>
      <c r="G98" s="2"/>
      <c r="H98" s="2"/>
      <c r="I98" s="2"/>
      <c r="J98" s="22">
        <f t="shared" si="9"/>
        <v>0</v>
      </c>
      <c r="K98" s="2"/>
      <c r="L98" s="2">
        <f t="shared" si="10"/>
        <v>10.99</v>
      </c>
      <c r="M98" s="2"/>
      <c r="N98" s="22">
        <f t="shared" si="11"/>
        <v>0</v>
      </c>
      <c r="O98" s="11"/>
      <c r="P98" s="2">
        <v>21.98</v>
      </c>
      <c r="Q98" s="2"/>
      <c r="R98" s="22">
        <f t="shared" si="12"/>
        <v>9.3372575190050374E-6</v>
      </c>
      <c r="S98" s="2"/>
      <c r="T98" s="2"/>
      <c r="U98" s="2"/>
      <c r="V98" s="22">
        <f t="shared" si="13"/>
        <v>0</v>
      </c>
      <c r="W98" s="2"/>
      <c r="X98" s="2">
        <f t="shared" si="14"/>
        <v>21.98</v>
      </c>
      <c r="Y98" s="2"/>
      <c r="Z98" s="22">
        <f t="shared" si="15"/>
        <v>0</v>
      </c>
    </row>
    <row r="99" spans="1:26" s="24" customFormat="1" hidden="1" outlineLevel="1" x14ac:dyDescent="0.25">
      <c r="A99" s="51"/>
      <c r="B99" s="11" t="str">
        <f>CONCATENATE("          ", "5525", " - ", "FREIGHT-IN-TEST FORMS")</f>
        <v xml:space="preserve">          5525 - FREIGHT-IN-TEST FORMS</v>
      </c>
      <c r="C99" s="11"/>
      <c r="D99" s="2">
        <v>48.14</v>
      </c>
      <c r="E99" s="2"/>
      <c r="F99" s="22">
        <f t="shared" si="8"/>
        <v>3.0067011211047868E-4</v>
      </c>
      <c r="G99" s="2"/>
      <c r="H99" s="2"/>
      <c r="I99" s="2"/>
      <c r="J99" s="22">
        <f t="shared" si="9"/>
        <v>0</v>
      </c>
      <c r="K99" s="2"/>
      <c r="L99" s="2">
        <f t="shared" si="10"/>
        <v>48.14</v>
      </c>
      <c r="M99" s="2"/>
      <c r="N99" s="22">
        <f t="shared" si="11"/>
        <v>0</v>
      </c>
      <c r="O99" s="11"/>
      <c r="P99" s="2">
        <v>48.14</v>
      </c>
      <c r="Q99" s="2"/>
      <c r="R99" s="22">
        <f t="shared" si="12"/>
        <v>2.045020823316208E-5</v>
      </c>
      <c r="S99" s="2"/>
      <c r="T99" s="2"/>
      <c r="U99" s="2"/>
      <c r="V99" s="22">
        <f t="shared" si="13"/>
        <v>0</v>
      </c>
      <c r="W99" s="2"/>
      <c r="X99" s="2">
        <f t="shared" si="14"/>
        <v>48.14</v>
      </c>
      <c r="Y99" s="2"/>
      <c r="Z99" s="22">
        <f t="shared" si="15"/>
        <v>0</v>
      </c>
    </row>
    <row r="100" spans="1:26" s="24" customFormat="1" hidden="1" outlineLevel="1" x14ac:dyDescent="0.25">
      <c r="A100" s="51"/>
      <c r="B100" s="11" t="str">
        <f>CONCATENATE("          ", "5527", " - ", "FREIGHT-IN-SCHOOL SUPPLIES")</f>
        <v xml:space="preserve">          5527 - FREIGHT-IN-SCHOOL SUPPLIES</v>
      </c>
      <c r="C100" s="11"/>
      <c r="D100" s="2">
        <v>56</v>
      </c>
      <c r="E100" s="2"/>
      <c r="F100" s="22">
        <f t="shared" si="8"/>
        <v>3.4976165928929799E-4</v>
      </c>
      <c r="G100" s="2"/>
      <c r="H100" s="2"/>
      <c r="I100" s="2"/>
      <c r="J100" s="22">
        <f t="shared" si="9"/>
        <v>0</v>
      </c>
      <c r="K100" s="2"/>
      <c r="L100" s="2">
        <f t="shared" si="10"/>
        <v>56</v>
      </c>
      <c r="M100" s="2"/>
      <c r="N100" s="22">
        <f t="shared" si="11"/>
        <v>0</v>
      </c>
      <c r="O100" s="11"/>
      <c r="P100" s="2">
        <v>56</v>
      </c>
      <c r="Q100" s="2"/>
      <c r="R100" s="22">
        <f t="shared" si="12"/>
        <v>2.3789191131223023E-5</v>
      </c>
      <c r="S100" s="2"/>
      <c r="T100" s="2"/>
      <c r="U100" s="2"/>
      <c r="V100" s="22">
        <f t="shared" si="13"/>
        <v>0</v>
      </c>
      <c r="W100" s="2"/>
      <c r="X100" s="2">
        <f t="shared" si="14"/>
        <v>56</v>
      </c>
      <c r="Y100" s="2"/>
      <c r="Z100" s="22">
        <f t="shared" si="15"/>
        <v>0</v>
      </c>
    </row>
    <row r="101" spans="1:26" s="24" customFormat="1" hidden="1" outlineLevel="1" x14ac:dyDescent="0.25">
      <c r="A101" s="51"/>
      <c r="B101" s="11" t="str">
        <f>CONCATENATE("          ", "5528", " - ", "FREIGHT-IN-ART/TECH")</f>
        <v xml:space="preserve">          5528 - FREIGHT-IN-ART/TECH</v>
      </c>
      <c r="C101" s="11"/>
      <c r="D101" s="2">
        <v>239.39</v>
      </c>
      <c r="E101" s="2"/>
      <c r="F101" s="22">
        <f t="shared" si="8"/>
        <v>1.4951686360225899E-3</v>
      </c>
      <c r="G101" s="2"/>
      <c r="H101" s="2"/>
      <c r="I101" s="2"/>
      <c r="J101" s="22">
        <f t="shared" si="9"/>
        <v>0</v>
      </c>
      <c r="K101" s="2"/>
      <c r="L101" s="2">
        <f t="shared" si="10"/>
        <v>239.39</v>
      </c>
      <c r="M101" s="2"/>
      <c r="N101" s="22">
        <f t="shared" si="11"/>
        <v>0</v>
      </c>
      <c r="O101" s="11"/>
      <c r="P101" s="2">
        <v>284.2</v>
      </c>
      <c r="Q101" s="2"/>
      <c r="R101" s="22">
        <f t="shared" si="12"/>
        <v>1.2073014499095684E-4</v>
      </c>
      <c r="S101" s="2"/>
      <c r="T101" s="2"/>
      <c r="U101" s="2"/>
      <c r="V101" s="22">
        <f t="shared" si="13"/>
        <v>0</v>
      </c>
      <c r="W101" s="2"/>
      <c r="X101" s="2">
        <f t="shared" si="14"/>
        <v>284.2</v>
      </c>
      <c r="Y101" s="2"/>
      <c r="Z101" s="22">
        <f t="shared" si="15"/>
        <v>0</v>
      </c>
    </row>
    <row r="102" spans="1:26" s="24" customFormat="1" hidden="1" outlineLevel="1" x14ac:dyDescent="0.25">
      <c r="A102" s="51"/>
      <c r="B102" s="11" t="str">
        <f>CONCATENATE("          ", "5540", " - ", "FREIGHT-IN-LOGO CLOTHING")</f>
        <v xml:space="preserve">          5540 - FREIGHT-IN-LOGO CLOTHING</v>
      </c>
      <c r="C102" s="11"/>
      <c r="D102" s="2">
        <v>1036.57</v>
      </c>
      <c r="E102" s="2"/>
      <c r="F102" s="22">
        <f t="shared" si="8"/>
        <v>6.4741507708840637E-3</v>
      </c>
      <c r="G102" s="2"/>
      <c r="H102" s="2"/>
      <c r="I102" s="2"/>
      <c r="J102" s="22">
        <f t="shared" si="9"/>
        <v>0</v>
      </c>
      <c r="K102" s="2"/>
      <c r="L102" s="2">
        <f t="shared" si="10"/>
        <v>1036.57</v>
      </c>
      <c r="M102" s="2"/>
      <c r="N102" s="22">
        <f t="shared" si="11"/>
        <v>0</v>
      </c>
      <c r="O102" s="11"/>
      <c r="P102" s="2">
        <v>3202.33</v>
      </c>
      <c r="Q102" s="2"/>
      <c r="R102" s="22">
        <f t="shared" si="12"/>
        <v>1.3603721506294541E-3</v>
      </c>
      <c r="S102" s="2"/>
      <c r="T102" s="2"/>
      <c r="U102" s="2"/>
      <c r="V102" s="22">
        <f t="shared" si="13"/>
        <v>0</v>
      </c>
      <c r="W102" s="2"/>
      <c r="X102" s="2">
        <f t="shared" si="14"/>
        <v>3202.33</v>
      </c>
      <c r="Y102" s="2"/>
      <c r="Z102" s="22">
        <f t="shared" si="15"/>
        <v>0</v>
      </c>
    </row>
    <row r="103" spans="1:26" s="24" customFormat="1" hidden="1" outlineLevel="1" x14ac:dyDescent="0.25">
      <c r="A103" s="51"/>
      <c r="B103" s="11" t="str">
        <f>CONCATENATE("          ", "5541", " - ", "FREIGHT-IN-LOGO GIFTS")</f>
        <v xml:space="preserve">          5541 - FREIGHT-IN-LOGO GIFTS</v>
      </c>
      <c r="C103" s="11"/>
      <c r="D103" s="2">
        <v>773.7</v>
      </c>
      <c r="E103" s="2"/>
      <c r="F103" s="22">
        <f t="shared" si="8"/>
        <v>4.8323320677166048E-3</v>
      </c>
      <c r="G103" s="2"/>
      <c r="H103" s="2"/>
      <c r="I103" s="2"/>
      <c r="J103" s="22">
        <f t="shared" si="9"/>
        <v>0</v>
      </c>
      <c r="K103" s="2"/>
      <c r="L103" s="2">
        <f t="shared" si="10"/>
        <v>773.7</v>
      </c>
      <c r="M103" s="2"/>
      <c r="N103" s="22">
        <f t="shared" si="11"/>
        <v>0</v>
      </c>
      <c r="O103" s="11"/>
      <c r="P103" s="2">
        <v>1134.81</v>
      </c>
      <c r="Q103" s="2"/>
      <c r="R103" s="22">
        <f t="shared" si="12"/>
        <v>4.8207521406469999E-4</v>
      </c>
      <c r="S103" s="2"/>
      <c r="T103" s="2"/>
      <c r="U103" s="2"/>
      <c r="V103" s="22">
        <f t="shared" si="13"/>
        <v>0</v>
      </c>
      <c r="W103" s="2"/>
      <c r="X103" s="2">
        <f t="shared" si="14"/>
        <v>1134.81</v>
      </c>
      <c r="Y103" s="2"/>
      <c r="Z103" s="22">
        <f t="shared" si="15"/>
        <v>0</v>
      </c>
    </row>
    <row r="104" spans="1:26" s="24" customFormat="1" hidden="1" outlineLevel="1" x14ac:dyDescent="0.25">
      <c r="A104" s="51"/>
      <c r="B104" s="11" t="str">
        <f>CONCATENATE("          ", "5542", " - ", "FREIGHT-IN-EVERYDAY GIFTS")</f>
        <v xml:space="preserve">          5542 - FREIGHT-IN-EVERYDAY GIFTS</v>
      </c>
      <c r="C104" s="11"/>
      <c r="D104" s="2">
        <v>104.17</v>
      </c>
      <c r="E104" s="2"/>
      <c r="F104" s="22">
        <f t="shared" si="8"/>
        <v>6.5061914371725312E-4</v>
      </c>
      <c r="G104" s="2"/>
      <c r="H104" s="2"/>
      <c r="I104" s="2"/>
      <c r="J104" s="22">
        <f t="shared" si="9"/>
        <v>0</v>
      </c>
      <c r="K104" s="2"/>
      <c r="L104" s="2">
        <f t="shared" si="10"/>
        <v>104.17</v>
      </c>
      <c r="M104" s="2"/>
      <c r="N104" s="22">
        <f t="shared" si="11"/>
        <v>0</v>
      </c>
      <c r="O104" s="11"/>
      <c r="P104" s="2">
        <v>175.55</v>
      </c>
      <c r="Q104" s="2"/>
      <c r="R104" s="22">
        <f t="shared" si="12"/>
        <v>7.4574866126539326E-5</v>
      </c>
      <c r="S104" s="2"/>
      <c r="T104" s="2"/>
      <c r="U104" s="2"/>
      <c r="V104" s="22">
        <f t="shared" si="13"/>
        <v>0</v>
      </c>
      <c r="W104" s="2"/>
      <c r="X104" s="2">
        <f t="shared" si="14"/>
        <v>175.55</v>
      </c>
      <c r="Y104" s="2"/>
      <c r="Z104" s="22">
        <f t="shared" si="15"/>
        <v>0</v>
      </c>
    </row>
    <row r="105" spans="1:26" s="24" customFormat="1" hidden="1" outlineLevel="1" x14ac:dyDescent="0.25">
      <c r="A105" s="51"/>
      <c r="B105" s="11" t="str">
        <f>CONCATENATE("          ", "5543", " - ", "FREIGHT-IN-CARDS")</f>
        <v xml:space="preserve">          5543 - FREIGHT-IN-CARDS</v>
      </c>
      <c r="C105" s="11"/>
      <c r="D105" s="2">
        <v>107.42</v>
      </c>
      <c r="E105" s="2"/>
      <c r="F105" s="22">
        <f t="shared" si="8"/>
        <v>6.7091781144386407E-4</v>
      </c>
      <c r="G105" s="2"/>
      <c r="H105" s="2"/>
      <c r="I105" s="2"/>
      <c r="J105" s="22">
        <f t="shared" si="9"/>
        <v>0</v>
      </c>
      <c r="K105" s="2"/>
      <c r="L105" s="2">
        <f t="shared" si="10"/>
        <v>107.42</v>
      </c>
      <c r="M105" s="2"/>
      <c r="N105" s="22">
        <f t="shared" si="11"/>
        <v>0</v>
      </c>
      <c r="O105" s="11"/>
      <c r="P105" s="2">
        <v>189.19</v>
      </c>
      <c r="Q105" s="2"/>
      <c r="R105" s="22">
        <f t="shared" si="12"/>
        <v>8.0369233394930067E-5</v>
      </c>
      <c r="S105" s="2"/>
      <c r="T105" s="2"/>
      <c r="U105" s="2"/>
      <c r="V105" s="22">
        <f t="shared" si="13"/>
        <v>0</v>
      </c>
      <c r="W105" s="2"/>
      <c r="X105" s="2">
        <f t="shared" si="14"/>
        <v>189.19</v>
      </c>
      <c r="Y105" s="2"/>
      <c r="Z105" s="22">
        <f t="shared" si="15"/>
        <v>0</v>
      </c>
    </row>
    <row r="106" spans="1:26" s="24" customFormat="1" hidden="1" outlineLevel="1" x14ac:dyDescent="0.25">
      <c r="A106" s="51"/>
      <c r="B106" s="11" t="str">
        <f>CONCATENATE("          ", "5545", " - ", "FREIGHT-IN-SPECIAL ORDERS")</f>
        <v xml:space="preserve">          5545 - FREIGHT-IN-SPECIAL ORDERS</v>
      </c>
      <c r="C106" s="11"/>
      <c r="D106" s="2">
        <v>189.66</v>
      </c>
      <c r="E106" s="2"/>
      <c r="F106" s="22">
        <f t="shared" si="8"/>
        <v>1.1845677910858616E-3</v>
      </c>
      <c r="G106" s="2"/>
      <c r="H106" s="2"/>
      <c r="I106" s="2"/>
      <c r="J106" s="22">
        <f t="shared" si="9"/>
        <v>0</v>
      </c>
      <c r="K106" s="2"/>
      <c r="L106" s="2">
        <f t="shared" si="10"/>
        <v>189.66</v>
      </c>
      <c r="M106" s="2"/>
      <c r="N106" s="22">
        <f t="shared" si="11"/>
        <v>0</v>
      </c>
      <c r="O106" s="11"/>
      <c r="P106" s="2">
        <v>850.27</v>
      </c>
      <c r="Q106" s="2"/>
      <c r="R106" s="22">
        <f t="shared" si="12"/>
        <v>3.6120063469901784E-4</v>
      </c>
      <c r="S106" s="2"/>
      <c r="T106" s="2"/>
      <c r="U106" s="2"/>
      <c r="V106" s="22">
        <f t="shared" si="13"/>
        <v>0</v>
      </c>
      <c r="W106" s="2"/>
      <c r="X106" s="2">
        <f t="shared" si="14"/>
        <v>850.27</v>
      </c>
      <c r="Y106" s="2"/>
      <c r="Z106" s="22">
        <f t="shared" si="15"/>
        <v>0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6" t="s">
        <v>6</v>
      </c>
      <c r="C108" s="26"/>
      <c r="D108" s="20">
        <f>D12-D75</f>
        <v>73638.530000000042</v>
      </c>
      <c r="E108" s="13"/>
      <c r="F108" s="19">
        <f>IF(D$12=0,0,D108/D$12)</f>
        <v>0.45992740072187077</v>
      </c>
      <c r="G108" s="13"/>
      <c r="H108" s="20">
        <f>H12-H75</f>
        <v>211793</v>
      </c>
      <c r="I108" s="13"/>
      <c r="J108" s="19">
        <f>IF(H$12=0,0,H108/H$12)</f>
        <v>0.5256374619657207</v>
      </c>
      <c r="K108" s="15"/>
      <c r="L108" s="20">
        <f>+D108-H108</f>
        <v>-138154.46999999997</v>
      </c>
      <c r="M108" s="15"/>
      <c r="N108" s="19">
        <f>IF(H108=0,0,L108/H108)</f>
        <v>-0.65230895260938737</v>
      </c>
      <c r="O108" s="25"/>
      <c r="P108" s="20">
        <f>P12-P75</f>
        <v>813580.32999999961</v>
      </c>
      <c r="Q108" s="13"/>
      <c r="R108" s="19">
        <f>IF(P$12=0,0,P108/P$12)</f>
        <v>0.34561460662452664</v>
      </c>
      <c r="S108" s="13"/>
      <c r="T108" s="20">
        <f>T12-T75</f>
        <v>1513495</v>
      </c>
      <c r="U108" s="13"/>
      <c r="V108" s="19">
        <f>IF(T$12=0,0,T108/T$12)</f>
        <v>0.37966565731543006</v>
      </c>
      <c r="W108" s="15"/>
      <c r="X108" s="20">
        <f>+P108-T108</f>
        <v>-699914.67000000039</v>
      </c>
      <c r="Y108" s="15"/>
      <c r="Z108" s="19">
        <f>IF(T108=0,0,X108/T108)</f>
        <v>-0.4624492779956329</v>
      </c>
    </row>
    <row r="109" spans="1:26" x14ac:dyDescent="0.25">
      <c r="A109" s="9"/>
      <c r="B109" s="10"/>
      <c r="C109" s="9"/>
      <c r="D109" s="1"/>
      <c r="E109" s="1"/>
      <c r="F109" s="5"/>
      <c r="G109" s="1"/>
      <c r="H109" s="1"/>
      <c r="I109" s="1"/>
      <c r="J109" s="5"/>
      <c r="K109" s="1"/>
      <c r="L109" s="1"/>
      <c r="M109" s="1"/>
      <c r="N109" s="5"/>
      <c r="O109" s="36"/>
      <c r="P109" s="1"/>
      <c r="Q109" s="1"/>
      <c r="R109" s="5"/>
      <c r="S109" s="1"/>
      <c r="T109" s="1"/>
      <c r="U109" s="1"/>
      <c r="V109" s="5"/>
      <c r="W109" s="1"/>
      <c r="X109" s="1"/>
      <c r="Y109" s="1"/>
      <c r="Z109" s="5"/>
    </row>
    <row r="110" spans="1:26" s="23" customFormat="1" x14ac:dyDescent="0.25">
      <c r="A110" s="10"/>
      <c r="B110" s="25" t="s">
        <v>9</v>
      </c>
      <c r="C110" s="10"/>
      <c r="D110" s="21">
        <f>SUM(OSRRefD22x_0)</f>
        <v>320952.99000000011</v>
      </c>
      <c r="E110" s="21"/>
      <c r="F110" s="31">
        <f t="shared" ref="F110:F121" si="16">IF(D$12=0,0,D110/D$12)</f>
        <v>2.0045901845760983</v>
      </c>
      <c r="G110" s="21"/>
      <c r="H110" s="21">
        <f>SUM(OSRRefH22x_0)</f>
        <v>346978.17130414426</v>
      </c>
      <c r="I110" s="21"/>
      <c r="J110" s="31">
        <f t="shared" ref="J110:J121" si="17">IF(H$12=0,0,H110/H$12)</f>
        <v>0.86114614421542479</v>
      </c>
      <c r="K110" s="4"/>
      <c r="L110" s="21">
        <f t="shared" ref="L110:L121" si="18">+D110-H110</f>
        <v>-26025.181304144149</v>
      </c>
      <c r="M110" s="4"/>
      <c r="N110" s="31">
        <f t="shared" ref="N110:N121" si="19">IF(H110=0,0,L110/H110)</f>
        <v>-7.5005240837850096E-2</v>
      </c>
      <c r="O110" s="10"/>
      <c r="P110" s="21">
        <f>SUM(OSRRefP22x_0)</f>
        <v>1123241.1299999997</v>
      </c>
      <c r="Q110" s="21"/>
      <c r="R110" s="31">
        <f t="shared" ref="R110:R121" si="20">IF(P$12=0,0,P110/P$12)</f>
        <v>0.47716067728608785</v>
      </c>
      <c r="S110" s="21"/>
      <c r="T110" s="21">
        <f>SUM(OSRRefT22x_0)</f>
        <v>1578615.3056275193</v>
      </c>
      <c r="U110" s="21"/>
      <c r="V110" s="31">
        <f t="shared" ref="V110:V121" si="21">IF(T$12=0,0,T110/T$12)</f>
        <v>0.39600131989816328</v>
      </c>
      <c r="W110" s="4"/>
      <c r="X110" s="21">
        <f t="shared" ref="X110:X121" si="22">+P110-T110</f>
        <v>-455374.17562751961</v>
      </c>
      <c r="Y110" s="4"/>
      <c r="Z110" s="31">
        <f t="shared" ref="Z110:Z121" si="23">IF(T110=0,0,X110/T110)</f>
        <v>-0.28846431046511534</v>
      </c>
    </row>
    <row r="111" spans="1:26" s="27" customFormat="1" outlineLevel="1" collapsed="1" x14ac:dyDescent="0.25">
      <c r="A111" s="29"/>
      <c r="B111" s="14" t="str">
        <f>CONCATENATE("     ","*Benefits                                         ")</f>
        <v xml:space="preserve">     *Benefits                                         </v>
      </c>
      <c r="C111" s="14"/>
      <c r="D111" s="1">
        <f>SUM(OSRRefD22_0x_0)</f>
        <v>47918.080000000002</v>
      </c>
      <c r="E111" s="1"/>
      <c r="F111" s="5">
        <f t="shared" si="16"/>
        <v>0.29928405662066654</v>
      </c>
      <c r="G111" s="1"/>
      <c r="H111" s="1">
        <f>SUM(OSRRefH22_0x_0)</f>
        <v>46723.954076451904</v>
      </c>
      <c r="I111" s="1"/>
      <c r="J111" s="5">
        <f t="shared" si="17"/>
        <v>0.11596162589768817</v>
      </c>
      <c r="K111" s="1"/>
      <c r="L111" s="1">
        <f t="shared" si="18"/>
        <v>1194.1259235480975</v>
      </c>
      <c r="M111" s="1"/>
      <c r="N111" s="5">
        <f t="shared" si="19"/>
        <v>2.5557039149430999E-2</v>
      </c>
      <c r="O111" s="14"/>
      <c r="P111" s="1">
        <f>SUM(OSRRefP22_0x_0)</f>
        <v>180908.62999999998</v>
      </c>
      <c r="Q111" s="1"/>
      <c r="R111" s="5">
        <f t="shared" si="20"/>
        <v>7.6851249577816194E-2</v>
      </c>
      <c r="S111" s="1"/>
      <c r="T111" s="1">
        <f>SUM(OSRRefT22_0x_0)</f>
        <v>189200.2256078269</v>
      </c>
      <c r="U111" s="1"/>
      <c r="V111" s="5">
        <f t="shared" si="21"/>
        <v>4.7461556212358327E-2</v>
      </c>
      <c r="W111" s="1"/>
      <c r="X111" s="1">
        <f t="shared" si="22"/>
        <v>-8291.5956078269228</v>
      </c>
      <c r="Y111" s="1"/>
      <c r="Z111" s="5">
        <f t="shared" si="23"/>
        <v>-4.3824448840847012E-2</v>
      </c>
    </row>
    <row r="112" spans="1:26" s="24" customFormat="1" hidden="1" outlineLevel="2" x14ac:dyDescent="0.25">
      <c r="A112" s="28"/>
      <c r="B112" s="11" t="str">
        <f>CONCATENATE("          ", "6111", " - ", "F.I.C.A.")</f>
        <v xml:space="preserve">          6111 - F.I.C.A.</v>
      </c>
      <c r="C112" s="11"/>
      <c r="D112" s="7">
        <v>12100.84</v>
      </c>
      <c r="E112" s="2"/>
      <c r="F112" s="6">
        <f t="shared" si="16"/>
        <v>7.5578747807041227E-2</v>
      </c>
      <c r="G112" s="2"/>
      <c r="H112" s="7">
        <v>7899.4693537788444</v>
      </c>
      <c r="I112" s="2"/>
      <c r="J112" s="6">
        <f t="shared" si="17"/>
        <v>1.9605260900956614E-2</v>
      </c>
      <c r="K112" s="2"/>
      <c r="L112" s="7">
        <f t="shared" si="18"/>
        <v>4201.3706462211558</v>
      </c>
      <c r="M112" s="2"/>
      <c r="N112" s="6">
        <f t="shared" si="19"/>
        <v>0.53185479404529357</v>
      </c>
      <c r="O112" s="11"/>
      <c r="P112" s="7">
        <v>41707.870000000003</v>
      </c>
      <c r="Q112" s="2"/>
      <c r="R112" s="6">
        <f t="shared" si="20"/>
        <v>1.7717794484039338E-2</v>
      </c>
      <c r="S112" s="2"/>
      <c r="T112" s="7">
        <v>38905.339608403847</v>
      </c>
      <c r="U112" s="2"/>
      <c r="V112" s="6">
        <f t="shared" si="21"/>
        <v>9.7595441910972181E-3</v>
      </c>
      <c r="W112" s="2"/>
      <c r="X112" s="7">
        <f t="shared" si="22"/>
        <v>2802.5303915961558</v>
      </c>
      <c r="Y112" s="2"/>
      <c r="Z112" s="6">
        <f t="shared" si="23"/>
        <v>7.2034595245912936E-2</v>
      </c>
    </row>
    <row r="113" spans="1:26" s="24" customFormat="1" hidden="1" outlineLevel="2" x14ac:dyDescent="0.25">
      <c r="A113" s="28"/>
      <c r="B113" s="11" t="str">
        <f>CONCATENATE("          ", "6112", " - ", "COMPENSATION INSURANCE")</f>
        <v xml:space="preserve">          6112 - COMPENSATION INSURANCE</v>
      </c>
      <c r="C113" s="11"/>
      <c r="D113" s="7">
        <v>1743.97</v>
      </c>
      <c r="E113" s="2"/>
      <c r="F113" s="6">
        <f t="shared" si="16"/>
        <v>1.0892390016977805E-2</v>
      </c>
      <c r="G113" s="2"/>
      <c r="H113" s="7">
        <v>3113.1934800961562</v>
      </c>
      <c r="I113" s="2"/>
      <c r="J113" s="6">
        <f t="shared" si="17"/>
        <v>7.7264646116064891E-3</v>
      </c>
      <c r="K113" s="2"/>
      <c r="L113" s="7">
        <f t="shared" si="18"/>
        <v>-1369.2234800961562</v>
      </c>
      <c r="M113" s="2"/>
      <c r="N113" s="6">
        <f t="shared" si="19"/>
        <v>-0.43981316575732565</v>
      </c>
      <c r="O113" s="11"/>
      <c r="P113" s="7">
        <v>9958.42</v>
      </c>
      <c r="Q113" s="2"/>
      <c r="R113" s="6">
        <f t="shared" si="20"/>
        <v>4.2304063704463211E-3</v>
      </c>
      <c r="S113" s="2"/>
      <c r="T113" s="7">
        <v>13289.971191346151</v>
      </c>
      <c r="U113" s="2"/>
      <c r="V113" s="6">
        <f t="shared" si="21"/>
        <v>3.3338370117281958E-3</v>
      </c>
      <c r="W113" s="2"/>
      <c r="X113" s="7">
        <f t="shared" si="22"/>
        <v>-3331.5511913461505</v>
      </c>
      <c r="Y113" s="2"/>
      <c r="Z113" s="6">
        <f t="shared" si="23"/>
        <v>-0.25068159617347485</v>
      </c>
    </row>
    <row r="114" spans="1:26" s="24" customFormat="1" hidden="1" outlineLevel="2" x14ac:dyDescent="0.25">
      <c r="A114" s="28"/>
      <c r="B114" s="11" t="str">
        <f>CONCATENATE("          ", "6113", " - ", "GROUP INSURANCE")</f>
        <v xml:space="preserve">          6113 - GROUP INSURANCE</v>
      </c>
      <c r="C114" s="11"/>
      <c r="D114" s="7">
        <v>14801.22</v>
      </c>
      <c r="E114" s="2"/>
      <c r="F114" s="6">
        <f t="shared" si="16"/>
        <v>9.2444629762606118E-2</v>
      </c>
      <c r="G114" s="2"/>
      <c r="H114" s="7">
        <v>18067.499999999989</v>
      </c>
      <c r="I114" s="2"/>
      <c r="J114" s="6">
        <f t="shared" si="17"/>
        <v>4.4840739986995101E-2</v>
      </c>
      <c r="K114" s="2"/>
      <c r="L114" s="7">
        <f t="shared" si="18"/>
        <v>-3266.2799999999897</v>
      </c>
      <c r="M114" s="2"/>
      <c r="N114" s="6">
        <f t="shared" si="19"/>
        <v>-0.18078206724782023</v>
      </c>
      <c r="O114" s="11"/>
      <c r="P114" s="7">
        <v>58586.21</v>
      </c>
      <c r="Q114" s="2"/>
      <c r="R114" s="6">
        <f t="shared" si="20"/>
        <v>2.4887831202570886E-2</v>
      </c>
      <c r="S114" s="2"/>
      <c r="T114" s="7">
        <v>70709.999999999971</v>
      </c>
      <c r="U114" s="2"/>
      <c r="V114" s="6">
        <f t="shared" si="21"/>
        <v>1.7737857494589709E-2</v>
      </c>
      <c r="W114" s="2"/>
      <c r="X114" s="7">
        <f t="shared" si="22"/>
        <v>-12123.789999999972</v>
      </c>
      <c r="Y114" s="2"/>
      <c r="Z114" s="6">
        <f t="shared" si="23"/>
        <v>-0.17145792674303462</v>
      </c>
    </row>
    <row r="115" spans="1:26" s="24" customFormat="1" hidden="1" outlineLevel="2" x14ac:dyDescent="0.25">
      <c r="A115" s="28"/>
      <c r="B115" s="11" t="str">
        <f>CONCATENATE("          ", "6114", " - ", "STATE UNEMPLOYMENT INSURANCE")</f>
        <v xml:space="preserve">          6114 - STATE UNEMPLOYMENT INSURANCE</v>
      </c>
      <c r="C115" s="11"/>
      <c r="D115" s="7">
        <v>302.25</v>
      </c>
      <c r="E115" s="2"/>
      <c r="F115" s="6">
        <f t="shared" si="16"/>
        <v>1.887776098574827E-3</v>
      </c>
      <c r="G115" s="2"/>
      <c r="H115" s="7">
        <v>442.2280945</v>
      </c>
      <c r="I115" s="2"/>
      <c r="J115" s="6">
        <f t="shared" si="17"/>
        <v>1.0975417185785975E-3</v>
      </c>
      <c r="K115" s="2"/>
      <c r="L115" s="7">
        <f t="shared" si="18"/>
        <v>-139.9780945</v>
      </c>
      <c r="M115" s="2"/>
      <c r="N115" s="6">
        <f t="shared" si="19"/>
        <v>-0.31652917632531824</v>
      </c>
      <c r="O115" s="11"/>
      <c r="P115" s="7">
        <v>1438.09</v>
      </c>
      <c r="Q115" s="2"/>
      <c r="R115" s="6">
        <f t="shared" si="20"/>
        <v>6.1091067631965207E-4</v>
      </c>
      <c r="S115" s="2"/>
      <c r="T115" s="7">
        <v>1880.3195350000001</v>
      </c>
      <c r="U115" s="2"/>
      <c r="V115" s="6">
        <f t="shared" si="21"/>
        <v>4.7168490957605997E-4</v>
      </c>
      <c r="W115" s="2"/>
      <c r="X115" s="7">
        <f t="shared" si="22"/>
        <v>-442.22953500000017</v>
      </c>
      <c r="Y115" s="2"/>
      <c r="Z115" s="6">
        <f t="shared" si="23"/>
        <v>-0.23518850214998174</v>
      </c>
    </row>
    <row r="116" spans="1:26" s="24" customFormat="1" hidden="1" outlineLevel="2" x14ac:dyDescent="0.25">
      <c r="A116" s="28"/>
      <c r="B116" s="11" t="str">
        <f>CONCATENATE("          ", "6115", " - ", "P.E.R.S.")</f>
        <v xml:space="preserve">          6115 - P.E.R.S.</v>
      </c>
      <c r="C116" s="11"/>
      <c r="D116" s="7">
        <v>4938.6400000000003</v>
      </c>
      <c r="E116" s="2"/>
      <c r="F116" s="6">
        <f t="shared" si="16"/>
        <v>3.0845480732723193E-2</v>
      </c>
      <c r="G116" s="2"/>
      <c r="H116" s="7">
        <v>5865.944644230769</v>
      </c>
      <c r="I116" s="2"/>
      <c r="J116" s="6">
        <f t="shared" si="17"/>
        <v>1.4558367154839272E-2</v>
      </c>
      <c r="K116" s="2"/>
      <c r="L116" s="7">
        <f t="shared" si="18"/>
        <v>-927.30464423076864</v>
      </c>
      <c r="M116" s="2"/>
      <c r="N116" s="6">
        <f t="shared" si="19"/>
        <v>-0.15808274719107426</v>
      </c>
      <c r="O116" s="11"/>
      <c r="P116" s="7">
        <v>25183.17</v>
      </c>
      <c r="Q116" s="2"/>
      <c r="R116" s="6">
        <f t="shared" si="20"/>
        <v>1.0697986507501459E-2</v>
      </c>
      <c r="S116" s="2"/>
      <c r="T116" s="7">
        <v>21117.400719230769</v>
      </c>
      <c r="U116" s="2"/>
      <c r="V116" s="6">
        <f t="shared" si="21"/>
        <v>5.2973758253975637E-3</v>
      </c>
      <c r="W116" s="2"/>
      <c r="X116" s="7">
        <f t="shared" si="22"/>
        <v>4065.7692807692292</v>
      </c>
      <c r="Y116" s="2"/>
      <c r="Z116" s="6">
        <f t="shared" si="23"/>
        <v>0.1925317104517838</v>
      </c>
    </row>
    <row r="117" spans="1:26" s="24" customFormat="1" hidden="1" outlineLevel="2" x14ac:dyDescent="0.25">
      <c r="A117" s="28"/>
      <c r="B117" s="11" t="str">
        <f>CONCATENATE("          ", "6116", " - ", "EDUCATIONAL BENEFITS")</f>
        <v xml:space="preserve">          6116 - EDUCATIONAL BENEFITS</v>
      </c>
      <c r="C117" s="11"/>
      <c r="D117" s="7"/>
      <c r="E117" s="2"/>
      <c r="F117" s="6">
        <f t="shared" si="16"/>
        <v>0</v>
      </c>
      <c r="G117" s="2"/>
      <c r="H117" s="7">
        <v>0</v>
      </c>
      <c r="I117" s="2"/>
      <c r="J117" s="6">
        <f t="shared" si="17"/>
        <v>0</v>
      </c>
      <c r="K117" s="2"/>
      <c r="L117" s="7">
        <f t="shared" si="18"/>
        <v>0</v>
      </c>
      <c r="M117" s="2"/>
      <c r="N117" s="6">
        <f t="shared" si="19"/>
        <v>0</v>
      </c>
      <c r="O117" s="11"/>
      <c r="P117" s="7">
        <v>0</v>
      </c>
      <c r="Q117" s="2"/>
      <c r="R117" s="6">
        <f t="shared" si="20"/>
        <v>0</v>
      </c>
      <c r="S117" s="2"/>
      <c r="T117" s="7">
        <v>0</v>
      </c>
      <c r="U117" s="2"/>
      <c r="V117" s="6">
        <f t="shared" si="21"/>
        <v>0</v>
      </c>
      <c r="W117" s="2"/>
      <c r="X117" s="7">
        <f t="shared" si="22"/>
        <v>0</v>
      </c>
      <c r="Y117" s="2"/>
      <c r="Z117" s="6">
        <f t="shared" si="23"/>
        <v>0</v>
      </c>
    </row>
    <row r="118" spans="1:26" s="24" customFormat="1" hidden="1" outlineLevel="2" x14ac:dyDescent="0.25">
      <c r="A118" s="28"/>
      <c r="B118" s="11" t="str">
        <f>CONCATENATE("          ", "6117", " - ", "RETIREMENT STAFF HOURLY")</f>
        <v xml:space="preserve">          6117 - RETIREMENT STAFF HOURLY</v>
      </c>
      <c r="C118" s="11"/>
      <c r="D118" s="7">
        <v>222.97</v>
      </c>
      <c r="E118" s="2"/>
      <c r="F118" s="6">
        <f t="shared" si="16"/>
        <v>1.3926135209238351E-3</v>
      </c>
      <c r="G118" s="2"/>
      <c r="H118" s="7"/>
      <c r="I118" s="2"/>
      <c r="J118" s="6">
        <f t="shared" si="17"/>
        <v>0</v>
      </c>
      <c r="K118" s="2"/>
      <c r="L118" s="7">
        <f t="shared" si="18"/>
        <v>222.97</v>
      </c>
      <c r="M118" s="2"/>
      <c r="N118" s="6">
        <f t="shared" si="19"/>
        <v>0</v>
      </c>
      <c r="O118" s="11"/>
      <c r="P118" s="7">
        <v>1060.74</v>
      </c>
      <c r="Q118" s="2"/>
      <c r="R118" s="6">
        <f t="shared" si="20"/>
        <v>4.506097607238127E-4</v>
      </c>
      <c r="S118" s="2"/>
      <c r="T118" s="7"/>
      <c r="U118" s="2"/>
      <c r="V118" s="6">
        <f t="shared" si="21"/>
        <v>0</v>
      </c>
      <c r="W118" s="2"/>
      <c r="X118" s="7">
        <f t="shared" si="22"/>
        <v>1060.74</v>
      </c>
      <c r="Y118" s="2"/>
      <c r="Z118" s="6">
        <f t="shared" si="23"/>
        <v>0</v>
      </c>
    </row>
    <row r="119" spans="1:26" s="24" customFormat="1" hidden="1" outlineLevel="2" x14ac:dyDescent="0.25">
      <c r="A119" s="28"/>
      <c r="B119" s="11" t="str">
        <f>CONCATENATE("          ", "6118", " - ", "VACATION")</f>
        <v xml:space="preserve">          6118 - VACATION</v>
      </c>
      <c r="C119" s="11"/>
      <c r="D119" s="7">
        <v>6844.14</v>
      </c>
      <c r="E119" s="2"/>
      <c r="F119" s="6">
        <f t="shared" si="16"/>
        <v>4.2746745764433144E-2</v>
      </c>
      <c r="G119" s="2"/>
      <c r="H119" s="7">
        <v>4932.1792749999968</v>
      </c>
      <c r="I119" s="2"/>
      <c r="J119" s="6">
        <f t="shared" si="17"/>
        <v>1.2240905960399668E-2</v>
      </c>
      <c r="K119" s="2"/>
      <c r="L119" s="7">
        <f t="shared" si="18"/>
        <v>1911.9607250000035</v>
      </c>
      <c r="M119" s="2"/>
      <c r="N119" s="6">
        <f t="shared" si="19"/>
        <v>0.38765028973931709</v>
      </c>
      <c r="O119" s="11"/>
      <c r="P119" s="7">
        <v>21273.710000000003</v>
      </c>
      <c r="Q119" s="2"/>
      <c r="R119" s="6">
        <f t="shared" si="20"/>
        <v>9.0372205939323325E-3</v>
      </c>
      <c r="S119" s="2"/>
      <c r="T119" s="7">
        <v>17755.845389999995</v>
      </c>
      <c r="U119" s="2"/>
      <c r="V119" s="6">
        <f t="shared" si="21"/>
        <v>4.4541175961502989E-3</v>
      </c>
      <c r="W119" s="2"/>
      <c r="X119" s="7">
        <f t="shared" si="22"/>
        <v>3517.8646100000078</v>
      </c>
      <c r="Y119" s="2"/>
      <c r="Z119" s="6">
        <f t="shared" si="23"/>
        <v>0.19812430964178432</v>
      </c>
    </row>
    <row r="120" spans="1:26" s="24" customFormat="1" hidden="1" outlineLevel="2" x14ac:dyDescent="0.25">
      <c r="A120" s="28"/>
      <c r="B120" s="11" t="str">
        <f>CONCATENATE("          ", "6119", " - ", "SICK LEAVE")</f>
        <v xml:space="preserve">          6119 - SICK LEAVE</v>
      </c>
      <c r="C120" s="11"/>
      <c r="D120" s="7">
        <v>5141</v>
      </c>
      <c r="E120" s="2"/>
      <c r="F120" s="6">
        <f t="shared" si="16"/>
        <v>3.2109369471540729E-2</v>
      </c>
      <c r="G120" s="2"/>
      <c r="H120" s="7">
        <v>4778.4392288461522</v>
      </c>
      <c r="I120" s="2"/>
      <c r="J120" s="6">
        <f t="shared" si="17"/>
        <v>1.1859346949182113E-2</v>
      </c>
      <c r="K120" s="2"/>
      <c r="L120" s="7">
        <f t="shared" si="18"/>
        <v>362.56077115384778</v>
      </c>
      <c r="M120" s="2"/>
      <c r="N120" s="6">
        <f t="shared" si="19"/>
        <v>7.5874308281491984E-2</v>
      </c>
      <c r="O120" s="11"/>
      <c r="P120" s="7">
        <v>15619.46</v>
      </c>
      <c r="Q120" s="2"/>
      <c r="R120" s="6">
        <f t="shared" si="20"/>
        <v>6.6352557019016562E-3</v>
      </c>
      <c r="S120" s="2"/>
      <c r="T120" s="7">
        <v>19041.349163846138</v>
      </c>
      <c r="U120" s="2"/>
      <c r="V120" s="6">
        <f t="shared" si="21"/>
        <v>4.7765908354267831E-3</v>
      </c>
      <c r="W120" s="2"/>
      <c r="X120" s="7">
        <f t="shared" si="22"/>
        <v>-3421.8891638461391</v>
      </c>
      <c r="Y120" s="2"/>
      <c r="Z120" s="6">
        <f t="shared" si="23"/>
        <v>-0.17970833549669313</v>
      </c>
    </row>
    <row r="121" spans="1:26" s="24" customFormat="1" hidden="1" outlineLevel="2" x14ac:dyDescent="0.25">
      <c r="A121" s="28"/>
      <c r="B121" s="11" t="str">
        <f>CONCATENATE("          ", "6156", " - ", "EMPLOYEE MEALS")</f>
        <v xml:space="preserve">          6156 - EMPLOYEE MEALS</v>
      </c>
      <c r="C121" s="11"/>
      <c r="D121" s="7">
        <v>1823.05</v>
      </c>
      <c r="E121" s="2"/>
      <c r="F121" s="6">
        <f t="shared" si="16"/>
        <v>1.138630344584562E-2</v>
      </c>
      <c r="G121" s="2"/>
      <c r="H121" s="7">
        <v>1625</v>
      </c>
      <c r="I121" s="2"/>
      <c r="J121" s="6">
        <f t="shared" si="17"/>
        <v>4.032998615130322E-3</v>
      </c>
      <c r="K121" s="2"/>
      <c r="L121" s="7">
        <f t="shared" si="18"/>
        <v>198.04999999999995</v>
      </c>
      <c r="M121" s="2"/>
      <c r="N121" s="6">
        <f t="shared" si="19"/>
        <v>0.12187692307692305</v>
      </c>
      <c r="O121" s="11"/>
      <c r="P121" s="7">
        <v>6080.96</v>
      </c>
      <c r="Q121" s="2"/>
      <c r="R121" s="6">
        <f t="shared" si="20"/>
        <v>2.5832342803807492E-3</v>
      </c>
      <c r="S121" s="2"/>
      <c r="T121" s="7">
        <v>6500</v>
      </c>
      <c r="U121" s="2"/>
      <c r="V121" s="6">
        <f t="shared" si="21"/>
        <v>1.6305483483924925E-3</v>
      </c>
      <c r="W121" s="2"/>
      <c r="X121" s="7">
        <f t="shared" si="22"/>
        <v>-419.03999999999996</v>
      </c>
      <c r="Y121" s="2"/>
      <c r="Z121" s="6">
        <f t="shared" si="23"/>
        <v>-6.4467692307692295E-2</v>
      </c>
    </row>
    <row r="122" spans="1:26" s="27" customFormat="1" outlineLevel="1" collapsed="1" x14ac:dyDescent="0.25">
      <c r="A122" s="29"/>
      <c r="B122" s="14" t="str">
        <f>CONCATENATE("     ","*Payroll                                          ")</f>
        <v xml:space="preserve">     *Payroll                                          </v>
      </c>
      <c r="C122" s="14"/>
      <c r="D122" s="1">
        <f>SUM(OSRRefD22_1x_0)</f>
        <v>117475.85999999999</v>
      </c>
      <c r="E122" s="1"/>
      <c r="F122" s="5">
        <f t="shared" ref="F122:F132" si="24">IF(D$12=0,0,D122/D$12)</f>
        <v>0.73372413785780832</v>
      </c>
      <c r="G122" s="1"/>
      <c r="H122" s="1">
        <f>SUM(OSRRefH22_1x_0)</f>
        <v>155493.21722769237</v>
      </c>
      <c r="I122" s="1"/>
      <c r="J122" s="5">
        <f t="shared" ref="J122:J132" si="25">IF(H$12=0,0,H122/H$12)</f>
        <v>0.38591011061011793</v>
      </c>
      <c r="K122" s="1"/>
      <c r="L122" s="1">
        <f t="shared" ref="L122:L132" si="26">+D122-H122</f>
        <v>-38017.357227692381</v>
      </c>
      <c r="M122" s="1"/>
      <c r="N122" s="5">
        <f t="shared" ref="N122:N132" si="27">IF(H122=0,0,L122/H122)</f>
        <v>-0.24449527706422508</v>
      </c>
      <c r="O122" s="14"/>
      <c r="P122" s="1">
        <f>SUM(OSRRefP22_1x_0)</f>
        <v>518204.42999999993</v>
      </c>
      <c r="Q122" s="1"/>
      <c r="R122" s="5">
        <f t="shared" ref="R122:R132" si="28">IF(P$12=0,0,P122/P$12)</f>
        <v>0.22013686125565143</v>
      </c>
      <c r="S122" s="1"/>
      <c r="T122" s="1">
        <f>SUM(OSRRefT22_1x_0)</f>
        <v>673538.08001969254</v>
      </c>
      <c r="U122" s="1"/>
      <c r="V122" s="5">
        <f t="shared" ref="V122:V132" si="29">IF(T$12=0,0,T122/T$12)</f>
        <v>0.16895944676239388</v>
      </c>
      <c r="W122" s="1"/>
      <c r="X122" s="1">
        <f t="shared" ref="X122:X132" si="30">+P122-T122</f>
        <v>-155333.65001969261</v>
      </c>
      <c r="Y122" s="1"/>
      <c r="Z122" s="5">
        <f t="shared" ref="Z122:Z132" si="31">IF(T122=0,0,X122/T122)</f>
        <v>-0.23062341184206103</v>
      </c>
    </row>
    <row r="123" spans="1:26" s="24" customFormat="1" hidden="1" outlineLevel="2" x14ac:dyDescent="0.25">
      <c r="A123" s="28"/>
      <c r="B123" s="11" t="str">
        <f>CONCATENATE("          ", "6001", " - ", "ADMINISTRATIVE SALARIES")</f>
        <v xml:space="preserve">          6001 - ADMINISTRATIVE SALARIES</v>
      </c>
      <c r="C123" s="11"/>
      <c r="D123" s="7">
        <v>4205.17</v>
      </c>
      <c r="E123" s="2"/>
      <c r="F123" s="6">
        <f t="shared" si="24"/>
        <v>2.626441494274245E-2</v>
      </c>
      <c r="G123" s="2"/>
      <c r="H123" s="7">
        <v>9699.6153846153902</v>
      </c>
      <c r="I123" s="2"/>
      <c r="J123" s="6">
        <f t="shared" si="25"/>
        <v>2.4072944869815774E-2</v>
      </c>
      <c r="K123" s="2"/>
      <c r="L123" s="7">
        <f t="shared" si="26"/>
        <v>-5494.4453846153901</v>
      </c>
      <c r="M123" s="2"/>
      <c r="N123" s="6">
        <f t="shared" si="27"/>
        <v>-0.56646012926761591</v>
      </c>
      <c r="O123" s="11"/>
      <c r="P123" s="7">
        <v>17142.5</v>
      </c>
      <c r="Q123" s="2"/>
      <c r="R123" s="6">
        <f t="shared" si="28"/>
        <v>7.2822537315534053E-3</v>
      </c>
      <c r="S123" s="2"/>
      <c r="T123" s="7">
        <v>34918.615384615397</v>
      </c>
      <c r="U123" s="2"/>
      <c r="V123" s="6">
        <f t="shared" si="29"/>
        <v>8.7594600990057413E-3</v>
      </c>
      <c r="W123" s="2"/>
      <c r="X123" s="7">
        <f t="shared" si="30"/>
        <v>-17776.115384615397</v>
      </c>
      <c r="Y123" s="2"/>
      <c r="Z123" s="6">
        <f t="shared" si="31"/>
        <v>-0.50907274497623067</v>
      </c>
    </row>
    <row r="124" spans="1:26" s="24" customFormat="1" hidden="1" outlineLevel="2" x14ac:dyDescent="0.25">
      <c r="A124" s="28"/>
      <c r="B124" s="11" t="str">
        <f>CONCATENATE("          ", "6002", " - ", "STAFF SALARIES")</f>
        <v xml:space="preserve">          6002 - STAFF SALARIES</v>
      </c>
      <c r="C124" s="11"/>
      <c r="D124" s="7">
        <v>55040.29</v>
      </c>
      <c r="E124" s="2"/>
      <c r="F124" s="6">
        <f t="shared" si="24"/>
        <v>0.34376755639578849</v>
      </c>
      <c r="G124" s="2"/>
      <c r="H124" s="7">
        <v>51509.094243076994</v>
      </c>
      <c r="I124" s="2"/>
      <c r="J124" s="6">
        <f t="shared" si="25"/>
        <v>0.12783760353781337</v>
      </c>
      <c r="K124" s="2"/>
      <c r="L124" s="7">
        <f t="shared" si="26"/>
        <v>3531.1957569230071</v>
      </c>
      <c r="M124" s="2"/>
      <c r="N124" s="6">
        <f t="shared" si="27"/>
        <v>6.8554801997855214E-2</v>
      </c>
      <c r="O124" s="11"/>
      <c r="P124" s="7">
        <v>226974.17</v>
      </c>
      <c r="Q124" s="2"/>
      <c r="R124" s="6">
        <f t="shared" si="28"/>
        <v>9.6420212713941203E-2</v>
      </c>
      <c r="S124" s="2"/>
      <c r="T124" s="7">
        <v>185432.7392750771</v>
      </c>
      <c r="U124" s="2"/>
      <c r="V124" s="6">
        <f t="shared" si="29"/>
        <v>4.6516468732749637E-2</v>
      </c>
      <c r="W124" s="2"/>
      <c r="X124" s="7">
        <f t="shared" si="30"/>
        <v>41541.430724922917</v>
      </c>
      <c r="Y124" s="2"/>
      <c r="Z124" s="6">
        <f t="shared" si="31"/>
        <v>0.22402425206747864</v>
      </c>
    </row>
    <row r="125" spans="1:26" s="24" customFormat="1" hidden="1" outlineLevel="2" x14ac:dyDescent="0.25">
      <c r="A125" s="28"/>
      <c r="B125" s="11" t="str">
        <f>CONCATENATE("          ", "6003", " - ", "STAFF HOURLY-9 MONTH")</f>
        <v xml:space="preserve">          6003 - STAFF HOURLY-9 MONTH</v>
      </c>
      <c r="C125" s="11"/>
      <c r="D125" s="7"/>
      <c r="E125" s="2"/>
      <c r="F125" s="6">
        <f t="shared" si="24"/>
        <v>0</v>
      </c>
      <c r="G125" s="2"/>
      <c r="H125" s="7">
        <v>0</v>
      </c>
      <c r="I125" s="2"/>
      <c r="J125" s="6">
        <f t="shared" si="25"/>
        <v>0</v>
      </c>
      <c r="K125" s="2"/>
      <c r="L125" s="7">
        <f t="shared" si="26"/>
        <v>0</v>
      </c>
      <c r="M125" s="2"/>
      <c r="N125" s="6">
        <f t="shared" si="27"/>
        <v>0</v>
      </c>
      <c r="O125" s="11"/>
      <c r="P125" s="7"/>
      <c r="Q125" s="2"/>
      <c r="R125" s="6">
        <f t="shared" si="28"/>
        <v>0</v>
      </c>
      <c r="S125" s="2"/>
      <c r="T125" s="7">
        <v>0</v>
      </c>
      <c r="U125" s="2"/>
      <c r="V125" s="6">
        <f t="shared" si="29"/>
        <v>0</v>
      </c>
      <c r="W125" s="2"/>
      <c r="X125" s="7">
        <f t="shared" si="30"/>
        <v>0</v>
      </c>
      <c r="Y125" s="2"/>
      <c r="Z125" s="6">
        <f t="shared" si="31"/>
        <v>0</v>
      </c>
    </row>
    <row r="126" spans="1:26" s="24" customFormat="1" hidden="1" outlineLevel="2" x14ac:dyDescent="0.25">
      <c r="A126" s="28"/>
      <c r="B126" s="11" t="str">
        <f>CONCATENATE("          ", "6004", " - ", "STAFF HOURLY")</f>
        <v xml:space="preserve">          6004 - STAFF HOURLY</v>
      </c>
      <c r="C126" s="11"/>
      <c r="D126" s="7">
        <v>18098.75</v>
      </c>
      <c r="E126" s="2"/>
      <c r="F126" s="6">
        <f t="shared" si="24"/>
        <v>0.11304015769753896</v>
      </c>
      <c r="G126" s="2"/>
      <c r="H126" s="7">
        <v>30992.337599999999</v>
      </c>
      <c r="I126" s="2"/>
      <c r="J126" s="6">
        <f t="shared" si="25"/>
        <v>7.6918187458739323E-2</v>
      </c>
      <c r="K126" s="2"/>
      <c r="L126" s="7">
        <f t="shared" si="26"/>
        <v>-12893.587599999999</v>
      </c>
      <c r="M126" s="2"/>
      <c r="N126" s="6">
        <f t="shared" si="27"/>
        <v>-0.41602501129182329</v>
      </c>
      <c r="O126" s="11"/>
      <c r="P126" s="7">
        <v>63576.800000000003</v>
      </c>
      <c r="Q126" s="2"/>
      <c r="R126" s="6">
        <f t="shared" si="28"/>
        <v>2.7007868691277501E-2</v>
      </c>
      <c r="S126" s="2"/>
      <c r="T126" s="7">
        <v>110611.57535999999</v>
      </c>
      <c r="U126" s="2"/>
      <c r="V126" s="6">
        <f t="shared" si="29"/>
        <v>2.7747311002513802E-2</v>
      </c>
      <c r="W126" s="2"/>
      <c r="X126" s="7">
        <f t="shared" si="30"/>
        <v>-47034.775359999985</v>
      </c>
      <c r="Y126" s="2"/>
      <c r="Z126" s="6">
        <f t="shared" si="31"/>
        <v>-0.42522471275650031</v>
      </c>
    </row>
    <row r="127" spans="1:26" s="24" customFormat="1" hidden="1" outlineLevel="2" x14ac:dyDescent="0.25">
      <c r="A127" s="28"/>
      <c r="B127" s="11" t="str">
        <f>CONCATENATE("          ", "6005", " - ", "TEMPORARY WAGES-HOURLY")</f>
        <v xml:space="preserve">          6005 - TEMPORARY WAGES-HOURLY</v>
      </c>
      <c r="C127" s="11"/>
      <c r="D127" s="7">
        <v>19636.400000000001</v>
      </c>
      <c r="E127" s="2"/>
      <c r="F127" s="6">
        <f t="shared" si="24"/>
        <v>0.12264392582979235</v>
      </c>
      <c r="G127" s="2"/>
      <c r="H127" s="7">
        <v>3562.5</v>
      </c>
      <c r="I127" s="2"/>
      <c r="J127" s="6">
        <f t="shared" si="25"/>
        <v>8.8415738870164743E-3</v>
      </c>
      <c r="K127" s="2"/>
      <c r="L127" s="7">
        <f t="shared" si="26"/>
        <v>16073.900000000001</v>
      </c>
      <c r="M127" s="2"/>
      <c r="N127" s="6">
        <f t="shared" si="27"/>
        <v>4.5119719298245622</v>
      </c>
      <c r="O127" s="11"/>
      <c r="P127" s="7">
        <v>80368.899999999994</v>
      </c>
      <c r="Q127" s="2"/>
      <c r="R127" s="6">
        <f t="shared" si="28"/>
        <v>3.4141270055466966E-2</v>
      </c>
      <c r="S127" s="2"/>
      <c r="T127" s="7">
        <v>14250</v>
      </c>
      <c r="U127" s="2"/>
      <c r="V127" s="6">
        <f t="shared" si="29"/>
        <v>3.5746636868604644E-3</v>
      </c>
      <c r="W127" s="2"/>
      <c r="X127" s="7">
        <f t="shared" si="30"/>
        <v>66118.899999999994</v>
      </c>
      <c r="Y127" s="2"/>
      <c r="Z127" s="6">
        <f t="shared" si="31"/>
        <v>4.6399228070175438</v>
      </c>
    </row>
    <row r="128" spans="1:26" s="24" customFormat="1" hidden="1" outlineLevel="2" x14ac:dyDescent="0.25">
      <c r="A128" s="28"/>
      <c r="B128" s="11" t="str">
        <f>CONCATENATE("          ", "6006", " - ", "TEMPORARY PART TIME")</f>
        <v xml:space="preserve">          6006 - TEMPORARY PART TIME</v>
      </c>
      <c r="C128" s="11"/>
      <c r="D128" s="7">
        <v>1802.76</v>
      </c>
      <c r="E128" s="2"/>
      <c r="F128" s="6">
        <f t="shared" si="24"/>
        <v>1.1259577301792409E-2</v>
      </c>
      <c r="G128" s="2"/>
      <c r="H128" s="7">
        <v>0</v>
      </c>
      <c r="I128" s="2"/>
      <c r="J128" s="6">
        <f t="shared" si="25"/>
        <v>0</v>
      </c>
      <c r="K128" s="2"/>
      <c r="L128" s="7">
        <f t="shared" si="26"/>
        <v>1802.76</v>
      </c>
      <c r="M128" s="2"/>
      <c r="N128" s="6">
        <f t="shared" si="27"/>
        <v>0</v>
      </c>
      <c r="O128" s="11"/>
      <c r="P128" s="7">
        <v>7507.17</v>
      </c>
      <c r="Q128" s="2"/>
      <c r="R128" s="6">
        <f t="shared" si="28"/>
        <v>3.1890982497247062E-3</v>
      </c>
      <c r="S128" s="2"/>
      <c r="T128" s="7">
        <v>0</v>
      </c>
      <c r="U128" s="2"/>
      <c r="V128" s="6">
        <f t="shared" si="29"/>
        <v>0</v>
      </c>
      <c r="W128" s="2"/>
      <c r="X128" s="7">
        <f t="shared" si="30"/>
        <v>7507.17</v>
      </c>
      <c r="Y128" s="2"/>
      <c r="Z128" s="6">
        <f t="shared" si="31"/>
        <v>0</v>
      </c>
    </row>
    <row r="129" spans="1:26" s="24" customFormat="1" hidden="1" outlineLevel="2" x14ac:dyDescent="0.25">
      <c r="A129" s="28"/>
      <c r="B129" s="11" t="str">
        <f>CONCATENATE("          ", "6007", " - ", "STUDENT HOURLY")</f>
        <v xml:space="preserve">          6007 - STUDENT HOURLY</v>
      </c>
      <c r="C129" s="11"/>
      <c r="D129" s="7">
        <v>17216.47</v>
      </c>
      <c r="E129" s="2"/>
      <c r="F129" s="6">
        <f t="shared" si="24"/>
        <v>0.10752966275543609</v>
      </c>
      <c r="G129" s="2"/>
      <c r="H129" s="7">
        <v>0</v>
      </c>
      <c r="I129" s="2"/>
      <c r="J129" s="6">
        <f t="shared" si="25"/>
        <v>0</v>
      </c>
      <c r="K129" s="2"/>
      <c r="L129" s="7">
        <f t="shared" si="26"/>
        <v>17216.47</v>
      </c>
      <c r="M129" s="2"/>
      <c r="N129" s="6">
        <f t="shared" si="27"/>
        <v>0</v>
      </c>
      <c r="O129" s="11"/>
      <c r="P129" s="7">
        <v>119670.17</v>
      </c>
      <c r="Q129" s="2"/>
      <c r="R129" s="6">
        <f t="shared" si="28"/>
        <v>5.083672405064199E-2</v>
      </c>
      <c r="S129" s="2"/>
      <c r="T129" s="7">
        <v>136745</v>
      </c>
      <c r="U129" s="2"/>
      <c r="V129" s="6">
        <f t="shared" si="29"/>
        <v>3.4302974446297138E-2</v>
      </c>
      <c r="W129" s="2"/>
      <c r="X129" s="7">
        <f t="shared" si="30"/>
        <v>-17074.830000000002</v>
      </c>
      <c r="Y129" s="2"/>
      <c r="Z129" s="6">
        <f t="shared" si="31"/>
        <v>-0.12486621083037772</v>
      </c>
    </row>
    <row r="130" spans="1:26" s="24" customFormat="1" hidden="1" outlineLevel="2" x14ac:dyDescent="0.25">
      <c r="A130" s="28"/>
      <c r="B130" s="11" t="str">
        <f>CONCATENATE("          ", "6008", " - ", "STUDENT HOURLY-FICA EXEMPT")</f>
        <v xml:space="preserve">          6008 - STUDENT HOURLY-FICA EXEMPT</v>
      </c>
      <c r="C130" s="11"/>
      <c r="D130" s="7">
        <v>1476.02</v>
      </c>
      <c r="E130" s="2"/>
      <c r="F130" s="6">
        <f t="shared" si="24"/>
        <v>9.218842934717671E-3</v>
      </c>
      <c r="G130" s="2"/>
      <c r="H130" s="7">
        <v>59729.67</v>
      </c>
      <c r="I130" s="2"/>
      <c r="J130" s="6">
        <f t="shared" si="25"/>
        <v>0.148239800856733</v>
      </c>
      <c r="K130" s="2"/>
      <c r="L130" s="7">
        <f t="shared" si="26"/>
        <v>-58253.65</v>
      </c>
      <c r="M130" s="2"/>
      <c r="N130" s="6">
        <f t="shared" si="27"/>
        <v>-0.97528832822950473</v>
      </c>
      <c r="O130" s="11"/>
      <c r="P130" s="7">
        <v>2964.72</v>
      </c>
      <c r="Q130" s="2"/>
      <c r="R130" s="6">
        <f t="shared" si="28"/>
        <v>1.2594337630457057E-3</v>
      </c>
      <c r="S130" s="2"/>
      <c r="T130" s="7">
        <v>191580.15</v>
      </c>
      <c r="U130" s="2"/>
      <c r="V130" s="6">
        <f t="shared" si="29"/>
        <v>4.8058568794967074E-2</v>
      </c>
      <c r="W130" s="2"/>
      <c r="X130" s="7">
        <f t="shared" si="30"/>
        <v>-188615.43</v>
      </c>
      <c r="Y130" s="2"/>
      <c r="Z130" s="6">
        <f t="shared" si="31"/>
        <v>-0.98452491033126344</v>
      </c>
    </row>
    <row r="131" spans="1:26" s="24" customFormat="1" hidden="1" outlineLevel="2" x14ac:dyDescent="0.25">
      <c r="A131" s="28"/>
      <c r="B131" s="11" t="str">
        <f>CONCATENATE("          ", "6009", " - ", "TEMPORARY-SEASONAL")</f>
        <v xml:space="preserve">          6009 - TEMPORARY-SEASONAL</v>
      </c>
      <c r="C131" s="11"/>
      <c r="D131" s="7"/>
      <c r="E131" s="2"/>
      <c r="F131" s="6">
        <f t="shared" si="24"/>
        <v>0</v>
      </c>
      <c r="G131" s="2"/>
      <c r="H131" s="7">
        <v>0</v>
      </c>
      <c r="I131" s="2"/>
      <c r="J131" s="6">
        <f t="shared" si="25"/>
        <v>0</v>
      </c>
      <c r="K131" s="2"/>
      <c r="L131" s="7">
        <f t="shared" si="26"/>
        <v>0</v>
      </c>
      <c r="M131" s="2"/>
      <c r="N131" s="6">
        <f t="shared" si="27"/>
        <v>0</v>
      </c>
      <c r="O131" s="11"/>
      <c r="P131" s="7"/>
      <c r="Q131" s="2"/>
      <c r="R131" s="6">
        <f t="shared" si="28"/>
        <v>0</v>
      </c>
      <c r="S131" s="2"/>
      <c r="T131" s="7">
        <v>0</v>
      </c>
      <c r="U131" s="2"/>
      <c r="V131" s="6">
        <f t="shared" si="29"/>
        <v>0</v>
      </c>
      <c r="W131" s="2"/>
      <c r="X131" s="7">
        <f t="shared" si="30"/>
        <v>0</v>
      </c>
      <c r="Y131" s="2"/>
      <c r="Z131" s="6">
        <f t="shared" si="31"/>
        <v>0</v>
      </c>
    </row>
    <row r="132" spans="1:26" s="24" customFormat="1" hidden="1" outlineLevel="2" x14ac:dyDescent="0.25">
      <c r="A132" s="28"/>
      <c r="B132" s="11" t="str">
        <f>CONCATENATE("          ", "6010", " - ", "GRATUITY")</f>
        <v xml:space="preserve">          6010 - GRATUITY</v>
      </c>
      <c r="C132" s="11"/>
      <c r="D132" s="7"/>
      <c r="E132" s="2"/>
      <c r="F132" s="6">
        <f t="shared" si="24"/>
        <v>0</v>
      </c>
      <c r="G132" s="2"/>
      <c r="H132" s="7">
        <v>0</v>
      </c>
      <c r="I132" s="2"/>
      <c r="J132" s="6">
        <f t="shared" si="25"/>
        <v>0</v>
      </c>
      <c r="K132" s="2"/>
      <c r="L132" s="7">
        <f t="shared" si="26"/>
        <v>0</v>
      </c>
      <c r="M132" s="2"/>
      <c r="N132" s="6">
        <f t="shared" si="27"/>
        <v>0</v>
      </c>
      <c r="O132" s="11"/>
      <c r="P132" s="7"/>
      <c r="Q132" s="2"/>
      <c r="R132" s="6">
        <f t="shared" si="28"/>
        <v>0</v>
      </c>
      <c r="S132" s="2"/>
      <c r="T132" s="7">
        <v>0</v>
      </c>
      <c r="U132" s="2"/>
      <c r="V132" s="6">
        <f t="shared" si="29"/>
        <v>0</v>
      </c>
      <c r="W132" s="2"/>
      <c r="X132" s="7">
        <f t="shared" si="30"/>
        <v>0</v>
      </c>
      <c r="Y132" s="2"/>
      <c r="Z132" s="6">
        <f t="shared" si="31"/>
        <v>0</v>
      </c>
    </row>
    <row r="133" spans="1:26" s="27" customFormat="1" outlineLevel="1" collapsed="1" x14ac:dyDescent="0.25">
      <c r="A133" s="29"/>
      <c r="B133" s="14" t="str">
        <f>CONCATENATE("     ","Advertising/Promo                                 ")</f>
        <v xml:space="preserve">     Advertising/Promo                                 </v>
      </c>
      <c r="C133" s="14"/>
      <c r="D133" s="1">
        <f>SUM(OSRRefD22_2x_0)</f>
        <v>1316.16</v>
      </c>
      <c r="E133" s="1"/>
      <c r="F133" s="5">
        <f t="shared" ref="F133:F137" si="32">IF(D$12=0,0,D133/D$12)</f>
        <v>8.2203983123250446E-3</v>
      </c>
      <c r="G133" s="1"/>
      <c r="H133" s="1">
        <f>SUM(OSRRefH22_2x_0)</f>
        <v>1380</v>
      </c>
      <c r="I133" s="1"/>
      <c r="J133" s="5">
        <f t="shared" ref="J133:J137" si="33">IF(H$12=0,0,H133/H$12)</f>
        <v>3.4249465162337501E-3</v>
      </c>
      <c r="K133" s="1"/>
      <c r="L133" s="1">
        <f t="shared" ref="L133:L137" si="34">+D133-H133</f>
        <v>-63.839999999999918</v>
      </c>
      <c r="M133" s="1"/>
      <c r="N133" s="5">
        <f t="shared" ref="N133:N137" si="35">IF(H133=0,0,L133/H133)</f>
        <v>-4.6260869565217334E-2</v>
      </c>
      <c r="O133" s="14"/>
      <c r="P133" s="1">
        <f>SUM(OSRRefP22_2x_0)</f>
        <v>13709.75</v>
      </c>
      <c r="Q133" s="1"/>
      <c r="R133" s="5">
        <f t="shared" ref="R133:R137" si="36">IF(P$12=0,0,P133/P$12)</f>
        <v>5.8239975555586581E-3</v>
      </c>
      <c r="S133" s="1"/>
      <c r="T133" s="1">
        <f>SUM(OSRRefT22_2x_0)</f>
        <v>4770</v>
      </c>
      <c r="U133" s="1"/>
      <c r="V133" s="5">
        <f t="shared" ref="V133:V137" si="37">IF(T$12=0,0,T133/T$12)</f>
        <v>1.1965716341280292E-3</v>
      </c>
      <c r="W133" s="1"/>
      <c r="X133" s="1">
        <f t="shared" ref="X133:X137" si="38">+P133-T133</f>
        <v>8939.75</v>
      </c>
      <c r="Y133" s="1"/>
      <c r="Z133" s="5">
        <f t="shared" ref="Z133:Z137" si="39">IF(T133=0,0,X133/T133)</f>
        <v>1.87416142557652</v>
      </c>
    </row>
    <row r="134" spans="1:26" s="24" customFormat="1" hidden="1" outlineLevel="2" x14ac:dyDescent="0.25">
      <c r="A134" s="28"/>
      <c r="B134" s="11" t="str">
        <f>CONCATENATE("          ", "6362", " - ", "ADVERTISING EXPENSE")</f>
        <v xml:space="preserve">          6362 - ADVERTISING EXPENSE</v>
      </c>
      <c r="C134" s="11"/>
      <c r="D134" s="7">
        <v>1316.16</v>
      </c>
      <c r="E134" s="2"/>
      <c r="F134" s="6">
        <f t="shared" si="32"/>
        <v>8.2203983123250446E-3</v>
      </c>
      <c r="G134" s="2"/>
      <c r="H134" s="7">
        <v>1380</v>
      </c>
      <c r="I134" s="2"/>
      <c r="J134" s="6">
        <f t="shared" si="33"/>
        <v>3.4249465162337501E-3</v>
      </c>
      <c r="K134" s="2"/>
      <c r="L134" s="7">
        <f t="shared" si="34"/>
        <v>-63.839999999999918</v>
      </c>
      <c r="M134" s="2"/>
      <c r="N134" s="6">
        <f t="shared" si="35"/>
        <v>-4.6260869565217334E-2</v>
      </c>
      <c r="O134" s="11"/>
      <c r="P134" s="7">
        <v>13709.75</v>
      </c>
      <c r="Q134" s="2"/>
      <c r="R134" s="6">
        <f t="shared" si="36"/>
        <v>5.8239975555586581E-3</v>
      </c>
      <c r="S134" s="2"/>
      <c r="T134" s="7">
        <v>4770</v>
      </c>
      <c r="U134" s="2"/>
      <c r="V134" s="6">
        <f t="shared" si="37"/>
        <v>1.1965716341280292E-3</v>
      </c>
      <c r="W134" s="2"/>
      <c r="X134" s="7">
        <f t="shared" si="38"/>
        <v>8939.75</v>
      </c>
      <c r="Y134" s="2"/>
      <c r="Z134" s="6">
        <f t="shared" si="39"/>
        <v>1.87416142557652</v>
      </c>
    </row>
    <row r="135" spans="1:26" s="27" customFormat="1" outlineLevel="1" collapsed="1" x14ac:dyDescent="0.25">
      <c r="A135" s="29"/>
      <c r="B135" s="14" t="str">
        <f>CONCATENATE("     ","Bad Debts/Over/Short                              ")</f>
        <v xml:space="preserve">     Bad Debts/Over/Short                              </v>
      </c>
      <c r="C135" s="14"/>
      <c r="D135" s="1">
        <f>SUM(OSRRefD22_3x_0)</f>
        <v>-29.45</v>
      </c>
      <c r="E135" s="1"/>
      <c r="F135" s="5">
        <f t="shared" si="32"/>
        <v>-1.8393715832267546E-4</v>
      </c>
      <c r="G135" s="1"/>
      <c r="H135" s="1">
        <f>SUM(OSRRefH22_3x_0)</f>
        <v>110</v>
      </c>
      <c r="I135" s="1"/>
      <c r="J135" s="5">
        <f t="shared" si="33"/>
        <v>2.7300298317805253E-4</v>
      </c>
      <c r="K135" s="1"/>
      <c r="L135" s="1">
        <f t="shared" si="34"/>
        <v>-139.44999999999999</v>
      </c>
      <c r="M135" s="1"/>
      <c r="N135" s="5">
        <f t="shared" si="35"/>
        <v>-1.2677272727272726</v>
      </c>
      <c r="O135" s="14"/>
      <c r="P135" s="1">
        <f>SUM(OSRRefP22_3x_0)</f>
        <v>50.56</v>
      </c>
      <c r="Q135" s="1"/>
      <c r="R135" s="5">
        <f t="shared" si="36"/>
        <v>2.1478241135618502E-5</v>
      </c>
      <c r="S135" s="1"/>
      <c r="T135" s="1">
        <f>SUM(OSRRefT22_3x_0)</f>
        <v>440</v>
      </c>
      <c r="U135" s="1"/>
      <c r="V135" s="5">
        <f t="shared" si="37"/>
        <v>1.1037558050656873E-4</v>
      </c>
      <c r="W135" s="1"/>
      <c r="X135" s="1">
        <f t="shared" si="38"/>
        <v>-389.44</v>
      </c>
      <c r="Y135" s="1"/>
      <c r="Z135" s="5">
        <f t="shared" si="39"/>
        <v>-0.88509090909090904</v>
      </c>
    </row>
    <row r="136" spans="1:26" s="24" customFormat="1" hidden="1" outlineLevel="2" x14ac:dyDescent="0.25">
      <c r="A136" s="28"/>
      <c r="B136" s="11" t="str">
        <f>CONCATENATE("          ", "6272", " - ", "CASH (OVER/SHORT)")</f>
        <v xml:space="preserve">          6272 - CASH (OVER/SHORT)</v>
      </c>
      <c r="C136" s="11"/>
      <c r="D136" s="7">
        <v>-29.45</v>
      </c>
      <c r="E136" s="2"/>
      <c r="F136" s="6">
        <f t="shared" si="32"/>
        <v>-1.8393715832267546E-4</v>
      </c>
      <c r="G136" s="2"/>
      <c r="H136" s="7">
        <v>60</v>
      </c>
      <c r="I136" s="2"/>
      <c r="J136" s="6">
        <f t="shared" si="33"/>
        <v>1.4891071809711956E-4</v>
      </c>
      <c r="K136" s="2"/>
      <c r="L136" s="7">
        <f t="shared" si="34"/>
        <v>-89.45</v>
      </c>
      <c r="M136" s="2"/>
      <c r="N136" s="6">
        <f t="shared" si="35"/>
        <v>-1.4908333333333335</v>
      </c>
      <c r="O136" s="11"/>
      <c r="P136" s="7">
        <v>50.56</v>
      </c>
      <c r="Q136" s="2"/>
      <c r="R136" s="6">
        <f t="shared" si="36"/>
        <v>2.1478241135618502E-5</v>
      </c>
      <c r="S136" s="2"/>
      <c r="T136" s="7">
        <v>240</v>
      </c>
      <c r="U136" s="2"/>
      <c r="V136" s="6">
        <f t="shared" si="37"/>
        <v>6.0204862094492034E-5</v>
      </c>
      <c r="W136" s="2"/>
      <c r="X136" s="7">
        <f t="shared" si="38"/>
        <v>-189.44</v>
      </c>
      <c r="Y136" s="2"/>
      <c r="Z136" s="6">
        <f t="shared" si="39"/>
        <v>-0.78933333333333333</v>
      </c>
    </row>
    <row r="137" spans="1:26" s="24" customFormat="1" hidden="1" outlineLevel="2" x14ac:dyDescent="0.25">
      <c r="A137" s="28"/>
      <c r="B137" s="11" t="str">
        <f>CONCATENATE("          ", "6342", " - ", "BAD DEBT")</f>
        <v xml:space="preserve">          6342 - BAD DEBT</v>
      </c>
      <c r="C137" s="11"/>
      <c r="D137" s="7"/>
      <c r="E137" s="2"/>
      <c r="F137" s="6">
        <f t="shared" si="32"/>
        <v>0</v>
      </c>
      <c r="G137" s="2"/>
      <c r="H137" s="7">
        <v>50</v>
      </c>
      <c r="I137" s="2"/>
      <c r="J137" s="6">
        <f t="shared" si="33"/>
        <v>1.2409226508093297E-4</v>
      </c>
      <c r="K137" s="2"/>
      <c r="L137" s="7">
        <f t="shared" si="34"/>
        <v>-50</v>
      </c>
      <c r="M137" s="2"/>
      <c r="N137" s="6">
        <f t="shared" si="35"/>
        <v>-1</v>
      </c>
      <c r="O137" s="11"/>
      <c r="P137" s="7"/>
      <c r="Q137" s="2"/>
      <c r="R137" s="6">
        <f t="shared" si="36"/>
        <v>0</v>
      </c>
      <c r="S137" s="2"/>
      <c r="T137" s="7">
        <v>200</v>
      </c>
      <c r="U137" s="2"/>
      <c r="V137" s="6">
        <f t="shared" si="37"/>
        <v>5.0170718412076697E-5</v>
      </c>
      <c r="W137" s="2"/>
      <c r="X137" s="7">
        <f t="shared" si="38"/>
        <v>-200</v>
      </c>
      <c r="Y137" s="2"/>
      <c r="Z137" s="6">
        <f t="shared" si="39"/>
        <v>-1</v>
      </c>
    </row>
    <row r="138" spans="1:26" s="27" customFormat="1" outlineLevel="1" collapsed="1" x14ac:dyDescent="0.25">
      <c r="A138" s="29"/>
      <c r="B138" s="14" t="str">
        <f>CONCATENATE("     ","Bank/card Fees                                    ")</f>
        <v xml:space="preserve">     Bank/card Fees                                    </v>
      </c>
      <c r="C138" s="14"/>
      <c r="D138" s="1">
        <f>SUM(OSRRefD22_4x_0)</f>
        <v>4891.9799999999996</v>
      </c>
      <c r="E138" s="1"/>
      <c r="F138" s="5">
        <f t="shared" ref="F138:F142" si="40">IF(D$12=0,0,D138/D$12)</f>
        <v>3.0554054321608209E-2</v>
      </c>
      <c r="G138" s="1"/>
      <c r="H138" s="1">
        <f>SUM(OSRRefH22_4x_0)</f>
        <v>9552</v>
      </c>
      <c r="I138" s="1"/>
      <c r="J138" s="5">
        <f t="shared" ref="J138:J142" si="41">IF(H$12=0,0,H138/H$12)</f>
        <v>2.3706586321061436E-2</v>
      </c>
      <c r="K138" s="1"/>
      <c r="L138" s="1">
        <f t="shared" ref="L138:L142" si="42">+D138-H138</f>
        <v>-4660.0200000000004</v>
      </c>
      <c r="M138" s="1"/>
      <c r="N138" s="5">
        <f t="shared" ref="N138:N142" si="43">IF(H138=0,0,L138/H138)</f>
        <v>-0.48785804020100509</v>
      </c>
      <c r="O138" s="14"/>
      <c r="P138" s="1">
        <f>SUM(OSRRefP22_4x_0)</f>
        <v>39139.75</v>
      </c>
      <c r="Q138" s="1"/>
      <c r="R138" s="5">
        <f t="shared" ref="R138:R142" si="44">IF(P$12=0,0,P138/P$12)</f>
        <v>1.6626839171040828E-2</v>
      </c>
      <c r="S138" s="1"/>
      <c r="T138" s="1">
        <f>SUM(OSRRefT22_4x_0)</f>
        <v>80409</v>
      </c>
      <c r="U138" s="1"/>
      <c r="V138" s="5">
        <f t="shared" ref="V138:V142" si="45">IF(T$12=0,0,T138/T$12)</f>
        <v>2.0170886483983373E-2</v>
      </c>
      <c r="W138" s="1"/>
      <c r="X138" s="1">
        <f t="shared" ref="X138:X142" si="46">+P138-T138</f>
        <v>-41269.25</v>
      </c>
      <c r="Y138" s="1"/>
      <c r="Z138" s="5">
        <f t="shared" ref="Z138:Z142" si="47">IF(T138=0,0,X138/T138)</f>
        <v>-0.51324167692671219</v>
      </c>
    </row>
    <row r="139" spans="1:26" s="24" customFormat="1" hidden="1" outlineLevel="2" x14ac:dyDescent="0.25">
      <c r="A139" s="28"/>
      <c r="B139" s="11" t="str">
        <f>CONCATENATE("          ", "6381", " - ", "BANK/CREDIT CARD FEES")</f>
        <v xml:space="preserve">          6381 - BANK/CREDIT CARD FEES</v>
      </c>
      <c r="C139" s="11"/>
      <c r="D139" s="7">
        <v>4891.9799999999996</v>
      </c>
      <c r="E139" s="2"/>
      <c r="F139" s="6">
        <f t="shared" si="40"/>
        <v>3.0554054321608209E-2</v>
      </c>
      <c r="G139" s="2"/>
      <c r="H139" s="7">
        <v>9552</v>
      </c>
      <c r="I139" s="2"/>
      <c r="J139" s="6">
        <f t="shared" si="41"/>
        <v>2.3706586321061436E-2</v>
      </c>
      <c r="K139" s="2"/>
      <c r="L139" s="7">
        <f t="shared" si="42"/>
        <v>-4660.0200000000004</v>
      </c>
      <c r="M139" s="2"/>
      <c r="N139" s="6">
        <f t="shared" si="43"/>
        <v>-0.48785804020100509</v>
      </c>
      <c r="O139" s="11"/>
      <c r="P139" s="7">
        <v>39139.75</v>
      </c>
      <c r="Q139" s="2"/>
      <c r="R139" s="6">
        <f t="shared" si="44"/>
        <v>1.6626839171040828E-2</v>
      </c>
      <c r="S139" s="2"/>
      <c r="T139" s="7">
        <v>80409</v>
      </c>
      <c r="U139" s="2"/>
      <c r="V139" s="6">
        <f t="shared" si="45"/>
        <v>2.0170886483983373E-2</v>
      </c>
      <c r="W139" s="2"/>
      <c r="X139" s="7">
        <f t="shared" si="46"/>
        <v>-41269.25</v>
      </c>
      <c r="Y139" s="2"/>
      <c r="Z139" s="6">
        <f t="shared" si="47"/>
        <v>-0.51324167692671219</v>
      </c>
    </row>
    <row r="140" spans="1:26" s="27" customFormat="1" outlineLevel="1" collapsed="1" x14ac:dyDescent="0.25">
      <c r="A140" s="29"/>
      <c r="B140" s="14" t="str">
        <f>CONCATENATE("     ","Depreciation                                      ")</f>
        <v xml:space="preserve">     Depreciation                                      </v>
      </c>
      <c r="C140" s="14"/>
      <c r="D140" s="1">
        <f>SUM(OSRRefD22_5x_0)</f>
        <v>30735.86</v>
      </c>
      <c r="E140" s="1"/>
      <c r="F140" s="5">
        <f t="shared" si="40"/>
        <v>0.19196831059434932</v>
      </c>
      <c r="G140" s="1"/>
      <c r="H140" s="1">
        <f>SUM(OSRRefH22_5x_0)</f>
        <v>30294</v>
      </c>
      <c r="I140" s="1"/>
      <c r="J140" s="5">
        <f t="shared" si="41"/>
        <v>7.5185021567235666E-2</v>
      </c>
      <c r="K140" s="1"/>
      <c r="L140" s="1">
        <f t="shared" si="42"/>
        <v>441.86000000000058</v>
      </c>
      <c r="M140" s="1"/>
      <c r="N140" s="5">
        <f t="shared" si="43"/>
        <v>1.458572654651088E-2</v>
      </c>
      <c r="O140" s="14"/>
      <c r="P140" s="1">
        <f>SUM(OSRRefP22_5x_0)</f>
        <v>123238.89</v>
      </c>
      <c r="Q140" s="1"/>
      <c r="R140" s="5">
        <f t="shared" si="44"/>
        <v>5.2352741232317319E-2</v>
      </c>
      <c r="S140" s="1"/>
      <c r="T140" s="1">
        <f>SUM(OSRRefT22_5x_0)</f>
        <v>122184</v>
      </c>
      <c r="U140" s="1"/>
      <c r="V140" s="5">
        <f t="shared" si="45"/>
        <v>3.0650295292305892E-2</v>
      </c>
      <c r="W140" s="1"/>
      <c r="X140" s="1">
        <f t="shared" si="46"/>
        <v>1054.8899999999994</v>
      </c>
      <c r="Y140" s="1"/>
      <c r="Z140" s="5">
        <f t="shared" si="47"/>
        <v>8.6336181496758941E-3</v>
      </c>
    </row>
    <row r="141" spans="1:26" s="24" customFormat="1" hidden="1" outlineLevel="2" x14ac:dyDescent="0.25">
      <c r="A141" s="28"/>
      <c r="B141" s="11" t="str">
        <f>CONCATENATE("          ", "6321", " - ", "BUILDING DEPRECIATION")</f>
        <v xml:space="preserve">          6321 - BUILDING DEPRECIATION</v>
      </c>
      <c r="C141" s="11"/>
      <c r="D141" s="7">
        <v>16396.52</v>
      </c>
      <c r="E141" s="2"/>
      <c r="F141" s="6">
        <f t="shared" si="40"/>
        <v>0.10240846503161001</v>
      </c>
      <c r="G141" s="2"/>
      <c r="H141" s="7"/>
      <c r="I141" s="2"/>
      <c r="J141" s="6">
        <f t="shared" si="41"/>
        <v>0</v>
      </c>
      <c r="K141" s="2"/>
      <c r="L141" s="7">
        <f t="shared" si="42"/>
        <v>16396.52</v>
      </c>
      <c r="M141" s="2"/>
      <c r="N141" s="6">
        <f t="shared" si="43"/>
        <v>0</v>
      </c>
      <c r="O141" s="11"/>
      <c r="P141" s="7">
        <v>65586.080000000002</v>
      </c>
      <c r="Q141" s="2"/>
      <c r="R141" s="6">
        <f t="shared" si="44"/>
        <v>2.7861424869065784E-2</v>
      </c>
      <c r="S141" s="2"/>
      <c r="T141" s="7"/>
      <c r="U141" s="2"/>
      <c r="V141" s="6">
        <f t="shared" si="45"/>
        <v>0</v>
      </c>
      <c r="W141" s="2"/>
      <c r="X141" s="7">
        <f t="shared" si="46"/>
        <v>65586.080000000002</v>
      </c>
      <c r="Y141" s="2"/>
      <c r="Z141" s="6">
        <f t="shared" si="47"/>
        <v>0</v>
      </c>
    </row>
    <row r="142" spans="1:26" s="24" customFormat="1" hidden="1" outlineLevel="2" x14ac:dyDescent="0.25">
      <c r="A142" s="28"/>
      <c r="B142" s="11" t="str">
        <f>CONCATENATE("          ", "6322", " - ", "EQUIPMENT DEPRECIATION EXPENSE")</f>
        <v xml:space="preserve">          6322 - EQUIPMENT DEPRECIATION EXPENSE</v>
      </c>
      <c r="C142" s="11"/>
      <c r="D142" s="7">
        <v>14339.34</v>
      </c>
      <c r="E142" s="2"/>
      <c r="F142" s="6">
        <f t="shared" si="40"/>
        <v>8.9559845562739326E-2</v>
      </c>
      <c r="G142" s="2"/>
      <c r="H142" s="7">
        <v>30294</v>
      </c>
      <c r="I142" s="2"/>
      <c r="J142" s="6">
        <f t="shared" si="41"/>
        <v>7.5185021567235666E-2</v>
      </c>
      <c r="K142" s="2"/>
      <c r="L142" s="7">
        <f t="shared" si="42"/>
        <v>-15954.66</v>
      </c>
      <c r="M142" s="2"/>
      <c r="N142" s="6">
        <f t="shared" si="43"/>
        <v>-0.52666072489601901</v>
      </c>
      <c r="O142" s="11"/>
      <c r="P142" s="7">
        <v>57652.81</v>
      </c>
      <c r="Q142" s="2"/>
      <c r="R142" s="6">
        <f t="shared" si="44"/>
        <v>2.4491316363251536E-2</v>
      </c>
      <c r="S142" s="2"/>
      <c r="T142" s="7">
        <v>122184</v>
      </c>
      <c r="U142" s="2"/>
      <c r="V142" s="6">
        <f t="shared" si="45"/>
        <v>3.0650295292305892E-2</v>
      </c>
      <c r="W142" s="2"/>
      <c r="X142" s="7">
        <f t="shared" si="46"/>
        <v>-64531.19</v>
      </c>
      <c r="Y142" s="2"/>
      <c r="Z142" s="6">
        <f t="shared" si="47"/>
        <v>-0.52814762980422969</v>
      </c>
    </row>
    <row r="143" spans="1:26" s="27" customFormat="1" outlineLevel="1" collapsed="1" x14ac:dyDescent="0.25">
      <c r="A143" s="29"/>
      <c r="B143" s="14" t="str">
        <f>CONCATENATE("     ","Discounts and Markdowns                           ")</f>
        <v xml:space="preserve">     Discounts and Markdowns                           </v>
      </c>
      <c r="C143" s="14"/>
      <c r="D143" s="1">
        <f>SUM(OSRRefD22_6x_0)</f>
        <v>-1249.8000000000002</v>
      </c>
      <c r="E143" s="1"/>
      <c r="F143" s="5">
        <f t="shared" ref="F143:F145" si="48">IF(D$12=0,0,D143/D$12)</f>
        <v>-7.8059307460672262E-3</v>
      </c>
      <c r="G143" s="1"/>
      <c r="H143" s="1">
        <f>SUM(OSRRefH22_6x_0)</f>
        <v>26920</v>
      </c>
      <c r="I143" s="1"/>
      <c r="J143" s="5">
        <f t="shared" ref="J143:J145" si="49">IF(H$12=0,0,H143/H$12)</f>
        <v>6.6811275519574317E-2</v>
      </c>
      <c r="K143" s="1"/>
      <c r="L143" s="1">
        <f t="shared" ref="L143:L145" si="50">+D143-H143</f>
        <v>-28169.8</v>
      </c>
      <c r="M143" s="1"/>
      <c r="N143" s="5">
        <f t="shared" ref="N143:N145" si="51">IF(H143=0,0,L143/H143)</f>
        <v>-1.0464264487369985</v>
      </c>
      <c r="O143" s="14"/>
      <c r="P143" s="1">
        <f>SUM(OSRRefP22_6x_0)</f>
        <v>-418.85</v>
      </c>
      <c r="Q143" s="1"/>
      <c r="R143" s="5">
        <f t="shared" ref="R143:R145" si="52">IF(P$12=0,0,P143/P$12)</f>
        <v>-1.7793040545201365E-4</v>
      </c>
      <c r="S143" s="1"/>
      <c r="T143" s="1">
        <f>SUM(OSRRefT22_6x_0)</f>
        <v>108578</v>
      </c>
      <c r="U143" s="1"/>
      <c r="V143" s="5">
        <f t="shared" ref="V143:V145" si="53">IF(T$12=0,0,T143/T$12)</f>
        <v>2.7237181318732318E-2</v>
      </c>
      <c r="W143" s="1"/>
      <c r="X143" s="1">
        <f t="shared" ref="X143:X145" si="54">+P143-T143</f>
        <v>-108996.85</v>
      </c>
      <c r="Y143" s="1"/>
      <c r="Z143" s="5">
        <f t="shared" ref="Z143:Z145" si="55">IF(T143=0,0,X143/T143)</f>
        <v>-1.0038575954613274</v>
      </c>
    </row>
    <row r="144" spans="1:26" s="24" customFormat="1" hidden="1" outlineLevel="2" x14ac:dyDescent="0.25">
      <c r="A144" s="28"/>
      <c r="B144" s="11" t="str">
        <f>CONCATENATE("          ", "6382", " - ", "DISCOUNTS/MARK DOWNS")</f>
        <v xml:space="preserve">          6382 - DISCOUNTS/MARK DOWNS</v>
      </c>
      <c r="C144" s="11"/>
      <c r="D144" s="7">
        <v>-830.95</v>
      </c>
      <c r="E144" s="2"/>
      <c r="F144" s="6">
        <f t="shared" si="48"/>
        <v>-5.1899009069007532E-3</v>
      </c>
      <c r="G144" s="2"/>
      <c r="H144" s="7">
        <v>26920</v>
      </c>
      <c r="I144" s="2"/>
      <c r="J144" s="6">
        <f t="shared" si="49"/>
        <v>6.6811275519574317E-2</v>
      </c>
      <c r="K144" s="2"/>
      <c r="L144" s="7">
        <f t="shared" si="50"/>
        <v>-27750.95</v>
      </c>
      <c r="M144" s="2"/>
      <c r="N144" s="6">
        <f t="shared" si="51"/>
        <v>-1.0308673848439822</v>
      </c>
      <c r="O144" s="11"/>
      <c r="P144" s="7">
        <v>0</v>
      </c>
      <c r="Q144" s="2"/>
      <c r="R144" s="6">
        <f t="shared" si="52"/>
        <v>0</v>
      </c>
      <c r="S144" s="2"/>
      <c r="T144" s="7">
        <v>108578</v>
      </c>
      <c r="U144" s="2"/>
      <c r="V144" s="6">
        <f t="shared" si="53"/>
        <v>2.7237181318732318E-2</v>
      </c>
      <c r="W144" s="2"/>
      <c r="X144" s="7">
        <f t="shared" si="54"/>
        <v>-108578</v>
      </c>
      <c r="Y144" s="2"/>
      <c r="Z144" s="6">
        <f t="shared" si="55"/>
        <v>-1</v>
      </c>
    </row>
    <row r="145" spans="1:26" s="24" customFormat="1" hidden="1" outlineLevel="2" x14ac:dyDescent="0.25">
      <c r="A145" s="28"/>
      <c r="B145" s="11" t="str">
        <f>CONCATENATE("          ", "9175", " - ", "EARNED DISCOUNTS")</f>
        <v xml:space="preserve">          9175 - EARNED DISCOUNTS</v>
      </c>
      <c r="C145" s="11"/>
      <c r="D145" s="7">
        <v>-418.85</v>
      </c>
      <c r="E145" s="2"/>
      <c r="F145" s="6">
        <f t="shared" si="48"/>
        <v>-2.6160298391664726E-3</v>
      </c>
      <c r="G145" s="2"/>
      <c r="H145" s="7"/>
      <c r="I145" s="2"/>
      <c r="J145" s="6">
        <f t="shared" si="49"/>
        <v>0</v>
      </c>
      <c r="K145" s="2"/>
      <c r="L145" s="7">
        <f t="shared" si="50"/>
        <v>-418.85</v>
      </c>
      <c r="M145" s="2"/>
      <c r="N145" s="6">
        <f t="shared" si="51"/>
        <v>0</v>
      </c>
      <c r="O145" s="11"/>
      <c r="P145" s="7">
        <v>-418.85</v>
      </c>
      <c r="Q145" s="2"/>
      <c r="R145" s="6">
        <f t="shared" si="52"/>
        <v>-1.7793040545201365E-4</v>
      </c>
      <c r="S145" s="2"/>
      <c r="T145" s="7"/>
      <c r="U145" s="2"/>
      <c r="V145" s="6">
        <f t="shared" si="53"/>
        <v>0</v>
      </c>
      <c r="W145" s="2"/>
      <c r="X145" s="7">
        <f t="shared" si="54"/>
        <v>-418.85</v>
      </c>
      <c r="Y145" s="2"/>
      <c r="Z145" s="6">
        <f t="shared" si="55"/>
        <v>0</v>
      </c>
    </row>
    <row r="146" spans="1:26" s="27" customFormat="1" outlineLevel="1" collapsed="1" x14ac:dyDescent="0.25">
      <c r="A146" s="29"/>
      <c r="B146" s="14" t="str">
        <f>CONCATENATE("     ","Donations                                         ")</f>
        <v xml:space="preserve">     Donations                                         </v>
      </c>
      <c r="C146" s="14"/>
      <c r="D146" s="1">
        <f>SUM(OSRRefD22_7x_0)</f>
        <v>0</v>
      </c>
      <c r="E146" s="1"/>
      <c r="F146" s="5">
        <f t="shared" ref="F146:F148" si="56">IF(D$12=0,0,D146/D$12)</f>
        <v>0</v>
      </c>
      <c r="G146" s="1"/>
      <c r="H146" s="1">
        <f>SUM(OSRRefH22_7x_0)</f>
        <v>1000</v>
      </c>
      <c r="I146" s="1"/>
      <c r="J146" s="5">
        <f t="shared" ref="J146:J148" si="57">IF(H$12=0,0,H146/H$12)</f>
        <v>2.4818453016186596E-3</v>
      </c>
      <c r="K146" s="1"/>
      <c r="L146" s="1">
        <f t="shared" ref="L146:L148" si="58">+D146-H146</f>
        <v>-1000</v>
      </c>
      <c r="M146" s="1"/>
      <c r="N146" s="5">
        <f t="shared" ref="N146:N148" si="59">IF(H146=0,0,L146/H146)</f>
        <v>-1</v>
      </c>
      <c r="O146" s="14"/>
      <c r="P146" s="1">
        <f>SUM(OSRRefP22_7x_0)</f>
        <v>0</v>
      </c>
      <c r="Q146" s="1"/>
      <c r="R146" s="5">
        <f t="shared" ref="R146:R148" si="60">IF(P$12=0,0,P146/P$12)</f>
        <v>0</v>
      </c>
      <c r="S146" s="1"/>
      <c r="T146" s="1">
        <f>SUM(OSRRefT22_7x_0)</f>
        <v>4000</v>
      </c>
      <c r="U146" s="1"/>
      <c r="V146" s="5">
        <f t="shared" ref="V146:V148" si="61">IF(T$12=0,0,T146/T$12)</f>
        <v>1.0034143682415338E-3</v>
      </c>
      <c r="W146" s="1"/>
      <c r="X146" s="1">
        <f t="shared" ref="X146:X148" si="62">+P146-T146</f>
        <v>-4000</v>
      </c>
      <c r="Y146" s="1"/>
      <c r="Z146" s="5">
        <f t="shared" ref="Z146:Z148" si="63">IF(T146=0,0,X146/T146)</f>
        <v>-1</v>
      </c>
    </row>
    <row r="147" spans="1:26" s="24" customFormat="1" hidden="1" outlineLevel="2" x14ac:dyDescent="0.25">
      <c r="A147" s="28"/>
      <c r="B147" s="11" t="str">
        <f>CONCATENATE("          ", "6395", " - ", "DONATION-OFF CAMPUS")</f>
        <v xml:space="preserve">          6395 - DONATION-OFF CAMPUS</v>
      </c>
      <c r="C147" s="11"/>
      <c r="D147" s="7"/>
      <c r="E147" s="2"/>
      <c r="F147" s="6">
        <f t="shared" si="56"/>
        <v>0</v>
      </c>
      <c r="G147" s="2"/>
      <c r="H147" s="7"/>
      <c r="I147" s="2"/>
      <c r="J147" s="6">
        <f t="shared" si="57"/>
        <v>0</v>
      </c>
      <c r="K147" s="2"/>
      <c r="L147" s="7">
        <f t="shared" si="58"/>
        <v>0</v>
      </c>
      <c r="M147" s="2"/>
      <c r="N147" s="6">
        <f t="shared" si="59"/>
        <v>0</v>
      </c>
      <c r="O147" s="11"/>
      <c r="P147" s="7"/>
      <c r="Q147" s="2"/>
      <c r="R147" s="6">
        <f t="shared" si="60"/>
        <v>0</v>
      </c>
      <c r="S147" s="2"/>
      <c r="T147" s="7">
        <v>0</v>
      </c>
      <c r="U147" s="2"/>
      <c r="V147" s="6">
        <f t="shared" si="61"/>
        <v>0</v>
      </c>
      <c r="W147" s="2"/>
      <c r="X147" s="7">
        <f t="shared" si="62"/>
        <v>0</v>
      </c>
      <c r="Y147" s="2"/>
      <c r="Z147" s="6">
        <f t="shared" si="63"/>
        <v>0</v>
      </c>
    </row>
    <row r="148" spans="1:26" s="24" customFormat="1" hidden="1" outlineLevel="2" x14ac:dyDescent="0.25">
      <c r="A148" s="28"/>
      <c r="B148" s="11" t="str">
        <f>CONCATENATE("          ", "6399", " - ", "DONATION-ON CAMPUS")</f>
        <v xml:space="preserve">          6399 - DONATION-ON CAMPUS</v>
      </c>
      <c r="C148" s="11"/>
      <c r="D148" s="7"/>
      <c r="E148" s="2"/>
      <c r="F148" s="6">
        <f t="shared" si="56"/>
        <v>0</v>
      </c>
      <c r="G148" s="2"/>
      <c r="H148" s="7">
        <v>1000</v>
      </c>
      <c r="I148" s="2"/>
      <c r="J148" s="6">
        <f t="shared" si="57"/>
        <v>2.4818453016186596E-3</v>
      </c>
      <c r="K148" s="2"/>
      <c r="L148" s="7">
        <f t="shared" si="58"/>
        <v>-1000</v>
      </c>
      <c r="M148" s="2"/>
      <c r="N148" s="6">
        <f t="shared" si="59"/>
        <v>-1</v>
      </c>
      <c r="O148" s="11"/>
      <c r="P148" s="7"/>
      <c r="Q148" s="2"/>
      <c r="R148" s="6">
        <f t="shared" si="60"/>
        <v>0</v>
      </c>
      <c r="S148" s="2"/>
      <c r="T148" s="7">
        <v>4000</v>
      </c>
      <c r="U148" s="2"/>
      <c r="V148" s="6">
        <f t="shared" si="61"/>
        <v>1.0034143682415338E-3</v>
      </c>
      <c r="W148" s="2"/>
      <c r="X148" s="7">
        <f t="shared" si="62"/>
        <v>-4000</v>
      </c>
      <c r="Y148" s="2"/>
      <c r="Z148" s="6">
        <f t="shared" si="63"/>
        <v>-1</v>
      </c>
    </row>
    <row r="149" spans="1:26" s="27" customFormat="1" outlineLevel="1" collapsed="1" x14ac:dyDescent="0.25">
      <c r="A149" s="29"/>
      <c r="B149" s="14" t="str">
        <f>CONCATENATE("     ","Employees' Appreciation                           ")</f>
        <v xml:space="preserve">     Employees' Appreciation                           </v>
      </c>
      <c r="C149" s="14"/>
      <c r="D149" s="1">
        <f>SUM(OSRRefD22_8x_0)</f>
        <v>0</v>
      </c>
      <c r="E149" s="1"/>
      <c r="F149" s="5">
        <f t="shared" ref="F149:F155" si="64">IF(D$12=0,0,D149/D$12)</f>
        <v>0</v>
      </c>
      <c r="G149" s="1"/>
      <c r="H149" s="1">
        <f>SUM(OSRRefH22_8x_0)</f>
        <v>400</v>
      </c>
      <c r="I149" s="1"/>
      <c r="J149" s="5">
        <f t="shared" ref="J149:J155" si="65">IF(H$12=0,0,H149/H$12)</f>
        <v>9.9273812064746376E-4</v>
      </c>
      <c r="K149" s="1"/>
      <c r="L149" s="1">
        <f t="shared" ref="L149:L155" si="66">+D149-H149</f>
        <v>-400</v>
      </c>
      <c r="M149" s="1"/>
      <c r="N149" s="5">
        <f t="shared" ref="N149:N155" si="67">IF(H149=0,0,L149/H149)</f>
        <v>-1</v>
      </c>
      <c r="O149" s="14"/>
      <c r="P149" s="1">
        <f>SUM(OSRRefP22_8x_0)</f>
        <v>107.7</v>
      </c>
      <c r="Q149" s="1"/>
      <c r="R149" s="5">
        <f t="shared" ref="R149:R155" si="68">IF(P$12=0,0,P149/P$12)</f>
        <v>4.5751712229155708E-5</v>
      </c>
      <c r="S149" s="1"/>
      <c r="T149" s="1">
        <f>SUM(OSRRefT22_8x_0)</f>
        <v>1650</v>
      </c>
      <c r="U149" s="1"/>
      <c r="V149" s="5">
        <f t="shared" ref="V149:V155" si="69">IF(T$12=0,0,T149/T$12)</f>
        <v>4.1390842689963272E-4</v>
      </c>
      <c r="W149" s="1"/>
      <c r="X149" s="1">
        <f t="shared" ref="X149:X155" si="70">+P149-T149</f>
        <v>-1542.3</v>
      </c>
      <c r="Y149" s="1"/>
      <c r="Z149" s="5">
        <f t="shared" ref="Z149:Z155" si="71">IF(T149=0,0,X149/T149)</f>
        <v>-0.93472727272727274</v>
      </c>
    </row>
    <row r="150" spans="1:26" s="24" customFormat="1" hidden="1" outlineLevel="2" x14ac:dyDescent="0.25">
      <c r="A150" s="28"/>
      <c r="B150" s="11" t="str">
        <f>CONCATENATE("          ", "6277", " - ", "EMPLOYEE APPRECIATION")</f>
        <v xml:space="preserve">          6277 - EMPLOYEE APPRECIATION</v>
      </c>
      <c r="C150" s="11"/>
      <c r="D150" s="7"/>
      <c r="E150" s="2"/>
      <c r="F150" s="6">
        <f t="shared" si="64"/>
        <v>0</v>
      </c>
      <c r="G150" s="2"/>
      <c r="H150" s="7">
        <v>400</v>
      </c>
      <c r="I150" s="2"/>
      <c r="J150" s="6">
        <f t="shared" si="65"/>
        <v>9.9273812064746376E-4</v>
      </c>
      <c r="K150" s="2"/>
      <c r="L150" s="7">
        <f t="shared" si="66"/>
        <v>-400</v>
      </c>
      <c r="M150" s="2"/>
      <c r="N150" s="6">
        <f t="shared" si="67"/>
        <v>-1</v>
      </c>
      <c r="O150" s="11"/>
      <c r="P150" s="7">
        <v>107.7</v>
      </c>
      <c r="Q150" s="2"/>
      <c r="R150" s="6">
        <f t="shared" si="68"/>
        <v>4.5751712229155708E-5</v>
      </c>
      <c r="S150" s="2"/>
      <c r="T150" s="7">
        <v>1650</v>
      </c>
      <c r="U150" s="2"/>
      <c r="V150" s="6">
        <f t="shared" si="69"/>
        <v>4.1390842689963272E-4</v>
      </c>
      <c r="W150" s="2"/>
      <c r="X150" s="7">
        <f t="shared" si="70"/>
        <v>-1542.3</v>
      </c>
      <c r="Y150" s="2"/>
      <c r="Z150" s="6">
        <f t="shared" si="71"/>
        <v>-0.93472727272727274</v>
      </c>
    </row>
    <row r="151" spans="1:26" s="27" customFormat="1" outlineLevel="1" collapsed="1" x14ac:dyDescent="0.25">
      <c r="A151" s="29"/>
      <c r="B151" s="14" t="str">
        <f>CONCATENATE("     ","Equipment Rental                                  ")</f>
        <v xml:space="preserve">     Equipment Rental                                  </v>
      </c>
      <c r="C151" s="14"/>
      <c r="D151" s="1">
        <f>SUM(OSRRefD22_9x_0)</f>
        <v>1479.42</v>
      </c>
      <c r="E151" s="1"/>
      <c r="F151" s="5">
        <f t="shared" si="64"/>
        <v>9.2400784640316661E-3</v>
      </c>
      <c r="G151" s="1"/>
      <c r="H151" s="1">
        <f>SUM(OSRRefH22_9x_0)</f>
        <v>3006</v>
      </c>
      <c r="I151" s="1"/>
      <c r="J151" s="5">
        <f t="shared" si="65"/>
        <v>7.4604269766656902E-3</v>
      </c>
      <c r="K151" s="1"/>
      <c r="L151" s="1">
        <f t="shared" si="66"/>
        <v>-1526.58</v>
      </c>
      <c r="M151" s="1"/>
      <c r="N151" s="5">
        <f t="shared" si="67"/>
        <v>-0.50784431137724551</v>
      </c>
      <c r="O151" s="14"/>
      <c r="P151" s="1">
        <f>SUM(OSRRefP22_9x_0)</f>
        <v>5967.79</v>
      </c>
      <c r="Q151" s="1"/>
      <c r="R151" s="5">
        <f t="shared" si="68"/>
        <v>2.5351588739464543E-3</v>
      </c>
      <c r="S151" s="1"/>
      <c r="T151" s="1">
        <f>SUM(OSRRefT22_9x_0)</f>
        <v>12024</v>
      </c>
      <c r="U151" s="1"/>
      <c r="V151" s="5">
        <f t="shared" si="69"/>
        <v>3.0162635909340508E-3</v>
      </c>
      <c r="W151" s="1"/>
      <c r="X151" s="1">
        <f t="shared" si="70"/>
        <v>-6056.21</v>
      </c>
      <c r="Y151" s="1"/>
      <c r="Z151" s="5">
        <f t="shared" si="71"/>
        <v>-0.50367681304058554</v>
      </c>
    </row>
    <row r="152" spans="1:26" s="24" customFormat="1" hidden="1" outlineLevel="2" x14ac:dyDescent="0.25">
      <c r="A152" s="28"/>
      <c r="B152" s="11" t="str">
        <f>CONCATENATE("          ", "6351", " - ", "EQUIPMENT RENTAL")</f>
        <v xml:space="preserve">          6351 - EQUIPMENT RENTAL</v>
      </c>
      <c r="C152" s="11"/>
      <c r="D152" s="7">
        <v>1479.42</v>
      </c>
      <c r="E152" s="2"/>
      <c r="F152" s="6">
        <f t="shared" si="64"/>
        <v>9.2400784640316661E-3</v>
      </c>
      <c r="G152" s="2"/>
      <c r="H152" s="7">
        <v>3006</v>
      </c>
      <c r="I152" s="2"/>
      <c r="J152" s="6">
        <f t="shared" si="65"/>
        <v>7.4604269766656902E-3</v>
      </c>
      <c r="K152" s="2"/>
      <c r="L152" s="7">
        <f t="shared" si="66"/>
        <v>-1526.58</v>
      </c>
      <c r="M152" s="2"/>
      <c r="N152" s="6">
        <f t="shared" si="67"/>
        <v>-0.50784431137724551</v>
      </c>
      <c r="O152" s="11"/>
      <c r="P152" s="7">
        <v>5967.79</v>
      </c>
      <c r="Q152" s="2"/>
      <c r="R152" s="6">
        <f t="shared" si="68"/>
        <v>2.5351588739464543E-3</v>
      </c>
      <c r="S152" s="2"/>
      <c r="T152" s="7">
        <v>12024</v>
      </c>
      <c r="U152" s="2"/>
      <c r="V152" s="6">
        <f t="shared" si="69"/>
        <v>3.0162635909340508E-3</v>
      </c>
      <c r="W152" s="2"/>
      <c r="X152" s="7">
        <f t="shared" si="70"/>
        <v>-6056.21</v>
      </c>
      <c r="Y152" s="2"/>
      <c r="Z152" s="6">
        <f t="shared" si="71"/>
        <v>-0.50367681304058554</v>
      </c>
    </row>
    <row r="153" spans="1:26" s="27" customFormat="1" outlineLevel="1" collapsed="1" x14ac:dyDescent="0.25">
      <c r="A153" s="29"/>
      <c r="B153" s="14" t="str">
        <f>CONCATENATE("     ","Freight out/Postage                               ")</f>
        <v xml:space="preserve">     Freight out/Postage                               </v>
      </c>
      <c r="C153" s="14"/>
      <c r="D153" s="1">
        <f>SUM(OSRRefD22_10x_0)</f>
        <v>48908.160000000003</v>
      </c>
      <c r="E153" s="1"/>
      <c r="F153" s="5">
        <f t="shared" si="64"/>
        <v>0.30546784275690131</v>
      </c>
      <c r="G153" s="1"/>
      <c r="H153" s="1">
        <f>SUM(OSRRefH22_10x_0)</f>
        <v>7918</v>
      </c>
      <c r="I153" s="1"/>
      <c r="J153" s="5">
        <f t="shared" si="65"/>
        <v>1.9651251098216548E-2</v>
      </c>
      <c r="K153" s="1"/>
      <c r="L153" s="1">
        <f t="shared" si="66"/>
        <v>40990.160000000003</v>
      </c>
      <c r="M153" s="1"/>
      <c r="N153" s="5">
        <f t="shared" si="67"/>
        <v>5.1768325334680476</v>
      </c>
      <c r="O153" s="14"/>
      <c r="P153" s="1">
        <f>SUM(OSRRefP22_10x_0)</f>
        <v>-31843.350000000006</v>
      </c>
      <c r="Q153" s="1"/>
      <c r="R153" s="5">
        <f t="shared" si="68"/>
        <v>-1.3527277489436265E-2</v>
      </c>
      <c r="S153" s="1"/>
      <c r="T153" s="1">
        <f>SUM(OSRRefT22_10x_0)</f>
        <v>34876</v>
      </c>
      <c r="U153" s="1"/>
      <c r="V153" s="5">
        <f t="shared" si="69"/>
        <v>8.7487698766979347E-3</v>
      </c>
      <c r="W153" s="1"/>
      <c r="X153" s="1">
        <f t="shared" si="70"/>
        <v>-66719.350000000006</v>
      </c>
      <c r="Y153" s="1"/>
      <c r="Z153" s="5">
        <f t="shared" si="71"/>
        <v>-1.9130447872462439</v>
      </c>
    </row>
    <row r="154" spans="1:26" s="24" customFormat="1" hidden="1" outlineLevel="2" x14ac:dyDescent="0.25">
      <c r="A154" s="28"/>
      <c r="B154" s="11" t="str">
        <f>CONCATENATE("          ", "6305", " - ", "FREIGHT OUT")</f>
        <v xml:space="preserve">          6305 - FREIGHT OUT</v>
      </c>
      <c r="C154" s="11"/>
      <c r="D154" s="7">
        <v>60594.680000000008</v>
      </c>
      <c r="E154" s="2"/>
      <c r="F154" s="6">
        <f t="shared" si="64"/>
        <v>0.37845885394471501</v>
      </c>
      <c r="G154" s="2"/>
      <c r="H154" s="7">
        <v>5398</v>
      </c>
      <c r="I154" s="2"/>
      <c r="J154" s="6">
        <f t="shared" si="65"/>
        <v>1.3397000938137523E-2</v>
      </c>
      <c r="K154" s="2"/>
      <c r="L154" s="7">
        <f t="shared" si="66"/>
        <v>55196.680000000008</v>
      </c>
      <c r="M154" s="2"/>
      <c r="N154" s="6">
        <f t="shared" si="67"/>
        <v>10.225394590589108</v>
      </c>
      <c r="O154" s="11"/>
      <c r="P154" s="7">
        <v>86252.739999999991</v>
      </c>
      <c r="Q154" s="2"/>
      <c r="R154" s="6">
        <f t="shared" si="68"/>
        <v>3.6640766383065806E-2</v>
      </c>
      <c r="S154" s="2"/>
      <c r="T154" s="7">
        <v>20046</v>
      </c>
      <c r="U154" s="2"/>
      <c r="V154" s="6">
        <f t="shared" si="69"/>
        <v>5.0286111064424474E-3</v>
      </c>
      <c r="W154" s="2"/>
      <c r="X154" s="7">
        <f t="shared" si="70"/>
        <v>66206.739999999991</v>
      </c>
      <c r="Y154" s="2"/>
      <c r="Z154" s="6">
        <f t="shared" si="71"/>
        <v>3.3027406963982835</v>
      </c>
    </row>
    <row r="155" spans="1:26" s="24" customFormat="1" hidden="1" outlineLevel="2" x14ac:dyDescent="0.25">
      <c r="A155" s="28"/>
      <c r="B155" s="11" t="str">
        <f>CONCATENATE("          ", "6307", " - ", "POSTAGE")</f>
        <v xml:space="preserve">          6307 - POSTAGE</v>
      </c>
      <c r="C155" s="11"/>
      <c r="D155" s="7">
        <v>-11686.52</v>
      </c>
      <c r="E155" s="2"/>
      <c r="F155" s="6">
        <f t="shared" si="64"/>
        <v>-7.299101118781369E-2</v>
      </c>
      <c r="G155" s="2"/>
      <c r="H155" s="7">
        <v>2520</v>
      </c>
      <c r="I155" s="2"/>
      <c r="J155" s="6">
        <f t="shared" si="65"/>
        <v>6.2542501600790223E-3</v>
      </c>
      <c r="K155" s="2"/>
      <c r="L155" s="7">
        <f t="shared" si="66"/>
        <v>-14206.52</v>
      </c>
      <c r="M155" s="2"/>
      <c r="N155" s="6">
        <f t="shared" si="67"/>
        <v>-5.6375079365079364</v>
      </c>
      <c r="O155" s="11"/>
      <c r="P155" s="7">
        <v>-118096.09</v>
      </c>
      <c r="Q155" s="2"/>
      <c r="R155" s="6">
        <f t="shared" si="68"/>
        <v>-5.0168043872502073E-2</v>
      </c>
      <c r="S155" s="2"/>
      <c r="T155" s="7">
        <v>14830</v>
      </c>
      <c r="U155" s="2"/>
      <c r="V155" s="6">
        <f t="shared" si="69"/>
        <v>3.7201587702554869E-3</v>
      </c>
      <c r="W155" s="2"/>
      <c r="X155" s="7">
        <f t="shared" si="70"/>
        <v>-132926.09</v>
      </c>
      <c r="Y155" s="2"/>
      <c r="Z155" s="6">
        <f t="shared" si="71"/>
        <v>-8.9633236682400543</v>
      </c>
    </row>
    <row r="156" spans="1:26" s="27" customFormat="1" outlineLevel="1" collapsed="1" x14ac:dyDescent="0.25">
      <c r="A156" s="29"/>
      <c r="B156" s="14" t="str">
        <f>CONCATENATE("     ","General                                           ")</f>
        <v xml:space="preserve">     General                                           </v>
      </c>
      <c r="C156" s="14"/>
      <c r="D156" s="1">
        <f>SUM(OSRRefD22_11x_0)</f>
        <v>-40</v>
      </c>
      <c r="E156" s="1"/>
      <c r="F156" s="5">
        <f t="shared" ref="F156:F159" si="72">IF(D$12=0,0,D156/D$12)</f>
        <v>-2.4982975663521284E-4</v>
      </c>
      <c r="G156" s="1"/>
      <c r="H156" s="1">
        <f>SUM(OSRRefH22_11x_0)</f>
        <v>550</v>
      </c>
      <c r="I156" s="1"/>
      <c r="J156" s="5">
        <f t="shared" ref="J156:J159" si="73">IF(H$12=0,0,H156/H$12)</f>
        <v>1.3650149158902628E-3</v>
      </c>
      <c r="K156" s="1"/>
      <c r="L156" s="1">
        <f t="shared" ref="L156:L159" si="74">+D156-H156</f>
        <v>-590</v>
      </c>
      <c r="M156" s="1"/>
      <c r="N156" s="5">
        <f t="shared" ref="N156:N159" si="75">IF(H156=0,0,L156/H156)</f>
        <v>-1.0727272727272728</v>
      </c>
      <c r="O156" s="14"/>
      <c r="P156" s="1">
        <f>SUM(OSRRefP22_11x_0)</f>
        <v>-3246.83</v>
      </c>
      <c r="Q156" s="1"/>
      <c r="R156" s="5">
        <f t="shared" ref="R156:R159" si="76">IF(P$12=0,0,P156/P$12)</f>
        <v>-1.3792760614390867E-3</v>
      </c>
      <c r="S156" s="1"/>
      <c r="T156" s="1">
        <f>SUM(OSRRefT22_11x_0)</f>
        <v>3325</v>
      </c>
      <c r="U156" s="1"/>
      <c r="V156" s="5">
        <f t="shared" ref="V156:V159" si="77">IF(T$12=0,0,T156/T$12)</f>
        <v>8.3408819360077503E-4</v>
      </c>
      <c r="W156" s="1"/>
      <c r="X156" s="1">
        <f t="shared" ref="X156:X159" si="78">+P156-T156</f>
        <v>-6571.83</v>
      </c>
      <c r="Y156" s="1"/>
      <c r="Z156" s="5">
        <f t="shared" ref="Z156:Z159" si="79">IF(T156=0,0,X156/T156)</f>
        <v>-1.9764902255639099</v>
      </c>
    </row>
    <row r="157" spans="1:26" s="24" customFormat="1" hidden="1" outlineLevel="2" x14ac:dyDescent="0.25">
      <c r="A157" s="28"/>
      <c r="B157" s="11" t="str">
        <f>CONCATENATE("          ", "6269", " - ", "ENTERTAINMENT")</f>
        <v xml:space="preserve">          6269 - ENTERTAINMENT</v>
      </c>
      <c r="C157" s="11"/>
      <c r="D157" s="7"/>
      <c r="E157" s="2"/>
      <c r="F157" s="6">
        <f t="shared" si="72"/>
        <v>0</v>
      </c>
      <c r="G157" s="2"/>
      <c r="H157" s="7"/>
      <c r="I157" s="2"/>
      <c r="J157" s="6">
        <f t="shared" si="73"/>
        <v>0</v>
      </c>
      <c r="K157" s="2"/>
      <c r="L157" s="7">
        <f t="shared" si="74"/>
        <v>0</v>
      </c>
      <c r="M157" s="2"/>
      <c r="N157" s="6">
        <f t="shared" si="75"/>
        <v>0</v>
      </c>
      <c r="O157" s="11"/>
      <c r="P157" s="7"/>
      <c r="Q157" s="2"/>
      <c r="R157" s="6">
        <f t="shared" si="76"/>
        <v>0</v>
      </c>
      <c r="S157" s="2"/>
      <c r="T157" s="7">
        <v>125</v>
      </c>
      <c r="U157" s="2"/>
      <c r="V157" s="6">
        <f t="shared" si="77"/>
        <v>3.1356699007547932E-5</v>
      </c>
      <c r="W157" s="2"/>
      <c r="X157" s="7">
        <f t="shared" si="78"/>
        <v>-125</v>
      </c>
      <c r="Y157" s="2"/>
      <c r="Z157" s="6">
        <f t="shared" si="79"/>
        <v>-1</v>
      </c>
    </row>
    <row r="158" spans="1:26" s="24" customFormat="1" hidden="1" outlineLevel="2" x14ac:dyDescent="0.25">
      <c r="A158" s="28"/>
      <c r="B158" s="11" t="str">
        <f>CONCATENATE("          ", "6276", " - ", "PROPERTY TAX")</f>
        <v xml:space="preserve">          6276 - PROPERTY TAX</v>
      </c>
      <c r="C158" s="11"/>
      <c r="D158" s="7"/>
      <c r="E158" s="2"/>
      <c r="F158" s="6">
        <f t="shared" si="72"/>
        <v>0</v>
      </c>
      <c r="G158" s="2"/>
      <c r="H158" s="7"/>
      <c r="I158" s="2"/>
      <c r="J158" s="6">
        <f t="shared" si="73"/>
        <v>0</v>
      </c>
      <c r="K158" s="2"/>
      <c r="L158" s="7">
        <f t="shared" si="74"/>
        <v>0</v>
      </c>
      <c r="M158" s="2"/>
      <c r="N158" s="6">
        <f t="shared" si="75"/>
        <v>0</v>
      </c>
      <c r="O158" s="11"/>
      <c r="P158" s="7"/>
      <c r="Q158" s="2"/>
      <c r="R158" s="6">
        <f t="shared" si="76"/>
        <v>0</v>
      </c>
      <c r="S158" s="2"/>
      <c r="T158" s="7">
        <v>150</v>
      </c>
      <c r="U158" s="2"/>
      <c r="V158" s="6">
        <f t="shared" si="77"/>
        <v>3.7628038809057523E-5</v>
      </c>
      <c r="W158" s="2"/>
      <c r="X158" s="7">
        <f t="shared" si="78"/>
        <v>-150</v>
      </c>
      <c r="Y158" s="2"/>
      <c r="Z158" s="6">
        <f t="shared" si="79"/>
        <v>-1</v>
      </c>
    </row>
    <row r="159" spans="1:26" s="24" customFormat="1" hidden="1" outlineLevel="2" x14ac:dyDescent="0.25">
      <c r="A159" s="28"/>
      <c r="B159" s="11" t="str">
        <f>CONCATENATE("          ", "6279", " - ", "GENERAL EXPENSE")</f>
        <v xml:space="preserve">          6279 - GENERAL EXPENSE</v>
      </c>
      <c r="C159" s="11"/>
      <c r="D159" s="7">
        <v>-40</v>
      </c>
      <c r="E159" s="2"/>
      <c r="F159" s="6">
        <f t="shared" si="72"/>
        <v>-2.4982975663521284E-4</v>
      </c>
      <c r="G159" s="2"/>
      <c r="H159" s="7">
        <v>550</v>
      </c>
      <c r="I159" s="2"/>
      <c r="J159" s="6">
        <f t="shared" si="73"/>
        <v>1.3650149158902628E-3</v>
      </c>
      <c r="K159" s="2"/>
      <c r="L159" s="7">
        <f t="shared" si="74"/>
        <v>-590</v>
      </c>
      <c r="M159" s="2"/>
      <c r="N159" s="6">
        <f t="shared" si="75"/>
        <v>-1.0727272727272728</v>
      </c>
      <c r="O159" s="11"/>
      <c r="P159" s="7">
        <v>-3246.83</v>
      </c>
      <c r="Q159" s="2"/>
      <c r="R159" s="6">
        <f t="shared" si="76"/>
        <v>-1.3792760614390867E-3</v>
      </c>
      <c r="S159" s="2"/>
      <c r="T159" s="7">
        <v>3050</v>
      </c>
      <c r="U159" s="2"/>
      <c r="V159" s="6">
        <f t="shared" si="77"/>
        <v>7.6510345578416957E-4</v>
      </c>
      <c r="W159" s="2"/>
      <c r="X159" s="7">
        <f t="shared" si="78"/>
        <v>-6296.83</v>
      </c>
      <c r="Y159" s="2"/>
      <c r="Z159" s="6">
        <f t="shared" si="79"/>
        <v>-2.0645344262295082</v>
      </c>
    </row>
    <row r="160" spans="1:26" s="27" customFormat="1" outlineLevel="1" collapsed="1" x14ac:dyDescent="0.25">
      <c r="A160" s="29"/>
      <c r="B160" s="14" t="str">
        <f>CONCATENATE("     ","Insurance                                         ")</f>
        <v xml:space="preserve">     Insurance                                         </v>
      </c>
      <c r="C160" s="14"/>
      <c r="D160" s="1">
        <f>SUM(OSRRefD22_12x_0)</f>
        <v>4044.74</v>
      </c>
      <c r="E160" s="1"/>
      <c r="F160" s="5">
        <f t="shared" ref="F160:F172" si="80">IF(D$12=0,0,D160/D$12)</f>
        <v>2.5262410246317771E-2</v>
      </c>
      <c r="G160" s="1"/>
      <c r="H160" s="1">
        <f>SUM(OSRRefH22_12x_0)</f>
        <v>4446</v>
      </c>
      <c r="I160" s="1"/>
      <c r="J160" s="5">
        <f t="shared" ref="J160:J172" si="81">IF(H$12=0,0,H160/H$12)</f>
        <v>1.1034284210996561E-2</v>
      </c>
      <c r="K160" s="1"/>
      <c r="L160" s="1">
        <f t="shared" ref="L160:L172" si="82">+D160-H160</f>
        <v>-401.26000000000022</v>
      </c>
      <c r="M160" s="1"/>
      <c r="N160" s="5">
        <f t="shared" ref="N160:N172" si="83">IF(H160=0,0,L160/H160)</f>
        <v>-9.0251911830859247E-2</v>
      </c>
      <c r="O160" s="14"/>
      <c r="P160" s="1">
        <f>SUM(OSRRefP22_12x_0)</f>
        <v>16178.96</v>
      </c>
      <c r="Q160" s="1"/>
      <c r="R160" s="5">
        <f t="shared" ref="R160:R172" si="84">IF(P$12=0,0,P160/P$12)</f>
        <v>6.8729352097216439E-3</v>
      </c>
      <c r="S160" s="1"/>
      <c r="T160" s="1">
        <f>SUM(OSRRefT22_12x_0)</f>
        <v>17784</v>
      </c>
      <c r="U160" s="1"/>
      <c r="V160" s="5">
        <f t="shared" ref="V160:V172" si="85">IF(T$12=0,0,T160/T$12)</f>
        <v>4.4611802812018599E-3</v>
      </c>
      <c r="W160" s="1"/>
      <c r="X160" s="1">
        <f t="shared" ref="X160:X172" si="86">+P160-T160</f>
        <v>-1605.0400000000009</v>
      </c>
      <c r="Y160" s="1"/>
      <c r="Z160" s="5">
        <f t="shared" ref="Z160:Z172" si="87">IF(T160=0,0,X160/T160)</f>
        <v>-9.0251911830859247E-2</v>
      </c>
    </row>
    <row r="161" spans="1:26" s="24" customFormat="1" hidden="1" outlineLevel="2" x14ac:dyDescent="0.25">
      <c r="A161" s="28"/>
      <c r="B161" s="11" t="str">
        <f>CONCATENATE("          ", "6314", " - ", "LIABILITY INSURANCE")</f>
        <v xml:space="preserve">          6314 - LIABILITY INSURANCE</v>
      </c>
      <c r="C161" s="11"/>
      <c r="D161" s="7">
        <v>4044.74</v>
      </c>
      <c r="E161" s="2"/>
      <c r="F161" s="6">
        <f t="shared" si="80"/>
        <v>2.5262410246317771E-2</v>
      </c>
      <c r="G161" s="2"/>
      <c r="H161" s="7">
        <v>4446</v>
      </c>
      <c r="I161" s="2"/>
      <c r="J161" s="6">
        <f t="shared" si="81"/>
        <v>1.1034284210996561E-2</v>
      </c>
      <c r="K161" s="2"/>
      <c r="L161" s="7">
        <f t="shared" si="82"/>
        <v>-401.26000000000022</v>
      </c>
      <c r="M161" s="2"/>
      <c r="N161" s="6">
        <f t="shared" si="83"/>
        <v>-9.0251911830859247E-2</v>
      </c>
      <c r="O161" s="11"/>
      <c r="P161" s="7">
        <v>16178.96</v>
      </c>
      <c r="Q161" s="2"/>
      <c r="R161" s="6">
        <f t="shared" si="84"/>
        <v>6.8729352097216439E-3</v>
      </c>
      <c r="S161" s="2"/>
      <c r="T161" s="7">
        <v>17784</v>
      </c>
      <c r="U161" s="2"/>
      <c r="V161" s="6">
        <f t="shared" si="85"/>
        <v>4.4611802812018599E-3</v>
      </c>
      <c r="W161" s="2"/>
      <c r="X161" s="7">
        <f t="shared" si="86"/>
        <v>-1605.0400000000009</v>
      </c>
      <c r="Y161" s="2"/>
      <c r="Z161" s="6">
        <f t="shared" si="87"/>
        <v>-9.0251911830859247E-2</v>
      </c>
    </row>
    <row r="162" spans="1:26" s="27" customFormat="1" outlineLevel="1" collapsed="1" x14ac:dyDescent="0.25">
      <c r="A162" s="29"/>
      <c r="B162" s="14" t="str">
        <f>CONCATENATE("     ","Inventory Adjustment                              ")</f>
        <v xml:space="preserve">     Inventory Adjustment                              </v>
      </c>
      <c r="C162" s="14"/>
      <c r="D162" s="1">
        <f>SUM(OSRRefD22_13x_0)</f>
        <v>2100</v>
      </c>
      <c r="E162" s="1"/>
      <c r="F162" s="5">
        <f t="shared" si="80"/>
        <v>1.3116062223348674E-2</v>
      </c>
      <c r="G162" s="1"/>
      <c r="H162" s="1">
        <f>SUM(OSRRefH22_13x_0)</f>
        <v>3100</v>
      </c>
      <c r="I162" s="1"/>
      <c r="J162" s="5">
        <f t="shared" si="81"/>
        <v>7.693720435017844E-3</v>
      </c>
      <c r="K162" s="1"/>
      <c r="L162" s="1">
        <f t="shared" si="82"/>
        <v>-1000</v>
      </c>
      <c r="M162" s="1"/>
      <c r="N162" s="5">
        <f t="shared" si="83"/>
        <v>-0.32258064516129031</v>
      </c>
      <c r="O162" s="14"/>
      <c r="P162" s="1">
        <f>SUM(OSRRefP22_13x_0)</f>
        <v>8400</v>
      </c>
      <c r="Q162" s="1"/>
      <c r="R162" s="5">
        <f t="shared" si="84"/>
        <v>3.5683786696834537E-3</v>
      </c>
      <c r="S162" s="1"/>
      <c r="T162" s="1">
        <f>SUM(OSRRefT22_13x_0)</f>
        <v>12400</v>
      </c>
      <c r="U162" s="1"/>
      <c r="V162" s="5">
        <f t="shared" si="85"/>
        <v>3.1105845415487551E-3</v>
      </c>
      <c r="W162" s="1"/>
      <c r="X162" s="1">
        <f t="shared" si="86"/>
        <v>-4000</v>
      </c>
      <c r="Y162" s="1"/>
      <c r="Z162" s="5">
        <f t="shared" si="87"/>
        <v>-0.32258064516129031</v>
      </c>
    </row>
    <row r="163" spans="1:26" s="24" customFormat="1" hidden="1" outlineLevel="2" x14ac:dyDescent="0.25">
      <c r="A163" s="28"/>
      <c r="B163" s="11" t="str">
        <f>CONCATENATE("          ", "6408", " - ", "INVENTORY ADJUSTMENT")</f>
        <v xml:space="preserve">          6408 - INVENTORY ADJUSTMENT</v>
      </c>
      <c r="C163" s="11"/>
      <c r="D163" s="7">
        <v>2100</v>
      </c>
      <c r="E163" s="2"/>
      <c r="F163" s="6">
        <f t="shared" si="80"/>
        <v>1.3116062223348674E-2</v>
      </c>
      <c r="G163" s="2"/>
      <c r="H163" s="7">
        <v>3100</v>
      </c>
      <c r="I163" s="2"/>
      <c r="J163" s="6">
        <f t="shared" si="81"/>
        <v>7.693720435017844E-3</v>
      </c>
      <c r="K163" s="2"/>
      <c r="L163" s="7">
        <f t="shared" si="82"/>
        <v>-1000</v>
      </c>
      <c r="M163" s="2"/>
      <c r="N163" s="6">
        <f t="shared" si="83"/>
        <v>-0.32258064516129031</v>
      </c>
      <c r="O163" s="11"/>
      <c r="P163" s="7">
        <v>8400</v>
      </c>
      <c r="Q163" s="2"/>
      <c r="R163" s="6">
        <f t="shared" si="84"/>
        <v>3.5683786696834537E-3</v>
      </c>
      <c r="S163" s="2"/>
      <c r="T163" s="7">
        <v>12400</v>
      </c>
      <c r="U163" s="2"/>
      <c r="V163" s="6">
        <f t="shared" si="85"/>
        <v>3.1105845415487551E-3</v>
      </c>
      <c r="W163" s="2"/>
      <c r="X163" s="7">
        <f t="shared" si="86"/>
        <v>-4000</v>
      </c>
      <c r="Y163" s="2"/>
      <c r="Z163" s="6">
        <f t="shared" si="87"/>
        <v>-0.32258064516129031</v>
      </c>
    </row>
    <row r="164" spans="1:26" s="27" customFormat="1" outlineLevel="1" collapsed="1" x14ac:dyDescent="0.25">
      <c r="A164" s="29"/>
      <c r="B164" s="14" t="str">
        <f>CONCATENATE("     ","Professional Services                             ")</f>
        <v xml:space="preserve">     Professional Services                             </v>
      </c>
      <c r="C164" s="14"/>
      <c r="D164" s="1">
        <f>SUM(OSRRefD22_14x_0)</f>
        <v>0</v>
      </c>
      <c r="E164" s="1"/>
      <c r="F164" s="5">
        <f t="shared" si="80"/>
        <v>0</v>
      </c>
      <c r="G164" s="1"/>
      <c r="H164" s="1">
        <f>SUM(OSRRefH22_14x_0)</f>
        <v>250</v>
      </c>
      <c r="I164" s="1"/>
      <c r="J164" s="5">
        <f t="shared" si="81"/>
        <v>6.2046132540466491E-4</v>
      </c>
      <c r="K164" s="1"/>
      <c r="L164" s="1">
        <f t="shared" si="82"/>
        <v>-250</v>
      </c>
      <c r="M164" s="1"/>
      <c r="N164" s="5">
        <f t="shared" si="83"/>
        <v>-1</v>
      </c>
      <c r="O164" s="14"/>
      <c r="P164" s="1">
        <f>SUM(OSRRefP22_14x_0)</f>
        <v>0</v>
      </c>
      <c r="Q164" s="1"/>
      <c r="R164" s="5">
        <f t="shared" si="84"/>
        <v>0</v>
      </c>
      <c r="S164" s="1"/>
      <c r="T164" s="1">
        <f>SUM(OSRRefT22_14x_0)</f>
        <v>6800</v>
      </c>
      <c r="U164" s="1"/>
      <c r="V164" s="5">
        <f t="shared" si="85"/>
        <v>1.7058044260106077E-3</v>
      </c>
      <c r="W164" s="1"/>
      <c r="X164" s="1">
        <f t="shared" si="86"/>
        <v>-6800</v>
      </c>
      <c r="Y164" s="1"/>
      <c r="Z164" s="5">
        <f t="shared" si="87"/>
        <v>-1</v>
      </c>
    </row>
    <row r="165" spans="1:26" s="24" customFormat="1" hidden="1" outlineLevel="2" x14ac:dyDescent="0.25">
      <c r="A165" s="28"/>
      <c r="B165" s="11" t="str">
        <f>CONCATENATE("          ", "6336", " - ", "PROFESSIONAL SERVICES")</f>
        <v xml:space="preserve">          6336 - PROFESSIONAL SERVICES</v>
      </c>
      <c r="C165" s="11"/>
      <c r="D165" s="7"/>
      <c r="E165" s="2"/>
      <c r="F165" s="6">
        <f t="shared" si="80"/>
        <v>0</v>
      </c>
      <c r="G165" s="2"/>
      <c r="H165" s="7">
        <v>250</v>
      </c>
      <c r="I165" s="2"/>
      <c r="J165" s="6">
        <f t="shared" si="81"/>
        <v>6.2046132540466491E-4</v>
      </c>
      <c r="K165" s="2"/>
      <c r="L165" s="7">
        <f t="shared" si="82"/>
        <v>-250</v>
      </c>
      <c r="M165" s="2"/>
      <c r="N165" s="6">
        <f t="shared" si="83"/>
        <v>-1</v>
      </c>
      <c r="O165" s="11"/>
      <c r="P165" s="7"/>
      <c r="Q165" s="2"/>
      <c r="R165" s="6">
        <f t="shared" si="84"/>
        <v>0</v>
      </c>
      <c r="S165" s="2"/>
      <c r="T165" s="7">
        <v>6800</v>
      </c>
      <c r="U165" s="2"/>
      <c r="V165" s="6">
        <f t="shared" si="85"/>
        <v>1.7058044260106077E-3</v>
      </c>
      <c r="W165" s="2"/>
      <c r="X165" s="7">
        <f t="shared" si="86"/>
        <v>-6800</v>
      </c>
      <c r="Y165" s="2"/>
      <c r="Z165" s="6">
        <f t="shared" si="87"/>
        <v>-1</v>
      </c>
    </row>
    <row r="166" spans="1:26" s="27" customFormat="1" outlineLevel="1" collapsed="1" x14ac:dyDescent="0.25">
      <c r="A166" s="29"/>
      <c r="B166" s="14" t="str">
        <f>CONCATENATE("     ","Rent                                              ")</f>
        <v xml:space="preserve">     Rent                                              </v>
      </c>
      <c r="C166" s="14"/>
      <c r="D166" s="1">
        <f>SUM(OSRRefD22_15x_0)</f>
        <v>6100</v>
      </c>
      <c r="E166" s="1"/>
      <c r="F166" s="5">
        <f t="shared" si="80"/>
        <v>3.8099037886869962E-2</v>
      </c>
      <c r="G166" s="1"/>
      <c r="H166" s="1">
        <f>SUM(OSRRefH22_15x_0)</f>
        <v>6100</v>
      </c>
      <c r="I166" s="1"/>
      <c r="J166" s="5">
        <f t="shared" si="81"/>
        <v>1.5139256339873824E-2</v>
      </c>
      <c r="K166" s="1"/>
      <c r="L166" s="1">
        <f t="shared" si="82"/>
        <v>0</v>
      </c>
      <c r="M166" s="1"/>
      <c r="N166" s="5">
        <f t="shared" si="83"/>
        <v>0</v>
      </c>
      <c r="O166" s="14"/>
      <c r="P166" s="1">
        <f>SUM(OSRRefP22_15x_0)</f>
        <v>24400</v>
      </c>
      <c r="Q166" s="1"/>
      <c r="R166" s="5">
        <f t="shared" si="84"/>
        <v>1.036529042146146E-2</v>
      </c>
      <c r="S166" s="1"/>
      <c r="T166" s="1">
        <f>SUM(OSRRefT22_15x_0)</f>
        <v>24401</v>
      </c>
      <c r="U166" s="1"/>
      <c r="V166" s="5">
        <f t="shared" si="85"/>
        <v>6.1210784998654167E-3</v>
      </c>
      <c r="W166" s="1"/>
      <c r="X166" s="1">
        <f t="shared" si="86"/>
        <v>-1</v>
      </c>
      <c r="Y166" s="1"/>
      <c r="Z166" s="5">
        <f t="shared" si="87"/>
        <v>-4.098192697020614E-5</v>
      </c>
    </row>
    <row r="167" spans="1:26" s="24" customFormat="1" hidden="1" outlineLevel="2" x14ac:dyDescent="0.25">
      <c r="A167" s="28"/>
      <c r="B167" s="11" t="str">
        <f>CONCATENATE("          ", "6273", " - ", "RENT")</f>
        <v xml:space="preserve">          6273 - RENT</v>
      </c>
      <c r="C167" s="11"/>
      <c r="D167" s="7">
        <v>6100</v>
      </c>
      <c r="E167" s="2"/>
      <c r="F167" s="6">
        <f t="shared" si="80"/>
        <v>3.8099037886869962E-2</v>
      </c>
      <c r="G167" s="2"/>
      <c r="H167" s="7">
        <v>6100</v>
      </c>
      <c r="I167" s="2"/>
      <c r="J167" s="6">
        <f t="shared" si="81"/>
        <v>1.5139256339873824E-2</v>
      </c>
      <c r="K167" s="2"/>
      <c r="L167" s="7">
        <f t="shared" si="82"/>
        <v>0</v>
      </c>
      <c r="M167" s="2"/>
      <c r="N167" s="6">
        <f t="shared" si="83"/>
        <v>0</v>
      </c>
      <c r="O167" s="11"/>
      <c r="P167" s="7">
        <v>24400</v>
      </c>
      <c r="Q167" s="2"/>
      <c r="R167" s="6">
        <f t="shared" si="84"/>
        <v>1.036529042146146E-2</v>
      </c>
      <c r="S167" s="2"/>
      <c r="T167" s="7">
        <v>24401</v>
      </c>
      <c r="U167" s="2"/>
      <c r="V167" s="6">
        <f t="shared" si="85"/>
        <v>6.1210784998654167E-3</v>
      </c>
      <c r="W167" s="2"/>
      <c r="X167" s="7">
        <f t="shared" si="86"/>
        <v>-1</v>
      </c>
      <c r="Y167" s="2"/>
      <c r="Z167" s="6">
        <f t="shared" si="87"/>
        <v>-4.098192697020614E-5</v>
      </c>
    </row>
    <row r="168" spans="1:26" s="27" customFormat="1" outlineLevel="1" collapsed="1" x14ac:dyDescent="0.25">
      <c r="A168" s="29"/>
      <c r="B168" s="14" t="str">
        <f>CONCATENATE("     ","Repair and Maintenance                            ")</f>
        <v xml:space="preserve">     Repair and Maintenance                            </v>
      </c>
      <c r="C168" s="14"/>
      <c r="D168" s="1">
        <f>SUM(OSRRefD22_16x_0)</f>
        <v>11552.1</v>
      </c>
      <c r="E168" s="1"/>
      <c r="F168" s="5">
        <f t="shared" si="80"/>
        <v>7.2151458290641055E-2</v>
      </c>
      <c r="G168" s="1"/>
      <c r="H168" s="1">
        <f>SUM(OSRRefH22_16x_0)</f>
        <v>18640</v>
      </c>
      <c r="I168" s="1"/>
      <c r="J168" s="5">
        <f t="shared" si="81"/>
        <v>4.6261596422171813E-2</v>
      </c>
      <c r="K168" s="1"/>
      <c r="L168" s="1">
        <f t="shared" si="82"/>
        <v>-7087.9</v>
      </c>
      <c r="M168" s="1"/>
      <c r="N168" s="5">
        <f t="shared" si="83"/>
        <v>-0.38025214592274675</v>
      </c>
      <c r="O168" s="14"/>
      <c r="P168" s="1">
        <f>SUM(OSRRefP22_16x_0)</f>
        <v>97944.37</v>
      </c>
      <c r="Q168" s="1"/>
      <c r="R168" s="5">
        <f t="shared" si="84"/>
        <v>4.1607452467093325E-2</v>
      </c>
      <c r="S168" s="1"/>
      <c r="T168" s="1">
        <f>SUM(OSRRefT22_16x_0)</f>
        <v>103360</v>
      </c>
      <c r="U168" s="1"/>
      <c r="V168" s="5">
        <f t="shared" si="85"/>
        <v>2.5928227275361235E-2</v>
      </c>
      <c r="W168" s="1"/>
      <c r="X168" s="1">
        <f t="shared" si="86"/>
        <v>-5415.6300000000047</v>
      </c>
      <c r="Y168" s="1"/>
      <c r="Z168" s="5">
        <f t="shared" si="87"/>
        <v>-5.2395801083591376E-2</v>
      </c>
    </row>
    <row r="169" spans="1:26" s="24" customFormat="1" hidden="1" outlineLevel="2" x14ac:dyDescent="0.25">
      <c r="A169" s="28"/>
      <c r="B169" s="11" t="str">
        <f>CONCATENATE("          ", "6371", " - ", "COMPUTER SOFTWARE MAINTENANCE")</f>
        <v xml:space="preserve">          6371 - COMPUTER SOFTWARE MAINTENANCE</v>
      </c>
      <c r="C169" s="11"/>
      <c r="D169" s="7">
        <v>7.69</v>
      </c>
      <c r="E169" s="2"/>
      <c r="F169" s="6">
        <f t="shared" si="80"/>
        <v>4.8029770713119671E-5</v>
      </c>
      <c r="G169" s="2"/>
      <c r="H169" s="7"/>
      <c r="I169" s="2"/>
      <c r="J169" s="6">
        <f t="shared" si="81"/>
        <v>0</v>
      </c>
      <c r="K169" s="2"/>
      <c r="L169" s="7">
        <f t="shared" si="82"/>
        <v>7.69</v>
      </c>
      <c r="M169" s="2"/>
      <c r="N169" s="6">
        <f t="shared" si="83"/>
        <v>0</v>
      </c>
      <c r="O169" s="11"/>
      <c r="P169" s="7">
        <v>58436.47</v>
      </c>
      <c r="Q169" s="2"/>
      <c r="R169" s="6">
        <f t="shared" si="84"/>
        <v>2.4824220604713936E-2</v>
      </c>
      <c r="S169" s="2"/>
      <c r="T169" s="7">
        <v>45000</v>
      </c>
      <c r="U169" s="2"/>
      <c r="V169" s="6">
        <f t="shared" si="85"/>
        <v>1.1288411642717256E-2</v>
      </c>
      <c r="W169" s="2"/>
      <c r="X169" s="7">
        <f t="shared" si="86"/>
        <v>13436.470000000001</v>
      </c>
      <c r="Y169" s="2"/>
      <c r="Z169" s="6">
        <f t="shared" si="87"/>
        <v>0.29858822222222225</v>
      </c>
    </row>
    <row r="170" spans="1:26" s="24" customFormat="1" hidden="1" outlineLevel="2" x14ac:dyDescent="0.25">
      <c r="A170" s="28"/>
      <c r="B170" s="11" t="str">
        <f>CONCATENATE("          ", "6372", " - ", "COMPUTER HARDWARE MAINTENANCE")</f>
        <v xml:space="preserve">          6372 - COMPUTER HARDWARE MAINTENANCE</v>
      </c>
      <c r="C170" s="11"/>
      <c r="D170" s="7">
        <v>8.11</v>
      </c>
      <c r="E170" s="2"/>
      <c r="F170" s="6">
        <f t="shared" si="80"/>
        <v>5.0652983157789402E-5</v>
      </c>
      <c r="G170" s="2"/>
      <c r="H170" s="7"/>
      <c r="I170" s="2"/>
      <c r="J170" s="6">
        <f t="shared" si="81"/>
        <v>0</v>
      </c>
      <c r="K170" s="2"/>
      <c r="L170" s="7">
        <f t="shared" si="82"/>
        <v>8.11</v>
      </c>
      <c r="M170" s="2"/>
      <c r="N170" s="6">
        <f t="shared" si="83"/>
        <v>0</v>
      </c>
      <c r="O170" s="11"/>
      <c r="P170" s="7">
        <v>0</v>
      </c>
      <c r="Q170" s="2"/>
      <c r="R170" s="6">
        <f t="shared" si="84"/>
        <v>0</v>
      </c>
      <c r="S170" s="2"/>
      <c r="T170" s="7"/>
      <c r="U170" s="2"/>
      <c r="V170" s="6">
        <f t="shared" si="85"/>
        <v>0</v>
      </c>
      <c r="W170" s="2"/>
      <c r="X170" s="7">
        <f t="shared" si="86"/>
        <v>0</v>
      </c>
      <c r="Y170" s="2"/>
      <c r="Z170" s="6">
        <f t="shared" si="87"/>
        <v>0</v>
      </c>
    </row>
    <row r="171" spans="1:26" s="24" customFormat="1" hidden="1" outlineLevel="2" x14ac:dyDescent="0.25">
      <c r="A171" s="28"/>
      <c r="B171" s="11" t="str">
        <f>CONCATENATE("          ", "6373", " - ", "MAINTENANCE CONTRACTS")</f>
        <v xml:space="preserve">          6373 - MAINTENANCE CONTRACTS</v>
      </c>
      <c r="C171" s="11"/>
      <c r="D171" s="7">
        <v>5396.67</v>
      </c>
      <c r="E171" s="2"/>
      <c r="F171" s="6">
        <f t="shared" si="80"/>
        <v>3.3706218818513857E-2</v>
      </c>
      <c r="G171" s="2"/>
      <c r="H171" s="7">
        <v>10040</v>
      </c>
      <c r="I171" s="2"/>
      <c r="J171" s="6">
        <f t="shared" si="81"/>
        <v>2.491772682825134E-2</v>
      </c>
      <c r="K171" s="2"/>
      <c r="L171" s="7">
        <f t="shared" si="82"/>
        <v>-4643.33</v>
      </c>
      <c r="M171" s="2"/>
      <c r="N171" s="6">
        <f t="shared" si="83"/>
        <v>-0.46248306772908365</v>
      </c>
      <c r="O171" s="11"/>
      <c r="P171" s="7">
        <v>30585.72</v>
      </c>
      <c r="Q171" s="2"/>
      <c r="R171" s="6">
        <f t="shared" si="84"/>
        <v>1.2993027481536978E-2</v>
      </c>
      <c r="S171" s="2"/>
      <c r="T171" s="7">
        <v>24460</v>
      </c>
      <c r="U171" s="2"/>
      <c r="V171" s="6">
        <f t="shared" si="85"/>
        <v>6.1358788617969793E-3</v>
      </c>
      <c r="W171" s="2"/>
      <c r="X171" s="7">
        <f t="shared" si="86"/>
        <v>6125.7200000000012</v>
      </c>
      <c r="Y171" s="2"/>
      <c r="Z171" s="6">
        <f t="shared" si="87"/>
        <v>0.25043826655764517</v>
      </c>
    </row>
    <row r="172" spans="1:26" s="24" customFormat="1" hidden="1" outlineLevel="2" x14ac:dyDescent="0.25">
      <c r="A172" s="28"/>
      <c r="B172" s="11" t="str">
        <f>CONCATENATE("          ", "6375", " - ", "OUTSIDE REPAIRS &amp; MAINTENANCE")</f>
        <v xml:space="preserve">          6375 - OUTSIDE REPAIRS &amp; MAINTENANCE</v>
      </c>
      <c r="C172" s="11"/>
      <c r="D172" s="7">
        <v>6139.63</v>
      </c>
      <c r="E172" s="2"/>
      <c r="F172" s="6">
        <f t="shared" si="80"/>
        <v>3.8346556718256299E-2</v>
      </c>
      <c r="G172" s="2"/>
      <c r="H172" s="7">
        <v>8600</v>
      </c>
      <c r="I172" s="2"/>
      <c r="J172" s="6">
        <f t="shared" si="81"/>
        <v>2.1343869593920473E-2</v>
      </c>
      <c r="K172" s="2"/>
      <c r="L172" s="7">
        <f t="shared" si="82"/>
        <v>-2460.37</v>
      </c>
      <c r="M172" s="2"/>
      <c r="N172" s="6">
        <f t="shared" si="83"/>
        <v>-0.28608953488372091</v>
      </c>
      <c r="O172" s="11"/>
      <c r="P172" s="7">
        <v>8922.18</v>
      </c>
      <c r="Q172" s="2"/>
      <c r="R172" s="6">
        <f t="shared" si="84"/>
        <v>3.7902043808424189E-3</v>
      </c>
      <c r="S172" s="2"/>
      <c r="T172" s="7">
        <v>33900</v>
      </c>
      <c r="U172" s="2"/>
      <c r="V172" s="6">
        <f t="shared" si="85"/>
        <v>8.5039367708469992E-3</v>
      </c>
      <c r="W172" s="2"/>
      <c r="X172" s="7">
        <f t="shared" si="86"/>
        <v>-24977.82</v>
      </c>
      <c r="Y172" s="2"/>
      <c r="Z172" s="6">
        <f t="shared" si="87"/>
        <v>-0.73680884955752213</v>
      </c>
    </row>
    <row r="173" spans="1:26" s="27" customFormat="1" outlineLevel="1" collapsed="1" x14ac:dyDescent="0.25">
      <c r="A173" s="29"/>
      <c r="B173" s="14" t="str">
        <f>CONCATENATE("     ","Royalty &amp; Commissions                             ")</f>
        <v xml:space="preserve">     Royalty &amp; Commissions                             </v>
      </c>
      <c r="C173" s="14"/>
      <c r="D173" s="1">
        <f>SUM(OSRRefD22_17x_0)</f>
        <v>10810</v>
      </c>
      <c r="E173" s="1"/>
      <c r="F173" s="5">
        <f t="shared" ref="F173:F177" si="88">IF(D$12=0,0,D173/D$12)</f>
        <v>6.7516491730666275E-2</v>
      </c>
      <c r="G173" s="1"/>
      <c r="H173" s="1">
        <f>SUM(OSRRefH22_17x_0)</f>
        <v>7171</v>
      </c>
      <c r="I173" s="1"/>
      <c r="J173" s="5">
        <f t="shared" ref="J173:J177" si="89">IF(H$12=0,0,H173/H$12)</f>
        <v>1.7797312657907408E-2</v>
      </c>
      <c r="K173" s="1"/>
      <c r="L173" s="1">
        <f t="shared" ref="L173:L177" si="90">+D173-H173</f>
        <v>3639</v>
      </c>
      <c r="M173" s="1"/>
      <c r="N173" s="5">
        <f t="shared" ref="N173:N177" si="91">IF(H173=0,0,L173/H173)</f>
        <v>0.50746060521545111</v>
      </c>
      <c r="O173" s="14"/>
      <c r="P173" s="1">
        <f>SUM(OSRRefP22_17x_0)</f>
        <v>24117</v>
      </c>
      <c r="Q173" s="1"/>
      <c r="R173" s="5">
        <f t="shared" ref="R173:R177" si="92">IF(P$12=0,0,P173/P$12)</f>
        <v>1.0245070044851886E-2</v>
      </c>
      <c r="S173" s="1"/>
      <c r="T173" s="1">
        <f>SUM(OSRRefT22_17x_0)</f>
        <v>27634</v>
      </c>
      <c r="U173" s="1"/>
      <c r="V173" s="5">
        <f t="shared" ref="V173:V177" si="93">IF(T$12=0,0,T173/T$12)</f>
        <v>6.9320881629966365E-3</v>
      </c>
      <c r="W173" s="1"/>
      <c r="X173" s="1">
        <f t="shared" ref="X173:X177" si="94">+P173-T173</f>
        <v>-3517</v>
      </c>
      <c r="Y173" s="1"/>
      <c r="Z173" s="5">
        <f t="shared" ref="Z173:Z177" si="95">IF(T173=0,0,X173/T173)</f>
        <v>-0.12727075341970037</v>
      </c>
    </row>
    <row r="174" spans="1:26" s="24" customFormat="1" hidden="1" outlineLevel="2" x14ac:dyDescent="0.25">
      <c r="A174" s="28"/>
      <c r="B174" s="11" t="str">
        <f>CONCATENATE("          ", "6252", " - ", "ROYALTY DUE CSTV")</f>
        <v xml:space="preserve">          6252 - ROYALTY DUE CSTV</v>
      </c>
      <c r="C174" s="11"/>
      <c r="D174" s="7"/>
      <c r="E174" s="2"/>
      <c r="F174" s="6">
        <f t="shared" si="88"/>
        <v>0</v>
      </c>
      <c r="G174" s="2"/>
      <c r="H174" s="7">
        <v>1085</v>
      </c>
      <c r="I174" s="2"/>
      <c r="J174" s="6">
        <f t="shared" si="89"/>
        <v>2.6928021522562456E-3</v>
      </c>
      <c r="K174" s="2"/>
      <c r="L174" s="7">
        <f t="shared" si="90"/>
        <v>-1085</v>
      </c>
      <c r="M174" s="2"/>
      <c r="N174" s="6">
        <f t="shared" si="91"/>
        <v>-1</v>
      </c>
      <c r="O174" s="11"/>
      <c r="P174" s="7"/>
      <c r="Q174" s="2"/>
      <c r="R174" s="6">
        <f t="shared" si="92"/>
        <v>0</v>
      </c>
      <c r="S174" s="2"/>
      <c r="T174" s="7">
        <v>4340</v>
      </c>
      <c r="U174" s="2"/>
      <c r="V174" s="6">
        <f t="shared" si="93"/>
        <v>1.0887045895420643E-3</v>
      </c>
      <c r="W174" s="2"/>
      <c r="X174" s="7">
        <f t="shared" si="94"/>
        <v>-4340</v>
      </c>
      <c r="Y174" s="2"/>
      <c r="Z174" s="6">
        <f t="shared" si="95"/>
        <v>-1</v>
      </c>
    </row>
    <row r="175" spans="1:26" s="24" customFormat="1" hidden="1" outlineLevel="2" x14ac:dyDescent="0.25">
      <c r="A175" s="28"/>
      <c r="B175" s="11" t="str">
        <f>CONCATENATE("          ", "6253", " - ", "ROYALTY DUE ATHLETICS-LRG")</f>
        <v xml:space="preserve">          6253 - ROYALTY DUE ATHLETICS-LRG</v>
      </c>
      <c r="C175" s="11"/>
      <c r="D175" s="7">
        <v>10489.6</v>
      </c>
      <c r="E175" s="2"/>
      <c r="F175" s="6">
        <f t="shared" si="88"/>
        <v>6.5515355380018223E-2</v>
      </c>
      <c r="G175" s="2"/>
      <c r="H175" s="7">
        <v>4037</v>
      </c>
      <c r="I175" s="2"/>
      <c r="J175" s="6">
        <f t="shared" si="89"/>
        <v>1.0019209482634529E-2</v>
      </c>
      <c r="K175" s="2"/>
      <c r="L175" s="7">
        <f t="shared" si="90"/>
        <v>6452.6</v>
      </c>
      <c r="M175" s="2"/>
      <c r="N175" s="6">
        <f t="shared" si="91"/>
        <v>1.598365122615804</v>
      </c>
      <c r="O175" s="11"/>
      <c r="P175" s="7">
        <v>18411.8</v>
      </c>
      <c r="Q175" s="2"/>
      <c r="R175" s="6">
        <f t="shared" si="92"/>
        <v>7.8214612369616448E-3</v>
      </c>
      <c r="S175" s="2"/>
      <c r="T175" s="7">
        <v>16148</v>
      </c>
      <c r="U175" s="2"/>
      <c r="V175" s="6">
        <f t="shared" si="93"/>
        <v>4.0507838045910722E-3</v>
      </c>
      <c r="W175" s="2"/>
      <c r="X175" s="7">
        <f t="shared" si="94"/>
        <v>2263.7999999999993</v>
      </c>
      <c r="Y175" s="2"/>
      <c r="Z175" s="6">
        <f t="shared" si="95"/>
        <v>0.14019073569482285</v>
      </c>
    </row>
    <row r="176" spans="1:26" s="24" customFormat="1" hidden="1" outlineLevel="2" x14ac:dyDescent="0.25">
      <c r="A176" s="28"/>
      <c r="B176" s="11" t="str">
        <f>CONCATENATE("          ", "6254", " - ", "ROYALTY &amp; COMMISSIONS")</f>
        <v xml:space="preserve">          6254 - ROYALTY &amp; COMMISSIONS</v>
      </c>
      <c r="C176" s="11"/>
      <c r="D176" s="7"/>
      <c r="E176" s="2"/>
      <c r="F176" s="6">
        <f t="shared" si="88"/>
        <v>0</v>
      </c>
      <c r="G176" s="2"/>
      <c r="H176" s="7">
        <v>1149</v>
      </c>
      <c r="I176" s="2"/>
      <c r="J176" s="6">
        <f t="shared" si="89"/>
        <v>2.8516402515598397E-3</v>
      </c>
      <c r="K176" s="2"/>
      <c r="L176" s="7">
        <f t="shared" si="90"/>
        <v>-1149</v>
      </c>
      <c r="M176" s="2"/>
      <c r="N176" s="6">
        <f t="shared" si="91"/>
        <v>-1</v>
      </c>
      <c r="O176" s="11"/>
      <c r="P176" s="7"/>
      <c r="Q176" s="2"/>
      <c r="R176" s="6">
        <f t="shared" si="92"/>
        <v>0</v>
      </c>
      <c r="S176" s="2"/>
      <c r="T176" s="7">
        <v>4596</v>
      </c>
      <c r="U176" s="2"/>
      <c r="V176" s="6">
        <f t="shared" si="93"/>
        <v>1.1529231091095223E-3</v>
      </c>
      <c r="W176" s="2"/>
      <c r="X176" s="7">
        <f t="shared" si="94"/>
        <v>-4596</v>
      </c>
      <c r="Y176" s="2"/>
      <c r="Z176" s="6">
        <f t="shared" si="95"/>
        <v>-1</v>
      </c>
    </row>
    <row r="177" spans="1:26" s="24" customFormat="1" hidden="1" outlineLevel="2" x14ac:dyDescent="0.25">
      <c r="A177" s="28"/>
      <c r="B177" s="11" t="str">
        <f>CONCATENATE("          ", "6259", " - ", "ROYALTY &amp; COMMISSIONS")</f>
        <v xml:space="preserve">          6259 - ROYALTY &amp; COMMISSIONS</v>
      </c>
      <c r="C177" s="11"/>
      <c r="D177" s="7">
        <v>320.39999999999998</v>
      </c>
      <c r="E177" s="2"/>
      <c r="F177" s="6">
        <f t="shared" si="88"/>
        <v>2.0011363506480546E-3</v>
      </c>
      <c r="G177" s="2"/>
      <c r="H177" s="7">
        <v>900</v>
      </c>
      <c r="I177" s="2"/>
      <c r="J177" s="6">
        <f t="shared" si="89"/>
        <v>2.2336607714567936E-3</v>
      </c>
      <c r="K177" s="2"/>
      <c r="L177" s="7">
        <f t="shared" si="90"/>
        <v>-579.6</v>
      </c>
      <c r="M177" s="2"/>
      <c r="N177" s="6">
        <f t="shared" si="91"/>
        <v>-0.64400000000000002</v>
      </c>
      <c r="O177" s="11"/>
      <c r="P177" s="7">
        <v>5705.2</v>
      </c>
      <c r="Q177" s="2"/>
      <c r="R177" s="6">
        <f t="shared" si="92"/>
        <v>2.4236088078902428E-3</v>
      </c>
      <c r="S177" s="2"/>
      <c r="T177" s="7">
        <v>2550</v>
      </c>
      <c r="U177" s="2"/>
      <c r="V177" s="6">
        <f t="shared" si="93"/>
        <v>6.3967665975397784E-4</v>
      </c>
      <c r="W177" s="2"/>
      <c r="X177" s="7">
        <f t="shared" si="94"/>
        <v>3155.2</v>
      </c>
      <c r="Y177" s="2"/>
      <c r="Z177" s="6">
        <f t="shared" si="95"/>
        <v>1.2373333333333332</v>
      </c>
    </row>
    <row r="178" spans="1:26" s="27" customFormat="1" outlineLevel="1" collapsed="1" x14ac:dyDescent="0.25">
      <c r="A178" s="29"/>
      <c r="B178" s="14" t="str">
        <f>CONCATENATE("     ","Services                                          ")</f>
        <v xml:space="preserve">     Services                                          </v>
      </c>
      <c r="C178" s="14"/>
      <c r="D178" s="1">
        <f>SUM(OSRRefD22_18x_0)</f>
        <v>3968.4200000000005</v>
      </c>
      <c r="E178" s="1"/>
      <c r="F178" s="5">
        <f t="shared" ref="F178:F182" si="96">IF(D$12=0,0,D178/D$12)</f>
        <v>2.4785735070657788E-2</v>
      </c>
      <c r="G178" s="1"/>
      <c r="H178" s="1">
        <f>SUM(OSRRefH22_18x_0)</f>
        <v>4729</v>
      </c>
      <c r="I178" s="1"/>
      <c r="J178" s="5">
        <f t="shared" ref="J178:J182" si="97">IF(H$12=0,0,H178/H$12)</f>
        <v>1.1736646431354641E-2</v>
      </c>
      <c r="K178" s="1"/>
      <c r="L178" s="1">
        <f t="shared" ref="L178:L182" si="98">+D178-H178</f>
        <v>-760.57999999999947</v>
      </c>
      <c r="M178" s="1"/>
      <c r="N178" s="5">
        <f t="shared" ref="N178:N182" si="99">IF(H178=0,0,L178/H178)</f>
        <v>-0.16083315711566917</v>
      </c>
      <c r="O178" s="14"/>
      <c r="P178" s="1">
        <f>SUM(OSRRefP22_18x_0)</f>
        <v>12791.19</v>
      </c>
      <c r="Q178" s="1"/>
      <c r="R178" s="5">
        <f t="shared" ref="R178:R182" si="100">IF(P$12=0,0,P178/P$12)</f>
        <v>5.4337868518890831E-3</v>
      </c>
      <c r="S178" s="1"/>
      <c r="T178" s="1">
        <f>SUM(OSRRefT22_18x_0)</f>
        <v>18697</v>
      </c>
      <c r="U178" s="1"/>
      <c r="V178" s="5">
        <f t="shared" ref="V178:V182" si="101">IF(T$12=0,0,T178/T$12)</f>
        <v>4.6902096107529897E-3</v>
      </c>
      <c r="W178" s="1"/>
      <c r="X178" s="1">
        <f t="shared" ref="X178:X182" si="102">+P178-T178</f>
        <v>-5905.8099999999995</v>
      </c>
      <c r="Y178" s="1"/>
      <c r="Z178" s="5">
        <f t="shared" ref="Z178:Z182" si="103">IF(T178=0,0,X178/T178)</f>
        <v>-0.31586939081136006</v>
      </c>
    </row>
    <row r="179" spans="1:26" s="24" customFormat="1" hidden="1" outlineLevel="2" x14ac:dyDescent="0.25">
      <c r="A179" s="28"/>
      <c r="B179" s="11" t="str">
        <f>CONCATENATE("          ", "6282", " - ", "JANITORIAL/EXTERMINATOR EXPENS")</f>
        <v xml:space="preserve">          6282 - JANITORIAL/EXTERMINATOR EXPENS</v>
      </c>
      <c r="C179" s="11"/>
      <c r="D179" s="7">
        <v>4330.68</v>
      </c>
      <c r="E179" s="2"/>
      <c r="F179" s="6">
        <f t="shared" si="96"/>
        <v>2.7048318261624592E-2</v>
      </c>
      <c r="G179" s="2"/>
      <c r="H179" s="7">
        <v>4000</v>
      </c>
      <c r="I179" s="2"/>
      <c r="J179" s="6">
        <f t="shared" si="97"/>
        <v>9.9273812064746385E-3</v>
      </c>
      <c r="K179" s="2"/>
      <c r="L179" s="7">
        <f t="shared" si="98"/>
        <v>330.68000000000029</v>
      </c>
      <c r="M179" s="2"/>
      <c r="N179" s="6">
        <f t="shared" si="99"/>
        <v>8.2670000000000077E-2</v>
      </c>
      <c r="O179" s="11"/>
      <c r="P179" s="7">
        <v>5073.62</v>
      </c>
      <c r="Q179" s="2"/>
      <c r="R179" s="6">
        <f t="shared" si="100"/>
        <v>2.1553092126284958E-3</v>
      </c>
      <c r="S179" s="2"/>
      <c r="T179" s="7">
        <v>16000</v>
      </c>
      <c r="U179" s="2"/>
      <c r="V179" s="6">
        <f t="shared" si="101"/>
        <v>4.0136574729661353E-3</v>
      </c>
      <c r="W179" s="2"/>
      <c r="X179" s="7">
        <f t="shared" si="102"/>
        <v>-10926.380000000001</v>
      </c>
      <c r="Y179" s="2"/>
      <c r="Z179" s="6">
        <f t="shared" si="103"/>
        <v>-0.68289875000000011</v>
      </c>
    </row>
    <row r="180" spans="1:26" s="24" customFormat="1" hidden="1" outlineLevel="2" x14ac:dyDescent="0.25">
      <c r="A180" s="28"/>
      <c r="B180" s="11" t="str">
        <f>CONCATENATE("          ", "6283", " - ", "PLANT SERVICE")</f>
        <v xml:space="preserve">          6283 - PLANT SERVICE</v>
      </c>
      <c r="C180" s="11"/>
      <c r="D180" s="7"/>
      <c r="E180" s="2"/>
      <c r="F180" s="6">
        <f t="shared" si="96"/>
        <v>0</v>
      </c>
      <c r="G180" s="2"/>
      <c r="H180" s="7">
        <v>0</v>
      </c>
      <c r="I180" s="2"/>
      <c r="J180" s="6">
        <f t="shared" si="97"/>
        <v>0</v>
      </c>
      <c r="K180" s="2"/>
      <c r="L180" s="7">
        <f t="shared" si="98"/>
        <v>0</v>
      </c>
      <c r="M180" s="2"/>
      <c r="N180" s="6">
        <f t="shared" si="99"/>
        <v>0</v>
      </c>
      <c r="O180" s="11"/>
      <c r="P180" s="7">
        <v>130</v>
      </c>
      <c r="Q180" s="2"/>
      <c r="R180" s="6">
        <f t="shared" si="100"/>
        <v>5.5224907983196305E-5</v>
      </c>
      <c r="S180" s="2"/>
      <c r="T180" s="7">
        <v>0</v>
      </c>
      <c r="U180" s="2"/>
      <c r="V180" s="6">
        <f t="shared" si="101"/>
        <v>0</v>
      </c>
      <c r="W180" s="2"/>
      <c r="X180" s="7">
        <f t="shared" si="102"/>
        <v>130</v>
      </c>
      <c r="Y180" s="2"/>
      <c r="Z180" s="6">
        <f t="shared" si="103"/>
        <v>0</v>
      </c>
    </row>
    <row r="181" spans="1:26" s="24" customFormat="1" hidden="1" outlineLevel="2" x14ac:dyDescent="0.25">
      <c r="A181" s="28"/>
      <c r="B181" s="11" t="str">
        <f>CONCATENATE("          ", "6284", " - ", "TRASH REMOVAL EXPENSE")</f>
        <v xml:space="preserve">          6284 - TRASH REMOVAL EXPENSE</v>
      </c>
      <c r="C181" s="11"/>
      <c r="D181" s="7">
        <v>157.59</v>
      </c>
      <c r="E181" s="2"/>
      <c r="F181" s="6">
        <f t="shared" si="96"/>
        <v>9.8426678370357981E-4</v>
      </c>
      <c r="G181" s="2"/>
      <c r="H181" s="7">
        <v>55</v>
      </c>
      <c r="I181" s="2"/>
      <c r="J181" s="6">
        <f t="shared" si="97"/>
        <v>1.3650149158902627E-4</v>
      </c>
      <c r="K181" s="2"/>
      <c r="L181" s="7">
        <f t="shared" si="98"/>
        <v>102.59</v>
      </c>
      <c r="M181" s="2"/>
      <c r="N181" s="6">
        <f t="shared" si="99"/>
        <v>1.8652727272727274</v>
      </c>
      <c r="O181" s="11"/>
      <c r="P181" s="7">
        <v>585.29999999999995</v>
      </c>
      <c r="Q181" s="2"/>
      <c r="R181" s="6">
        <f t="shared" si="100"/>
        <v>2.4863952801972922E-4</v>
      </c>
      <c r="S181" s="2"/>
      <c r="T181" s="7">
        <v>275</v>
      </c>
      <c r="U181" s="2"/>
      <c r="V181" s="6">
        <f t="shared" si="101"/>
        <v>6.8984737816605448E-5</v>
      </c>
      <c r="W181" s="2"/>
      <c r="X181" s="7">
        <f t="shared" si="102"/>
        <v>310.29999999999995</v>
      </c>
      <c r="Y181" s="2"/>
      <c r="Z181" s="6">
        <f t="shared" si="103"/>
        <v>1.1283636363636362</v>
      </c>
    </row>
    <row r="182" spans="1:26" s="24" customFormat="1" hidden="1" outlineLevel="2" x14ac:dyDescent="0.25">
      <c r="A182" s="28"/>
      <c r="B182" s="11" t="str">
        <f>CONCATENATE("          ", "6285", " - ", "JANITORIAL SERVICES")</f>
        <v xml:space="preserve">          6285 - JANITORIAL SERVICES</v>
      </c>
      <c r="C182" s="11"/>
      <c r="D182" s="7">
        <v>-519.85</v>
      </c>
      <c r="E182" s="2"/>
      <c r="F182" s="6">
        <f t="shared" si="96"/>
        <v>-3.2468499746703852E-3</v>
      </c>
      <c r="G182" s="2"/>
      <c r="H182" s="7">
        <v>674</v>
      </c>
      <c r="I182" s="2"/>
      <c r="J182" s="6">
        <f t="shared" si="97"/>
        <v>1.6727637332909764E-3</v>
      </c>
      <c r="K182" s="2"/>
      <c r="L182" s="7">
        <f t="shared" si="98"/>
        <v>-1193.8499999999999</v>
      </c>
      <c r="M182" s="2"/>
      <c r="N182" s="6">
        <f t="shared" si="99"/>
        <v>-1.7712908011869435</v>
      </c>
      <c r="O182" s="11"/>
      <c r="P182" s="7">
        <v>7002.27</v>
      </c>
      <c r="Q182" s="2"/>
      <c r="R182" s="6">
        <f t="shared" si="100"/>
        <v>2.9746132032576617E-3</v>
      </c>
      <c r="S182" s="2"/>
      <c r="T182" s="7">
        <v>2422</v>
      </c>
      <c r="U182" s="2"/>
      <c r="V182" s="6">
        <f t="shared" si="101"/>
        <v>6.0756739997024881E-4</v>
      </c>
      <c r="W182" s="2"/>
      <c r="X182" s="7">
        <f t="shared" si="102"/>
        <v>4580.2700000000004</v>
      </c>
      <c r="Y182" s="2"/>
      <c r="Z182" s="6">
        <f t="shared" si="103"/>
        <v>1.8911106523534271</v>
      </c>
    </row>
    <row r="183" spans="1:26" s="27" customFormat="1" outlineLevel="1" collapsed="1" x14ac:dyDescent="0.25">
      <c r="A183" s="29"/>
      <c r="B183" s="14" t="str">
        <f>CONCATENATE("     ","Subscriptions &amp; Dues                              ")</f>
        <v xml:space="preserve">     Subscriptions &amp; Dues                              </v>
      </c>
      <c r="C183" s="14"/>
      <c r="D183" s="1">
        <f>SUM(OSRRefD22_19x_0)</f>
        <v>865.32</v>
      </c>
      <c r="E183" s="1"/>
      <c r="F183" s="5">
        <f t="shared" ref="F183:F185" si="104">IF(D$12=0,0,D183/D$12)</f>
        <v>5.4045671252895599E-3</v>
      </c>
      <c r="G183" s="1"/>
      <c r="H183" s="1">
        <f>SUM(OSRRefH22_19x_0)</f>
        <v>1100</v>
      </c>
      <c r="I183" s="1"/>
      <c r="J183" s="5">
        <f t="shared" ref="J183:J185" si="105">IF(H$12=0,0,H183/H$12)</f>
        <v>2.7300298317805257E-3</v>
      </c>
      <c r="K183" s="1"/>
      <c r="L183" s="1">
        <f t="shared" ref="L183:L185" si="106">+D183-H183</f>
        <v>-234.67999999999995</v>
      </c>
      <c r="M183" s="1"/>
      <c r="N183" s="5">
        <f t="shared" ref="N183:N185" si="107">IF(H183=0,0,L183/H183)</f>
        <v>-0.2133454545454545</v>
      </c>
      <c r="O183" s="14"/>
      <c r="P183" s="1">
        <f>SUM(OSRRefP22_19x_0)</f>
        <v>1649.09</v>
      </c>
      <c r="Q183" s="1"/>
      <c r="R183" s="5">
        <f t="shared" ref="R183:R185" si="108">IF(P$12=0,0,P183/P$12)</f>
        <v>7.0054495004622452E-4</v>
      </c>
      <c r="S183" s="1"/>
      <c r="T183" s="1">
        <f>SUM(OSRRefT22_19x_0)</f>
        <v>5795</v>
      </c>
      <c r="U183" s="1"/>
      <c r="V183" s="5">
        <f t="shared" ref="V183:V185" si="109">IF(T$12=0,0,T183/T$12)</f>
        <v>1.4536965659899222E-3</v>
      </c>
      <c r="W183" s="1"/>
      <c r="X183" s="1">
        <f t="shared" ref="X183:X185" si="110">+P183-T183</f>
        <v>-4145.91</v>
      </c>
      <c r="Y183" s="1"/>
      <c r="Z183" s="5">
        <f t="shared" ref="Z183:Z185" si="111">IF(T183=0,0,X183/T183)</f>
        <v>-0.71542881794650559</v>
      </c>
    </row>
    <row r="184" spans="1:26" s="24" customFormat="1" hidden="1" outlineLevel="2" x14ac:dyDescent="0.25">
      <c r="A184" s="28"/>
      <c r="B184" s="11" t="str">
        <f>CONCATENATE("          ", "6258", " - ", "MEMBERSHIP DUES")</f>
        <v xml:space="preserve">          6258 - MEMBERSHIP DUES</v>
      </c>
      <c r="C184" s="11"/>
      <c r="D184" s="7">
        <v>790.32</v>
      </c>
      <c r="E184" s="2"/>
      <c r="F184" s="6">
        <f t="shared" si="104"/>
        <v>4.9361363315985358E-3</v>
      </c>
      <c r="G184" s="2"/>
      <c r="H184" s="7">
        <v>1100</v>
      </c>
      <c r="I184" s="2"/>
      <c r="J184" s="6">
        <f t="shared" si="105"/>
        <v>2.7300298317805257E-3</v>
      </c>
      <c r="K184" s="2"/>
      <c r="L184" s="7">
        <f t="shared" si="106"/>
        <v>-309.67999999999995</v>
      </c>
      <c r="M184" s="2"/>
      <c r="N184" s="6">
        <f t="shared" si="107"/>
        <v>-0.28152727272727268</v>
      </c>
      <c r="O184" s="11"/>
      <c r="P184" s="7">
        <v>1423.36</v>
      </c>
      <c r="Q184" s="2"/>
      <c r="R184" s="6">
        <f t="shared" si="108"/>
        <v>6.0465326943817145E-4</v>
      </c>
      <c r="S184" s="2"/>
      <c r="T184" s="7">
        <v>5795</v>
      </c>
      <c r="U184" s="2"/>
      <c r="V184" s="6">
        <f t="shared" si="109"/>
        <v>1.4536965659899222E-3</v>
      </c>
      <c r="W184" s="2"/>
      <c r="X184" s="7">
        <f t="shared" si="110"/>
        <v>-4371.6400000000003</v>
      </c>
      <c r="Y184" s="2"/>
      <c r="Z184" s="6">
        <f t="shared" si="111"/>
        <v>-0.75438136324417604</v>
      </c>
    </row>
    <row r="185" spans="1:26" s="24" customFormat="1" hidden="1" outlineLevel="2" x14ac:dyDescent="0.25">
      <c r="A185" s="28"/>
      <c r="B185" s="11" t="str">
        <f>CONCATENATE("          ", "6275", " - ", "SUBSCRIPTIONS")</f>
        <v xml:space="preserve">          6275 - SUBSCRIPTIONS</v>
      </c>
      <c r="C185" s="11"/>
      <c r="D185" s="7">
        <v>75</v>
      </c>
      <c r="E185" s="2"/>
      <c r="F185" s="6">
        <f t="shared" si="104"/>
        <v>4.6843079369102408E-4</v>
      </c>
      <c r="G185" s="2"/>
      <c r="H185" s="7">
        <v>0</v>
      </c>
      <c r="I185" s="2"/>
      <c r="J185" s="6">
        <f t="shared" si="105"/>
        <v>0</v>
      </c>
      <c r="K185" s="2"/>
      <c r="L185" s="7">
        <f t="shared" si="106"/>
        <v>75</v>
      </c>
      <c r="M185" s="2"/>
      <c r="N185" s="6">
        <f t="shared" si="107"/>
        <v>0</v>
      </c>
      <c r="O185" s="11"/>
      <c r="P185" s="7">
        <v>225.73</v>
      </c>
      <c r="Q185" s="2"/>
      <c r="R185" s="6">
        <f t="shared" si="108"/>
        <v>9.5891680608053092E-5</v>
      </c>
      <c r="S185" s="2"/>
      <c r="T185" s="7">
        <v>0</v>
      </c>
      <c r="U185" s="2"/>
      <c r="V185" s="6">
        <f t="shared" si="109"/>
        <v>0</v>
      </c>
      <c r="W185" s="2"/>
      <c r="X185" s="7">
        <f t="shared" si="110"/>
        <v>225.73</v>
      </c>
      <c r="Y185" s="2"/>
      <c r="Z185" s="6">
        <f t="shared" si="111"/>
        <v>0</v>
      </c>
    </row>
    <row r="186" spans="1:26" s="27" customFormat="1" outlineLevel="1" collapsed="1" x14ac:dyDescent="0.25">
      <c r="A186" s="29"/>
      <c r="B186" s="14" t="str">
        <f>CONCATENATE("     ","Supplies                                          ")</f>
        <v xml:space="preserve">     Supplies                                          </v>
      </c>
      <c r="C186" s="14"/>
      <c r="D186" s="1">
        <f>SUM(OSRRefD22_20x_0)</f>
        <v>23208.799999999996</v>
      </c>
      <c r="E186" s="1"/>
      <c r="F186" s="5">
        <f t="shared" ref="F186:F195" si="112">IF(D$12=0,0,D186/D$12)</f>
        <v>0.14495622139488318</v>
      </c>
      <c r="G186" s="1"/>
      <c r="H186" s="1">
        <f>SUM(OSRRefH22_20x_0)</f>
        <v>7145</v>
      </c>
      <c r="I186" s="1"/>
      <c r="J186" s="5">
        <f t="shared" ref="J186:J195" si="113">IF(H$12=0,0,H186/H$12)</f>
        <v>1.7732784680065321E-2</v>
      </c>
      <c r="K186" s="1"/>
      <c r="L186" s="1">
        <f t="shared" ref="L186:L195" si="114">+D186-H186</f>
        <v>16063.799999999996</v>
      </c>
      <c r="M186" s="1"/>
      <c r="N186" s="5">
        <f t="shared" ref="N186:N195" si="115">IF(H186=0,0,L186/H186)</f>
        <v>2.2482575227431765</v>
      </c>
      <c r="O186" s="14"/>
      <c r="P186" s="1">
        <f>SUM(OSRRefP22_20x_0)</f>
        <v>56598.94</v>
      </c>
      <c r="Q186" s="1"/>
      <c r="R186" s="5">
        <f t="shared" ref="R186:R195" si="116">IF(P$12=0,0,P186/P$12)</f>
        <v>2.4043625026511146E-2</v>
      </c>
      <c r="S186" s="1"/>
      <c r="T186" s="1">
        <f>SUM(OSRRefT22_20x_0)</f>
        <v>88890</v>
      </c>
      <c r="U186" s="1"/>
      <c r="V186" s="5">
        <f t="shared" ref="V186:V195" si="117">IF(T$12=0,0,T186/T$12)</f>
        <v>2.2298375798247488E-2</v>
      </c>
      <c r="W186" s="1"/>
      <c r="X186" s="1">
        <f t="shared" ref="X186:X195" si="118">+P186-T186</f>
        <v>-32291.059999999998</v>
      </c>
      <c r="Y186" s="1"/>
      <c r="Z186" s="5">
        <f t="shared" ref="Z186:Z195" si="119">IF(T186=0,0,X186/T186)</f>
        <v>-0.36326988412644839</v>
      </c>
    </row>
    <row r="187" spans="1:26" s="24" customFormat="1" hidden="1" outlineLevel="2" x14ac:dyDescent="0.25">
      <c r="A187" s="28"/>
      <c r="B187" s="11" t="str">
        <f>CONCATENATE("          ", "6234", " - ", "EXPENDABLE SUPPLIES &amp; EQUIPMEN")</f>
        <v xml:space="preserve">          6234 - EXPENDABLE SUPPLIES &amp; EQUIPMEN</v>
      </c>
      <c r="C187" s="11"/>
      <c r="D187" s="7">
        <v>101.34</v>
      </c>
      <c r="E187" s="2"/>
      <c r="F187" s="6">
        <f t="shared" si="112"/>
        <v>6.3294368843531176E-4</v>
      </c>
      <c r="G187" s="2"/>
      <c r="H187" s="7">
        <v>150</v>
      </c>
      <c r="I187" s="2"/>
      <c r="J187" s="6">
        <f t="shared" si="113"/>
        <v>3.7227679524279891E-4</v>
      </c>
      <c r="K187" s="2"/>
      <c r="L187" s="7">
        <f t="shared" si="114"/>
        <v>-48.66</v>
      </c>
      <c r="M187" s="2"/>
      <c r="N187" s="6">
        <f t="shared" si="115"/>
        <v>-0.32439999999999997</v>
      </c>
      <c r="O187" s="11"/>
      <c r="P187" s="7">
        <v>101.34</v>
      </c>
      <c r="Q187" s="2"/>
      <c r="R187" s="6">
        <f t="shared" si="116"/>
        <v>4.3049939807823951E-5</v>
      </c>
      <c r="S187" s="2"/>
      <c r="T187" s="7">
        <v>600</v>
      </c>
      <c r="U187" s="2"/>
      <c r="V187" s="6">
        <f t="shared" si="117"/>
        <v>1.5051215523623009E-4</v>
      </c>
      <c r="W187" s="2"/>
      <c r="X187" s="7">
        <f t="shared" si="118"/>
        <v>-498.65999999999997</v>
      </c>
      <c r="Y187" s="2"/>
      <c r="Z187" s="6">
        <f t="shared" si="119"/>
        <v>-0.83109999999999995</v>
      </c>
    </row>
    <row r="188" spans="1:26" s="24" customFormat="1" hidden="1" outlineLevel="2" x14ac:dyDescent="0.25">
      <c r="A188" s="28"/>
      <c r="B188" s="11" t="str">
        <f>CONCATENATE("          ", "6235", " - ", "COVID-19 EXPENSES")</f>
        <v xml:space="preserve">          6235 - COVID-19 EXPENSES</v>
      </c>
      <c r="C188" s="11"/>
      <c r="D188" s="7">
        <v>16805.12</v>
      </c>
      <c r="E188" s="2"/>
      <c r="F188" s="6">
        <f t="shared" si="112"/>
        <v>0.10496047599563869</v>
      </c>
      <c r="G188" s="2"/>
      <c r="H188" s="7">
        <v>500</v>
      </c>
      <c r="I188" s="2"/>
      <c r="J188" s="6">
        <f t="shared" si="113"/>
        <v>1.2409226508093298E-3</v>
      </c>
      <c r="K188" s="2"/>
      <c r="L188" s="7">
        <f t="shared" si="114"/>
        <v>16305.119999999999</v>
      </c>
      <c r="M188" s="2"/>
      <c r="N188" s="6">
        <f t="shared" si="115"/>
        <v>32.610239999999997</v>
      </c>
      <c r="O188" s="11"/>
      <c r="P188" s="7">
        <v>25899.79</v>
      </c>
      <c r="Q188" s="2"/>
      <c r="R188" s="6">
        <f t="shared" si="116"/>
        <v>1.1002411688723906E-2</v>
      </c>
      <c r="S188" s="2"/>
      <c r="T188" s="7">
        <v>61600</v>
      </c>
      <c r="U188" s="2"/>
      <c r="V188" s="6">
        <f t="shared" si="117"/>
        <v>1.5452581270919622E-2</v>
      </c>
      <c r="W188" s="2"/>
      <c r="X188" s="7">
        <f t="shared" si="118"/>
        <v>-35700.21</v>
      </c>
      <c r="Y188" s="2"/>
      <c r="Z188" s="6">
        <f t="shared" si="119"/>
        <v>-0.5795488636363636</v>
      </c>
    </row>
    <row r="189" spans="1:26" s="24" customFormat="1" hidden="1" outlineLevel="2" x14ac:dyDescent="0.25">
      <c r="A189" s="28"/>
      <c r="B189" s="11" t="str">
        <f>CONCATENATE("          ", "6237", " - ", "JANITORIAL SUPPLIES")</f>
        <v xml:space="preserve">          6237 - JANITORIAL SUPPLIES</v>
      </c>
      <c r="C189" s="11"/>
      <c r="D189" s="7">
        <v>1109.05</v>
      </c>
      <c r="E189" s="2"/>
      <c r="F189" s="6">
        <f t="shared" si="112"/>
        <v>6.9268422899070696E-3</v>
      </c>
      <c r="G189" s="2"/>
      <c r="H189" s="7">
        <v>270</v>
      </c>
      <c r="I189" s="2"/>
      <c r="J189" s="6">
        <f t="shared" si="113"/>
        <v>6.7009823143703809E-4</v>
      </c>
      <c r="K189" s="2"/>
      <c r="L189" s="7">
        <f t="shared" si="114"/>
        <v>839.05</v>
      </c>
      <c r="M189" s="2"/>
      <c r="N189" s="6">
        <f t="shared" si="115"/>
        <v>3.1075925925925922</v>
      </c>
      <c r="O189" s="11"/>
      <c r="P189" s="7">
        <v>1248.3599999999999</v>
      </c>
      <c r="Q189" s="2"/>
      <c r="R189" s="6">
        <f t="shared" si="116"/>
        <v>5.3031204715309947E-4</v>
      </c>
      <c r="S189" s="2"/>
      <c r="T189" s="7">
        <v>1090</v>
      </c>
      <c r="U189" s="2"/>
      <c r="V189" s="6">
        <f t="shared" si="117"/>
        <v>2.7343041534581798E-4</v>
      </c>
      <c r="W189" s="2"/>
      <c r="X189" s="7">
        <f t="shared" si="118"/>
        <v>158.3599999999999</v>
      </c>
      <c r="Y189" s="2"/>
      <c r="Z189" s="6">
        <f t="shared" si="119"/>
        <v>0.14528440366972467</v>
      </c>
    </row>
    <row r="190" spans="1:26" s="24" customFormat="1" hidden="1" outlineLevel="2" x14ac:dyDescent="0.25">
      <c r="A190" s="28"/>
      <c r="B190" s="11" t="str">
        <f>CONCATENATE("          ", "6241", " - ", "OFFICE EXPENSE")</f>
        <v xml:space="preserve">          6241 - OFFICE EXPENSE</v>
      </c>
      <c r="C190" s="11"/>
      <c r="D190" s="7">
        <v>330.19</v>
      </c>
      <c r="E190" s="2"/>
      <c r="F190" s="6">
        <f t="shared" si="112"/>
        <v>2.0622821835845234E-3</v>
      </c>
      <c r="G190" s="2"/>
      <c r="H190" s="7">
        <v>425</v>
      </c>
      <c r="I190" s="2"/>
      <c r="J190" s="6">
        <f t="shared" si="113"/>
        <v>1.0547842531879303E-3</v>
      </c>
      <c r="K190" s="2"/>
      <c r="L190" s="7">
        <f t="shared" si="114"/>
        <v>-94.81</v>
      </c>
      <c r="M190" s="2"/>
      <c r="N190" s="6">
        <f t="shared" si="115"/>
        <v>-0.22308235294117648</v>
      </c>
      <c r="O190" s="11"/>
      <c r="P190" s="7">
        <v>7809.68</v>
      </c>
      <c r="Q190" s="2"/>
      <c r="R190" s="6">
        <f t="shared" si="116"/>
        <v>3.3176066106016043E-3</v>
      </c>
      <c r="S190" s="2"/>
      <c r="T190" s="7">
        <v>2000</v>
      </c>
      <c r="U190" s="2"/>
      <c r="V190" s="6">
        <f t="shared" si="117"/>
        <v>5.0170718412076692E-4</v>
      </c>
      <c r="W190" s="2"/>
      <c r="X190" s="7">
        <f t="shared" si="118"/>
        <v>5809.68</v>
      </c>
      <c r="Y190" s="2"/>
      <c r="Z190" s="6">
        <f t="shared" si="119"/>
        <v>2.9048400000000001</v>
      </c>
    </row>
    <row r="191" spans="1:26" s="24" customFormat="1" hidden="1" outlineLevel="2" x14ac:dyDescent="0.25">
      <c r="A191" s="28"/>
      <c r="B191" s="11" t="str">
        <f>CONCATENATE("          ", "6243", " - ", "PAPER SUPPLIES")</f>
        <v xml:space="preserve">          6243 - PAPER SUPPLIES</v>
      </c>
      <c r="C191" s="11"/>
      <c r="D191" s="7">
        <v>449.01</v>
      </c>
      <c r="E191" s="2"/>
      <c r="F191" s="6">
        <f t="shared" si="112"/>
        <v>2.8044014756694229E-3</v>
      </c>
      <c r="G191" s="2"/>
      <c r="H191" s="7">
        <v>1450</v>
      </c>
      <c r="I191" s="2"/>
      <c r="J191" s="6">
        <f t="shared" si="113"/>
        <v>3.5986756873470564E-3</v>
      </c>
      <c r="K191" s="2"/>
      <c r="L191" s="7">
        <f t="shared" si="114"/>
        <v>-1000.99</v>
      </c>
      <c r="M191" s="2"/>
      <c r="N191" s="6">
        <f t="shared" si="115"/>
        <v>-0.69033793103448271</v>
      </c>
      <c r="O191" s="11"/>
      <c r="P191" s="7">
        <v>3573.7</v>
      </c>
      <c r="Q191" s="2"/>
      <c r="R191" s="6">
        <f t="shared" si="116"/>
        <v>1.5181327204580664E-3</v>
      </c>
      <c r="S191" s="2"/>
      <c r="T191" s="7">
        <v>4300</v>
      </c>
      <c r="U191" s="2"/>
      <c r="V191" s="6">
        <f t="shared" si="117"/>
        <v>1.078670445859649E-3</v>
      </c>
      <c r="W191" s="2"/>
      <c r="X191" s="7">
        <f t="shared" si="118"/>
        <v>-726.30000000000018</v>
      </c>
      <c r="Y191" s="2"/>
      <c r="Z191" s="6">
        <f t="shared" si="119"/>
        <v>-0.16890697674418609</v>
      </c>
    </row>
    <row r="192" spans="1:26" s="24" customFormat="1" hidden="1" outlineLevel="2" x14ac:dyDescent="0.25">
      <c r="A192" s="28"/>
      <c r="B192" s="11" t="str">
        <f>CONCATENATE("          ", "6244", " - ", "SAFETY SUPPLY EXPENSE")</f>
        <v xml:space="preserve">          6244 - SAFETY SUPPLY EXPENSE</v>
      </c>
      <c r="C192" s="11"/>
      <c r="D192" s="7"/>
      <c r="E192" s="2"/>
      <c r="F192" s="6">
        <f t="shared" si="112"/>
        <v>0</v>
      </c>
      <c r="G192" s="2"/>
      <c r="H192" s="7">
        <v>25</v>
      </c>
      <c r="I192" s="2"/>
      <c r="J192" s="6">
        <f t="shared" si="113"/>
        <v>6.2046132540466485E-5</v>
      </c>
      <c r="K192" s="2"/>
      <c r="L192" s="7">
        <f t="shared" si="114"/>
        <v>-25</v>
      </c>
      <c r="M192" s="2"/>
      <c r="N192" s="6">
        <f t="shared" si="115"/>
        <v>-1</v>
      </c>
      <c r="O192" s="11"/>
      <c r="P192" s="7"/>
      <c r="Q192" s="2"/>
      <c r="R192" s="6">
        <f t="shared" si="116"/>
        <v>0</v>
      </c>
      <c r="S192" s="2"/>
      <c r="T192" s="7">
        <v>50</v>
      </c>
      <c r="U192" s="2"/>
      <c r="V192" s="6">
        <f t="shared" si="117"/>
        <v>1.2542679603019174E-5</v>
      </c>
      <c r="W192" s="2"/>
      <c r="X192" s="7">
        <f t="shared" si="118"/>
        <v>-50</v>
      </c>
      <c r="Y192" s="2"/>
      <c r="Z192" s="6">
        <f t="shared" si="119"/>
        <v>-1</v>
      </c>
    </row>
    <row r="193" spans="1:26" s="24" customFormat="1" hidden="1" outlineLevel="2" x14ac:dyDescent="0.25">
      <c r="A193" s="28"/>
      <c r="B193" s="11" t="str">
        <f>CONCATENATE("          ", "6245", " - ", "PRINTING")</f>
        <v xml:space="preserve">          6245 - PRINTING</v>
      </c>
      <c r="C193" s="11"/>
      <c r="D193" s="7">
        <v>353.09</v>
      </c>
      <c r="E193" s="2"/>
      <c r="F193" s="6">
        <f t="shared" si="112"/>
        <v>2.2053097192581824E-3</v>
      </c>
      <c r="G193" s="2"/>
      <c r="H193" s="7">
        <v>350</v>
      </c>
      <c r="I193" s="2"/>
      <c r="J193" s="6">
        <f t="shared" si="113"/>
        <v>8.6864585556653085E-4</v>
      </c>
      <c r="K193" s="2"/>
      <c r="L193" s="7">
        <f t="shared" si="114"/>
        <v>3.089999999999975</v>
      </c>
      <c r="M193" s="2"/>
      <c r="N193" s="6">
        <f t="shared" si="115"/>
        <v>8.8285714285713576E-3</v>
      </c>
      <c r="O193" s="11"/>
      <c r="P193" s="7">
        <v>414.55</v>
      </c>
      <c r="Q193" s="2"/>
      <c r="R193" s="6">
        <f t="shared" si="116"/>
        <v>1.7610373541872331E-4</v>
      </c>
      <c r="S193" s="2"/>
      <c r="T193" s="7">
        <v>1800</v>
      </c>
      <c r="U193" s="2"/>
      <c r="V193" s="6">
        <f t="shared" si="117"/>
        <v>4.5153646570869025E-4</v>
      </c>
      <c r="W193" s="2"/>
      <c r="X193" s="7">
        <f t="shared" si="118"/>
        <v>-1385.45</v>
      </c>
      <c r="Y193" s="2"/>
      <c r="Z193" s="6">
        <f t="shared" si="119"/>
        <v>-0.76969444444444446</v>
      </c>
    </row>
    <row r="194" spans="1:26" s="24" customFormat="1" hidden="1" outlineLevel="2" x14ac:dyDescent="0.25">
      <c r="A194" s="28"/>
      <c r="B194" s="11" t="str">
        <f>CONCATENATE("          ", "6247", " - ", "STORE SUPPLIES")</f>
        <v xml:space="preserve">          6247 - STORE SUPPLIES</v>
      </c>
      <c r="C194" s="11"/>
      <c r="D194" s="7">
        <v>4061</v>
      </c>
      <c r="E194" s="2"/>
      <c r="F194" s="6">
        <f t="shared" si="112"/>
        <v>2.5363966042389986E-2</v>
      </c>
      <c r="G194" s="2"/>
      <c r="H194" s="7">
        <v>2475</v>
      </c>
      <c r="I194" s="2"/>
      <c r="J194" s="6">
        <f t="shared" si="113"/>
        <v>6.1425671215061825E-3</v>
      </c>
      <c r="K194" s="2"/>
      <c r="L194" s="7">
        <f t="shared" si="114"/>
        <v>1586</v>
      </c>
      <c r="M194" s="2"/>
      <c r="N194" s="6">
        <f t="shared" si="115"/>
        <v>0.64080808080808083</v>
      </c>
      <c r="O194" s="11"/>
      <c r="P194" s="7">
        <v>17551.52</v>
      </c>
      <c r="Q194" s="2"/>
      <c r="R194" s="6">
        <f t="shared" si="116"/>
        <v>7.4560082843479203E-3</v>
      </c>
      <c r="S194" s="2"/>
      <c r="T194" s="7">
        <v>11350</v>
      </c>
      <c r="U194" s="2"/>
      <c r="V194" s="6">
        <f t="shared" si="117"/>
        <v>2.8471882698853524E-3</v>
      </c>
      <c r="W194" s="2"/>
      <c r="X194" s="7">
        <f t="shared" si="118"/>
        <v>6201.52</v>
      </c>
      <c r="Y194" s="2"/>
      <c r="Z194" s="6">
        <f t="shared" si="119"/>
        <v>0.5463894273127754</v>
      </c>
    </row>
    <row r="195" spans="1:26" s="24" customFormat="1" hidden="1" outlineLevel="2" x14ac:dyDescent="0.25">
      <c r="A195" s="28"/>
      <c r="B195" s="11" t="str">
        <f>CONCATENATE("          ", "6248", " - ", "UNIFORMS")</f>
        <v xml:space="preserve">          6248 - UNIFORMS</v>
      </c>
      <c r="C195" s="11"/>
      <c r="D195" s="7"/>
      <c r="E195" s="2"/>
      <c r="F195" s="6">
        <f t="shared" si="112"/>
        <v>0</v>
      </c>
      <c r="G195" s="2"/>
      <c r="H195" s="7">
        <v>1500</v>
      </c>
      <c r="I195" s="2"/>
      <c r="J195" s="6">
        <f t="shared" si="113"/>
        <v>3.7227679524279894E-3</v>
      </c>
      <c r="K195" s="2"/>
      <c r="L195" s="7">
        <f t="shared" si="114"/>
        <v>-1500</v>
      </c>
      <c r="M195" s="2"/>
      <c r="N195" s="6">
        <f t="shared" si="115"/>
        <v>-1</v>
      </c>
      <c r="O195" s="11"/>
      <c r="P195" s="7"/>
      <c r="Q195" s="2"/>
      <c r="R195" s="6">
        <f t="shared" si="116"/>
        <v>0</v>
      </c>
      <c r="S195" s="2"/>
      <c r="T195" s="7">
        <v>6100</v>
      </c>
      <c r="U195" s="2"/>
      <c r="V195" s="6">
        <f t="shared" si="117"/>
        <v>1.5302069115683391E-3</v>
      </c>
      <c r="W195" s="2"/>
      <c r="X195" s="7">
        <f t="shared" si="118"/>
        <v>-6100</v>
      </c>
      <c r="Y195" s="2"/>
      <c r="Z195" s="6">
        <f t="shared" si="119"/>
        <v>-1</v>
      </c>
    </row>
    <row r="196" spans="1:26" s="27" customFormat="1" outlineLevel="1" collapsed="1" x14ac:dyDescent="0.25">
      <c r="A196" s="29"/>
      <c r="B196" s="14" t="str">
        <f>CONCATENATE("     ","Telephone/Data Lines                              ")</f>
        <v xml:space="preserve">     Telephone/Data Lines                              </v>
      </c>
      <c r="C196" s="14"/>
      <c r="D196" s="1">
        <f>SUM(OSRRefD22_21x_0)</f>
        <v>849.33</v>
      </c>
      <c r="E196" s="1"/>
      <c r="F196" s="5">
        <f t="shared" ref="F196:F198" si="120">IF(D$12=0,0,D196/D$12)</f>
        <v>5.3046976800746335E-3</v>
      </c>
      <c r="G196" s="1"/>
      <c r="H196" s="1">
        <f>SUM(OSRRefH22_21x_0)</f>
        <v>2295</v>
      </c>
      <c r="I196" s="1"/>
      <c r="J196" s="5">
        <f t="shared" ref="J196:J198" si="121">IF(H$12=0,0,H196/H$12)</f>
        <v>5.6958349672148233E-3</v>
      </c>
      <c r="K196" s="1"/>
      <c r="L196" s="1">
        <f t="shared" ref="L196:L198" si="122">+D196-H196</f>
        <v>-1445.67</v>
      </c>
      <c r="M196" s="1"/>
      <c r="N196" s="5">
        <f t="shared" ref="N196:N198" si="123">IF(H196=0,0,L196/H196)</f>
        <v>-0.62992156862745097</v>
      </c>
      <c r="O196" s="14"/>
      <c r="P196" s="1">
        <f>SUM(OSRRefP22_21x_0)</f>
        <v>10380.120000000001</v>
      </c>
      <c r="Q196" s="1"/>
      <c r="R196" s="5">
        <f t="shared" ref="R196:R198" si="124">IF(P$12=0,0,P196/P$12)</f>
        <v>4.4095474758041207E-3</v>
      </c>
      <c r="S196" s="1"/>
      <c r="T196" s="1">
        <f>SUM(OSRRefT22_21x_0)</f>
        <v>10680</v>
      </c>
      <c r="U196" s="1"/>
      <c r="V196" s="5">
        <f t="shared" ref="V196:V198" si="125">IF(T$12=0,0,T196/T$12)</f>
        <v>2.6791163632048955E-3</v>
      </c>
      <c r="W196" s="1"/>
      <c r="X196" s="1">
        <f t="shared" ref="X196:X198" si="126">+P196-T196</f>
        <v>-299.8799999999992</v>
      </c>
      <c r="Y196" s="1"/>
      <c r="Z196" s="5">
        <f t="shared" ref="Z196:Z198" si="127">IF(T196=0,0,X196/T196)</f>
        <v>-2.8078651685393183E-2</v>
      </c>
    </row>
    <row r="197" spans="1:26" s="24" customFormat="1" hidden="1" outlineLevel="2" x14ac:dyDescent="0.25">
      <c r="A197" s="28"/>
      <c r="B197" s="11" t="str">
        <f>CONCATENATE("          ", "6303", " - ", "DATA PHONE LINES")</f>
        <v xml:space="preserve">          6303 - DATA PHONE LINES</v>
      </c>
      <c r="C197" s="11"/>
      <c r="D197" s="7"/>
      <c r="E197" s="2"/>
      <c r="F197" s="6">
        <f t="shared" si="120"/>
        <v>0</v>
      </c>
      <c r="G197" s="2"/>
      <c r="H197" s="7">
        <v>630</v>
      </c>
      <c r="I197" s="2"/>
      <c r="J197" s="6">
        <f t="shared" si="121"/>
        <v>1.5635625400197556E-3</v>
      </c>
      <c r="K197" s="2"/>
      <c r="L197" s="7">
        <f t="shared" si="122"/>
        <v>-630</v>
      </c>
      <c r="M197" s="2"/>
      <c r="N197" s="6">
        <f t="shared" si="123"/>
        <v>-1</v>
      </c>
      <c r="O197" s="11"/>
      <c r="P197" s="7">
        <v>1180</v>
      </c>
      <c r="Q197" s="2"/>
      <c r="R197" s="6">
        <f t="shared" si="124"/>
        <v>5.0127224169362798E-4</v>
      </c>
      <c r="S197" s="2"/>
      <c r="T197" s="7">
        <v>2520</v>
      </c>
      <c r="U197" s="2"/>
      <c r="V197" s="6">
        <f t="shared" si="125"/>
        <v>6.3215105199216639E-4</v>
      </c>
      <c r="W197" s="2"/>
      <c r="X197" s="7">
        <f t="shared" si="126"/>
        <v>-1340</v>
      </c>
      <c r="Y197" s="2"/>
      <c r="Z197" s="6">
        <f t="shared" si="127"/>
        <v>-0.53174603174603174</v>
      </c>
    </row>
    <row r="198" spans="1:26" s="24" customFormat="1" hidden="1" outlineLevel="2" x14ac:dyDescent="0.25">
      <c r="A198" s="28"/>
      <c r="B198" s="11" t="str">
        <f>CONCATENATE("          ", "6309", " - ", "TELEPHONE")</f>
        <v xml:space="preserve">          6309 - TELEPHONE</v>
      </c>
      <c r="C198" s="11"/>
      <c r="D198" s="7">
        <v>849.33</v>
      </c>
      <c r="E198" s="2"/>
      <c r="F198" s="6">
        <f t="shared" si="120"/>
        <v>5.3046976800746335E-3</v>
      </c>
      <c r="G198" s="2"/>
      <c r="H198" s="7">
        <v>1665</v>
      </c>
      <c r="I198" s="2"/>
      <c r="J198" s="6">
        <f t="shared" si="121"/>
        <v>4.1322724271950677E-3</v>
      </c>
      <c r="K198" s="2"/>
      <c r="L198" s="7">
        <f t="shared" si="122"/>
        <v>-815.67</v>
      </c>
      <c r="M198" s="2"/>
      <c r="N198" s="6">
        <f t="shared" si="123"/>
        <v>-0.48989189189189186</v>
      </c>
      <c r="O198" s="11"/>
      <c r="P198" s="7">
        <v>9200.1200000000008</v>
      </c>
      <c r="Q198" s="2"/>
      <c r="R198" s="6">
        <f t="shared" si="124"/>
        <v>3.9082752341104924E-3</v>
      </c>
      <c r="S198" s="2"/>
      <c r="T198" s="7">
        <v>8160</v>
      </c>
      <c r="U198" s="2"/>
      <c r="V198" s="6">
        <f t="shared" si="125"/>
        <v>2.0469653112127292E-3</v>
      </c>
      <c r="W198" s="2"/>
      <c r="X198" s="7">
        <f t="shared" si="126"/>
        <v>1040.1200000000008</v>
      </c>
      <c r="Y198" s="2"/>
      <c r="Z198" s="6">
        <f t="shared" si="127"/>
        <v>0.12746568627450991</v>
      </c>
    </row>
    <row r="199" spans="1:26" s="27" customFormat="1" outlineLevel="1" collapsed="1" x14ac:dyDescent="0.25">
      <c r="A199" s="29"/>
      <c r="B199" s="14" t="str">
        <f>CONCATENATE("     ","Training                                          ")</f>
        <v xml:space="preserve">     Training                                          </v>
      </c>
      <c r="C199" s="14"/>
      <c r="D199" s="1">
        <f>SUM(OSRRefD22_22x_0)</f>
        <v>14</v>
      </c>
      <c r="E199" s="1"/>
      <c r="F199" s="5">
        <f t="shared" ref="F199:F204" si="128">IF(D$12=0,0,D199/D$12)</f>
        <v>8.7440414822324497E-5</v>
      </c>
      <c r="G199" s="1"/>
      <c r="H199" s="1">
        <f>SUM(OSRRefH22_22x_0)</f>
        <v>2500</v>
      </c>
      <c r="I199" s="1"/>
      <c r="J199" s="5">
        <f t="shared" ref="J199:J204" si="129">IF(H$12=0,0,H199/H$12)</f>
        <v>6.2046132540466486E-3</v>
      </c>
      <c r="K199" s="1"/>
      <c r="L199" s="1">
        <f t="shared" ref="L199:L204" si="130">+D199-H199</f>
        <v>-2486</v>
      </c>
      <c r="M199" s="1"/>
      <c r="N199" s="5">
        <f t="shared" ref="N199:N204" si="131">IF(H199=0,0,L199/H199)</f>
        <v>-0.99439999999999995</v>
      </c>
      <c r="O199" s="14"/>
      <c r="P199" s="1">
        <f>SUM(OSRRefP22_22x_0)</f>
        <v>145.63</v>
      </c>
      <c r="Q199" s="1"/>
      <c r="R199" s="5">
        <f t="shared" ref="R199:R204" si="132">IF(P$12=0,0,P199/P$12)</f>
        <v>6.1864641150714445E-5</v>
      </c>
      <c r="S199" s="1"/>
      <c r="T199" s="1">
        <f>SUM(OSRRefT22_22x_0)</f>
        <v>2560</v>
      </c>
      <c r="U199" s="1"/>
      <c r="V199" s="5">
        <f t="shared" ref="V199:V204" si="133">IF(T$12=0,0,T199/T$12)</f>
        <v>6.4218519567458166E-4</v>
      </c>
      <c r="W199" s="1"/>
      <c r="X199" s="1">
        <f t="shared" ref="X199:X204" si="134">+P199-T199</f>
        <v>-2414.37</v>
      </c>
      <c r="Y199" s="1"/>
      <c r="Z199" s="5">
        <f t="shared" ref="Z199:Z204" si="135">IF(T199=0,0,X199/T199)</f>
        <v>-0.94311328124999994</v>
      </c>
    </row>
    <row r="200" spans="1:26" s="24" customFormat="1" hidden="1" outlineLevel="2" x14ac:dyDescent="0.25">
      <c r="A200" s="28"/>
      <c r="B200" s="11" t="str">
        <f>CONCATENATE("          ", "6376", " - ", "TRAINING")</f>
        <v xml:space="preserve">          6376 - TRAINING</v>
      </c>
      <c r="C200" s="11"/>
      <c r="D200" s="7">
        <v>14</v>
      </c>
      <c r="E200" s="2"/>
      <c r="F200" s="6">
        <f t="shared" si="128"/>
        <v>8.7440414822324497E-5</v>
      </c>
      <c r="G200" s="2"/>
      <c r="H200" s="7">
        <v>2500</v>
      </c>
      <c r="I200" s="2"/>
      <c r="J200" s="6">
        <f t="shared" si="129"/>
        <v>6.2046132540466486E-3</v>
      </c>
      <c r="K200" s="2"/>
      <c r="L200" s="7">
        <f t="shared" si="130"/>
        <v>-2486</v>
      </c>
      <c r="M200" s="2"/>
      <c r="N200" s="6">
        <f t="shared" si="131"/>
        <v>-0.99439999999999995</v>
      </c>
      <c r="O200" s="11"/>
      <c r="P200" s="7">
        <v>145.63</v>
      </c>
      <c r="Q200" s="2"/>
      <c r="R200" s="6">
        <f t="shared" si="132"/>
        <v>6.1864641150714445E-5</v>
      </c>
      <c r="S200" s="2"/>
      <c r="T200" s="7">
        <v>2560</v>
      </c>
      <c r="U200" s="2"/>
      <c r="V200" s="6">
        <f t="shared" si="133"/>
        <v>6.4218519567458166E-4</v>
      </c>
      <c r="W200" s="2"/>
      <c r="X200" s="7">
        <f t="shared" si="134"/>
        <v>-2414.37</v>
      </c>
      <c r="Y200" s="2"/>
      <c r="Z200" s="6">
        <f t="shared" si="135"/>
        <v>-0.94311328124999994</v>
      </c>
    </row>
    <row r="201" spans="1:26" s="27" customFormat="1" outlineLevel="1" collapsed="1" x14ac:dyDescent="0.25">
      <c r="A201" s="29"/>
      <c r="B201" s="14" t="str">
        <f>CONCATENATE("     ","Travel                                            ")</f>
        <v xml:space="preserve">     Travel                                            </v>
      </c>
      <c r="C201" s="14"/>
      <c r="D201" s="1">
        <f>SUM(OSRRefD22_23x_0)</f>
        <v>80.959999999999994</v>
      </c>
      <c r="E201" s="1"/>
      <c r="F201" s="5">
        <f t="shared" si="128"/>
        <v>5.056554274296708E-4</v>
      </c>
      <c r="G201" s="1"/>
      <c r="H201" s="1">
        <f>SUM(OSRRefH22_23x_0)</f>
        <v>50</v>
      </c>
      <c r="I201" s="1"/>
      <c r="J201" s="5">
        <f t="shared" si="129"/>
        <v>1.2409226508093297E-4</v>
      </c>
      <c r="K201" s="1"/>
      <c r="L201" s="1">
        <f t="shared" si="130"/>
        <v>30.959999999999994</v>
      </c>
      <c r="M201" s="1"/>
      <c r="N201" s="5">
        <f t="shared" si="131"/>
        <v>0.61919999999999986</v>
      </c>
      <c r="O201" s="14"/>
      <c r="P201" s="1">
        <f>SUM(OSRRefP22_23x_0)</f>
        <v>381.93</v>
      </c>
      <c r="Q201" s="1"/>
      <c r="R201" s="5">
        <f t="shared" si="132"/>
        <v>1.6224653158478588E-4</v>
      </c>
      <c r="S201" s="1"/>
      <c r="T201" s="1">
        <f>SUM(OSRRefT22_23x_0)</f>
        <v>200</v>
      </c>
      <c r="U201" s="1"/>
      <c r="V201" s="5">
        <f t="shared" si="133"/>
        <v>5.0170718412076697E-5</v>
      </c>
      <c r="W201" s="1"/>
      <c r="X201" s="1">
        <f t="shared" si="134"/>
        <v>181.93</v>
      </c>
      <c r="Y201" s="1"/>
      <c r="Z201" s="5">
        <f t="shared" si="135"/>
        <v>0.90965000000000007</v>
      </c>
    </row>
    <row r="202" spans="1:26" s="24" customFormat="1" hidden="1" outlineLevel="2" x14ac:dyDescent="0.25">
      <c r="A202" s="28"/>
      <c r="B202" s="11" t="str">
        <f>CONCATENATE("          ", "6292", " - ", "TRAVEL/CONFERENCE")</f>
        <v xml:space="preserve">          6292 - TRAVEL/CONFERENCE</v>
      </c>
      <c r="C202" s="11"/>
      <c r="D202" s="7"/>
      <c r="E202" s="2"/>
      <c r="F202" s="6">
        <f t="shared" si="128"/>
        <v>0</v>
      </c>
      <c r="G202" s="2"/>
      <c r="H202" s="7"/>
      <c r="I202" s="2"/>
      <c r="J202" s="6">
        <f t="shared" si="129"/>
        <v>0</v>
      </c>
      <c r="K202" s="2"/>
      <c r="L202" s="7">
        <f t="shared" si="130"/>
        <v>0</v>
      </c>
      <c r="M202" s="2"/>
      <c r="N202" s="6">
        <f t="shared" si="131"/>
        <v>0</v>
      </c>
      <c r="O202" s="11"/>
      <c r="P202" s="7">
        <v>0.16</v>
      </c>
      <c r="Q202" s="2"/>
      <c r="R202" s="6">
        <f t="shared" si="132"/>
        <v>6.7969117517780076E-8</v>
      </c>
      <c r="S202" s="2"/>
      <c r="T202" s="7"/>
      <c r="U202" s="2"/>
      <c r="V202" s="6">
        <f t="shared" si="133"/>
        <v>0</v>
      </c>
      <c r="W202" s="2"/>
      <c r="X202" s="7">
        <f t="shared" si="134"/>
        <v>0.16</v>
      </c>
      <c r="Y202" s="2"/>
      <c r="Z202" s="6">
        <f t="shared" si="135"/>
        <v>0</v>
      </c>
    </row>
    <row r="203" spans="1:26" s="24" customFormat="1" hidden="1" outlineLevel="2" x14ac:dyDescent="0.25">
      <c r="A203" s="28"/>
      <c r="B203" s="11" t="str">
        <f>CONCATENATE("          ", "6294", " - ", "TRAVEL OPERATIONAL")</f>
        <v xml:space="preserve">          6294 - TRAVEL OPERATIONAL</v>
      </c>
      <c r="C203" s="11"/>
      <c r="D203" s="7">
        <v>80.959999999999994</v>
      </c>
      <c r="E203" s="2"/>
      <c r="F203" s="6">
        <f t="shared" si="128"/>
        <v>5.056554274296708E-4</v>
      </c>
      <c r="G203" s="2"/>
      <c r="H203" s="7">
        <v>25</v>
      </c>
      <c r="I203" s="2"/>
      <c r="J203" s="6">
        <f t="shared" si="129"/>
        <v>6.2046132540466485E-5</v>
      </c>
      <c r="K203" s="2"/>
      <c r="L203" s="7">
        <f t="shared" si="130"/>
        <v>55.959999999999994</v>
      </c>
      <c r="M203" s="2"/>
      <c r="N203" s="6">
        <f t="shared" si="131"/>
        <v>2.2383999999999999</v>
      </c>
      <c r="O203" s="11"/>
      <c r="P203" s="7">
        <v>321.88</v>
      </c>
      <c r="Q203" s="2"/>
      <c r="R203" s="6">
        <f t="shared" si="132"/>
        <v>1.3673687216639405E-4</v>
      </c>
      <c r="S203" s="2"/>
      <c r="T203" s="7">
        <v>100</v>
      </c>
      <c r="U203" s="2"/>
      <c r="V203" s="6">
        <f t="shared" si="133"/>
        <v>2.5085359206038349E-5</v>
      </c>
      <c r="W203" s="2"/>
      <c r="X203" s="7">
        <f t="shared" si="134"/>
        <v>221.88</v>
      </c>
      <c r="Y203" s="2"/>
      <c r="Z203" s="6">
        <f t="shared" si="135"/>
        <v>2.2187999999999999</v>
      </c>
    </row>
    <row r="204" spans="1:26" s="24" customFormat="1" hidden="1" outlineLevel="2" x14ac:dyDescent="0.25">
      <c r="A204" s="28"/>
      <c r="B204" s="11" t="str">
        <f>CONCATENATE("          ", "6298", " - ", "VEHICLE MILEAGE")</f>
        <v xml:space="preserve">          6298 - VEHICLE MILEAGE</v>
      </c>
      <c r="C204" s="11"/>
      <c r="D204" s="7"/>
      <c r="E204" s="2"/>
      <c r="F204" s="6">
        <f t="shared" si="128"/>
        <v>0</v>
      </c>
      <c r="G204" s="2"/>
      <c r="H204" s="7">
        <v>25</v>
      </c>
      <c r="I204" s="2"/>
      <c r="J204" s="6">
        <f t="shared" si="129"/>
        <v>6.2046132540466485E-5</v>
      </c>
      <c r="K204" s="2"/>
      <c r="L204" s="7">
        <f t="shared" si="130"/>
        <v>-25</v>
      </c>
      <c r="M204" s="2"/>
      <c r="N204" s="6">
        <f t="shared" si="131"/>
        <v>-1</v>
      </c>
      <c r="O204" s="11"/>
      <c r="P204" s="7">
        <v>59.89</v>
      </c>
      <c r="Q204" s="2"/>
      <c r="R204" s="6">
        <f t="shared" si="132"/>
        <v>2.5441690300874051E-5</v>
      </c>
      <c r="S204" s="2"/>
      <c r="T204" s="7">
        <v>100</v>
      </c>
      <c r="U204" s="2"/>
      <c r="V204" s="6">
        <f t="shared" si="133"/>
        <v>2.5085359206038349E-5</v>
      </c>
      <c r="W204" s="2"/>
      <c r="X204" s="7">
        <f t="shared" si="134"/>
        <v>-40.11</v>
      </c>
      <c r="Y204" s="2"/>
      <c r="Z204" s="6">
        <f t="shared" si="135"/>
        <v>-0.40110000000000001</v>
      </c>
    </row>
    <row r="205" spans="1:26" s="27" customFormat="1" outlineLevel="1" collapsed="1" x14ac:dyDescent="0.25">
      <c r="A205" s="29"/>
      <c r="B205" s="14" t="str">
        <f>CONCATENATE("     ","Utilities                                         ")</f>
        <v xml:space="preserve">     Utilities                                         </v>
      </c>
      <c r="C205" s="14"/>
      <c r="D205" s="1">
        <f>SUM(OSRRefD22_24x_0)</f>
        <v>5953.05</v>
      </c>
      <c r="E205" s="1"/>
      <c r="F205" s="5">
        <f t="shared" ref="F205:F206" si="136">IF(D$12=0,0,D205/D$12)</f>
        <v>3.7181225818431349E-2</v>
      </c>
      <c r="G205" s="1"/>
      <c r="H205" s="1">
        <f>SUM(OSRRefH22_24x_0)</f>
        <v>6105</v>
      </c>
      <c r="I205" s="1"/>
      <c r="J205" s="5">
        <f t="shared" ref="J205:J206" si="137">IF(H$12=0,0,H205/H$12)</f>
        <v>1.5151665566381917E-2</v>
      </c>
      <c r="K205" s="1"/>
      <c r="L205" s="1">
        <f t="shared" ref="L205:L206" si="138">+D205-H205</f>
        <v>-151.94999999999982</v>
      </c>
      <c r="M205" s="1"/>
      <c r="N205" s="5">
        <f t="shared" ref="N205:N206" si="139">IF(H205=0,0,L205/H205)</f>
        <v>-2.4889434889434861E-2</v>
      </c>
      <c r="O205" s="14"/>
      <c r="P205" s="1">
        <f>SUM(OSRRefP22_24x_0)</f>
        <v>24435.43</v>
      </c>
      <c r="Q205" s="1"/>
      <c r="R205" s="5">
        <f t="shared" ref="R205:R206" si="140">IF(P$12=0,0,P205/P$12)</f>
        <v>1.0380341332921804E-2</v>
      </c>
      <c r="S205" s="1"/>
      <c r="T205" s="1">
        <f>SUM(OSRRefT22_24x_0)</f>
        <v>24420</v>
      </c>
      <c r="U205" s="1"/>
      <c r="V205" s="5">
        <f t="shared" ref="V205:V206" si="141">IF(T$12=0,0,T205/T$12)</f>
        <v>6.1258447181145644E-3</v>
      </c>
      <c r="W205" s="1"/>
      <c r="X205" s="1">
        <f t="shared" ref="X205:X206" si="142">+P205-T205</f>
        <v>15.430000000000291</v>
      </c>
      <c r="Y205" s="1"/>
      <c r="Z205" s="5">
        <f t="shared" ref="Z205:Z206" si="143">IF(T205=0,0,X205/T205)</f>
        <v>6.3185913185914374E-4</v>
      </c>
    </row>
    <row r="206" spans="1:26" s="24" customFormat="1" hidden="1" outlineLevel="2" x14ac:dyDescent="0.25">
      <c r="A206" s="28"/>
      <c r="B206" s="11" t="str">
        <f>CONCATENATE("          ", "6274", " - ", "UTILITIES")</f>
        <v xml:space="preserve">          6274 - UTILITIES</v>
      </c>
      <c r="C206" s="11"/>
      <c r="D206" s="7">
        <v>5953.05</v>
      </c>
      <c r="E206" s="2"/>
      <c r="F206" s="6">
        <f t="shared" si="136"/>
        <v>3.7181225818431349E-2</v>
      </c>
      <c r="G206" s="2"/>
      <c r="H206" s="7">
        <v>6105</v>
      </c>
      <c r="I206" s="2"/>
      <c r="J206" s="6">
        <f t="shared" si="137"/>
        <v>1.5151665566381917E-2</v>
      </c>
      <c r="K206" s="2"/>
      <c r="L206" s="7">
        <f t="shared" si="138"/>
        <v>-151.94999999999982</v>
      </c>
      <c r="M206" s="2"/>
      <c r="N206" s="6">
        <f t="shared" si="139"/>
        <v>-2.4889434889434861E-2</v>
      </c>
      <c r="O206" s="11"/>
      <c r="P206" s="7">
        <v>24435.43</v>
      </c>
      <c r="Q206" s="2"/>
      <c r="R206" s="6">
        <f t="shared" si="140"/>
        <v>1.0380341332921804E-2</v>
      </c>
      <c r="S206" s="2"/>
      <c r="T206" s="7">
        <v>24420</v>
      </c>
      <c r="U206" s="2"/>
      <c r="V206" s="6">
        <f t="shared" si="141"/>
        <v>6.1258447181145644E-3</v>
      </c>
      <c r="W206" s="2"/>
      <c r="X206" s="7">
        <f t="shared" si="142"/>
        <v>15.430000000000291</v>
      </c>
      <c r="Y206" s="2"/>
      <c r="Z206" s="6">
        <f t="shared" si="143"/>
        <v>6.3185913185914374E-4</v>
      </c>
    </row>
    <row r="207" spans="1:26" s="63" customFormat="1" x14ac:dyDescent="0.25">
      <c r="A207" s="36"/>
      <c r="B207" s="36"/>
      <c r="C207" s="36"/>
      <c r="D207" s="1"/>
      <c r="E207" s="1"/>
      <c r="F207" s="5"/>
      <c r="G207" s="1"/>
      <c r="H207" s="1"/>
      <c r="I207" s="1"/>
      <c r="J207" s="5"/>
      <c r="K207" s="1"/>
      <c r="L207" s="1"/>
      <c r="M207" s="1"/>
      <c r="N207" s="5"/>
      <c r="O207" s="36"/>
      <c r="P207" s="1"/>
      <c r="Q207" s="1"/>
      <c r="R207" s="5"/>
      <c r="S207" s="1"/>
      <c r="T207" s="1"/>
      <c r="U207" s="1"/>
      <c r="V207" s="5"/>
      <c r="W207" s="1"/>
      <c r="X207" s="1"/>
      <c r="Y207" s="1"/>
      <c r="Z207" s="5"/>
    </row>
    <row r="208" spans="1:26" s="23" customFormat="1" collapsed="1" x14ac:dyDescent="0.25">
      <c r="A208" s="10"/>
      <c r="B208" s="25" t="s">
        <v>0</v>
      </c>
      <c r="C208" s="10"/>
      <c r="D208" s="4">
        <f>SUM(OSRRefD25x_0)</f>
        <v>30589.780000000002</v>
      </c>
      <c r="E208" s="4"/>
      <c r="F208" s="12">
        <f t="shared" ref="F208:F212" si="144">IF(D$12=0,0,D208/D$12)</f>
        <v>0.19105593232311754</v>
      </c>
      <c r="G208" s="4"/>
      <c r="H208" s="4">
        <f>SUM(OSRRefH25x_0)</f>
        <v>33025</v>
      </c>
      <c r="I208" s="4"/>
      <c r="J208" s="12">
        <f t="shared" ref="J208:J212" si="145">IF(H$12=0,0,H208/H$12)</f>
        <v>8.1962941085956226E-2</v>
      </c>
      <c r="K208" s="4"/>
      <c r="L208" s="4">
        <f t="shared" ref="L208:L212" si="146">+D208-H208</f>
        <v>-2435.2199999999975</v>
      </c>
      <c r="M208" s="4"/>
      <c r="N208" s="12">
        <f t="shared" ref="N208:N212" si="147">IF(H208=0,0,L208/H208)</f>
        <v>-7.3738682816048368E-2</v>
      </c>
      <c r="O208" s="10"/>
      <c r="P208" s="4">
        <f>SUM(OSRRefP25x_0)</f>
        <v>451995.42000000004</v>
      </c>
      <c r="Q208" s="4"/>
      <c r="R208" s="12">
        <f t="shared" ref="R208:R212" si="148">IF(P$12=0,0,P208/P$12)</f>
        <v>0.19201081137173975</v>
      </c>
      <c r="S208" s="4"/>
      <c r="T208" s="4">
        <f>SUM(OSRRefT25x_0)</f>
        <v>231059</v>
      </c>
      <c r="U208" s="4"/>
      <c r="V208" s="12">
        <f t="shared" ref="V208:V212" si="149">IF(T$12=0,0,T208/T$12)</f>
        <v>5.7961980127880147E-2</v>
      </c>
      <c r="W208" s="4"/>
      <c r="X208" s="4">
        <f t="shared" ref="X208:X212" si="150">+P208-T208</f>
        <v>220936.42000000004</v>
      </c>
      <c r="Y208" s="4"/>
      <c r="Z208" s="12">
        <f t="shared" ref="Z208:Z212" si="151">IF(T208=0,0,X208/T208)</f>
        <v>0.95619049679951895</v>
      </c>
    </row>
    <row r="209" spans="1:26" s="24" customFormat="1" hidden="1" outlineLevel="1" x14ac:dyDescent="0.25">
      <c r="A209" s="51"/>
      <c r="B209" s="11" t="str">
        <f>CONCATENATE("          ", "9150", " - ", "MISC. INCOME")</f>
        <v xml:space="preserve">          9150 - MISC. INCOME</v>
      </c>
      <c r="C209" s="11"/>
      <c r="D209" s="2">
        <f>--30327.7</f>
        <v>30327.7</v>
      </c>
      <c r="E209" s="2"/>
      <c r="F209" s="22">
        <f t="shared" si="144"/>
        <v>0.18941904775764362</v>
      </c>
      <c r="G209" s="2"/>
      <c r="H209" s="2">
        <v>17850</v>
      </c>
      <c r="I209" s="2"/>
      <c r="J209" s="22">
        <f t="shared" si="145"/>
        <v>4.4300938633893075E-2</v>
      </c>
      <c r="K209" s="2"/>
      <c r="L209" s="2">
        <f t="shared" si="146"/>
        <v>12477.7</v>
      </c>
      <c r="M209" s="2"/>
      <c r="N209" s="22">
        <f t="shared" si="147"/>
        <v>0.69903081232493003</v>
      </c>
      <c r="O209" s="11"/>
      <c r="P209" s="2">
        <f>--141695.11</f>
        <v>141695.10999999999</v>
      </c>
      <c r="Q209" s="2"/>
      <c r="R209" s="22">
        <f t="shared" si="148"/>
        <v>6.0193072395529831E-2</v>
      </c>
      <c r="S209" s="2"/>
      <c r="T209" s="2">
        <v>78100</v>
      </c>
      <c r="U209" s="2"/>
      <c r="V209" s="22">
        <f t="shared" si="149"/>
        <v>1.959166553991595E-2</v>
      </c>
      <c r="W209" s="2"/>
      <c r="X209" s="2">
        <f t="shared" si="150"/>
        <v>63595.109999999986</v>
      </c>
      <c r="Y209" s="2"/>
      <c r="Z209" s="22">
        <f t="shared" si="151"/>
        <v>0.81427797695262472</v>
      </c>
    </row>
    <row r="210" spans="1:26" s="24" customFormat="1" hidden="1" outlineLevel="1" x14ac:dyDescent="0.25">
      <c r="A210" s="51"/>
      <c r="B210" s="11" t="str">
        <f>CONCATENATE("          ", "9151", " - ", "MISC. INCOME")</f>
        <v xml:space="preserve">          9151 - MISC. INCOME</v>
      </c>
      <c r="C210" s="11"/>
      <c r="D210" s="2">
        <f>0</f>
        <v>0</v>
      </c>
      <c r="E210" s="2"/>
      <c r="F210" s="22">
        <f t="shared" si="144"/>
        <v>0</v>
      </c>
      <c r="G210" s="2"/>
      <c r="H210" s="2">
        <v>15175</v>
      </c>
      <c r="I210" s="2"/>
      <c r="J210" s="22">
        <f t="shared" si="145"/>
        <v>3.7662002452063158E-2</v>
      </c>
      <c r="K210" s="2"/>
      <c r="L210" s="2">
        <f t="shared" si="146"/>
        <v>-15175</v>
      </c>
      <c r="M210" s="2"/>
      <c r="N210" s="22">
        <f t="shared" si="147"/>
        <v>-1</v>
      </c>
      <c r="O210" s="11"/>
      <c r="P210" s="2">
        <f>--147285.39</f>
        <v>147285.39000000001</v>
      </c>
      <c r="Q210" s="2"/>
      <c r="R210" s="22">
        <f t="shared" si="148"/>
        <v>6.2567862384762946E-2</v>
      </c>
      <c r="S210" s="2"/>
      <c r="T210" s="2">
        <v>152959</v>
      </c>
      <c r="U210" s="2"/>
      <c r="V210" s="22">
        <f t="shared" si="149"/>
        <v>3.8370314587964194E-2</v>
      </c>
      <c r="W210" s="2"/>
      <c r="X210" s="2">
        <f t="shared" si="150"/>
        <v>-5673.609999999986</v>
      </c>
      <c r="Y210" s="2"/>
      <c r="Z210" s="22">
        <f t="shared" si="151"/>
        <v>-3.7092358082884865E-2</v>
      </c>
    </row>
    <row r="211" spans="1:26" s="24" customFormat="1" hidden="1" outlineLevel="1" x14ac:dyDescent="0.25">
      <c r="A211" s="51"/>
      <c r="B211" s="11" t="str">
        <f>CONCATENATE("          ", "9152", " - ", "MISC. INCOME")</f>
        <v xml:space="preserve">          9152 - MISC. INCOME</v>
      </c>
      <c r="C211" s="11"/>
      <c r="D211" s="2">
        <f>--262.08</f>
        <v>262.08</v>
      </c>
      <c r="E211" s="2"/>
      <c r="F211" s="22">
        <f t="shared" si="144"/>
        <v>1.6368845654739146E-3</v>
      </c>
      <c r="G211" s="2"/>
      <c r="H211" s="2"/>
      <c r="I211" s="2"/>
      <c r="J211" s="22">
        <f t="shared" si="145"/>
        <v>0</v>
      </c>
      <c r="K211" s="2"/>
      <c r="L211" s="2">
        <f t="shared" si="146"/>
        <v>262.08</v>
      </c>
      <c r="M211" s="2"/>
      <c r="N211" s="22">
        <f t="shared" si="147"/>
        <v>0</v>
      </c>
      <c r="O211" s="11"/>
      <c r="P211" s="2">
        <f>--2351.02</f>
        <v>2351.02</v>
      </c>
      <c r="Q211" s="2"/>
      <c r="R211" s="22">
        <f t="shared" si="148"/>
        <v>9.9872971666657056E-4</v>
      </c>
      <c r="S211" s="2"/>
      <c r="T211" s="2"/>
      <c r="U211" s="2"/>
      <c r="V211" s="22">
        <f t="shared" si="149"/>
        <v>0</v>
      </c>
      <c r="W211" s="2"/>
      <c r="X211" s="2">
        <f t="shared" si="150"/>
        <v>2351.02</v>
      </c>
      <c r="Y211" s="2"/>
      <c r="Z211" s="22">
        <f t="shared" si="151"/>
        <v>0</v>
      </c>
    </row>
    <row r="212" spans="1:26" s="24" customFormat="1" hidden="1" outlineLevel="1" x14ac:dyDescent="0.25">
      <c r="A212" s="51"/>
      <c r="B212" s="11" t="str">
        <f>CONCATENATE("          ", "9163", " - ", "MISC. INCOME")</f>
        <v xml:space="preserve">          9163 - MISC. INCOME</v>
      </c>
      <c r="C212" s="11"/>
      <c r="D212" s="2">
        <f>0</f>
        <v>0</v>
      </c>
      <c r="E212" s="2"/>
      <c r="F212" s="22">
        <f t="shared" si="144"/>
        <v>0</v>
      </c>
      <c r="G212" s="2"/>
      <c r="H212" s="2"/>
      <c r="I212" s="2"/>
      <c r="J212" s="22">
        <f t="shared" si="145"/>
        <v>0</v>
      </c>
      <c r="K212" s="2"/>
      <c r="L212" s="2">
        <f t="shared" si="146"/>
        <v>0</v>
      </c>
      <c r="M212" s="2"/>
      <c r="N212" s="22">
        <f t="shared" si="147"/>
        <v>0</v>
      </c>
      <c r="O212" s="11"/>
      <c r="P212" s="2">
        <f>--160663.9</f>
        <v>160663.9</v>
      </c>
      <c r="Q212" s="2"/>
      <c r="R212" s="22">
        <f t="shared" si="148"/>
        <v>6.82511468747804E-2</v>
      </c>
      <c r="S212" s="2"/>
      <c r="T212" s="2"/>
      <c r="U212" s="2"/>
      <c r="V212" s="22">
        <f t="shared" si="149"/>
        <v>0</v>
      </c>
      <c r="W212" s="2"/>
      <c r="X212" s="2">
        <f t="shared" si="150"/>
        <v>160663.9</v>
      </c>
      <c r="Y212" s="2"/>
      <c r="Z212" s="22">
        <f t="shared" si="151"/>
        <v>0</v>
      </c>
    </row>
    <row r="213" spans="1:26" x14ac:dyDescent="0.25">
      <c r="A213" s="9"/>
      <c r="B213" s="10"/>
      <c r="C213" s="10"/>
      <c r="D213" s="3"/>
      <c r="E213" s="3"/>
      <c r="F213" s="8"/>
      <c r="G213" s="3"/>
      <c r="H213" s="3"/>
      <c r="I213" s="3"/>
      <c r="J213" s="8"/>
      <c r="K213" s="3"/>
      <c r="L213" s="3"/>
      <c r="M213" s="3"/>
      <c r="N213" s="8"/>
      <c r="O213" s="10"/>
      <c r="P213" s="3"/>
      <c r="Q213" s="3"/>
      <c r="R213" s="8"/>
      <c r="S213" s="3"/>
      <c r="T213" s="3"/>
      <c r="U213" s="3"/>
      <c r="V213" s="8"/>
      <c r="W213" s="3"/>
      <c r="X213" s="3"/>
      <c r="Y213" s="3"/>
      <c r="Z213" s="8"/>
    </row>
    <row r="214" spans="1:26" s="23" customFormat="1" x14ac:dyDescent="0.25">
      <c r="A214" s="10"/>
      <c r="B214" s="26" t="s">
        <v>3</v>
      </c>
      <c r="C214" s="26"/>
      <c r="D214" s="20">
        <f>+D108-D110+D208</f>
        <v>-216724.68000000008</v>
      </c>
      <c r="E214" s="13"/>
      <c r="F214" s="19">
        <f>IF(D$12=0,0,D214/D$12)</f>
        <v>-1.3536068515311099</v>
      </c>
      <c r="G214" s="13"/>
      <c r="H214" s="20">
        <f>+H108-H110+H208</f>
        <v>-102160.17130414426</v>
      </c>
      <c r="I214" s="13"/>
      <c r="J214" s="19">
        <f>IF(H$12=0,0,H214/H$12)</f>
        <v>-0.25354574116374784</v>
      </c>
      <c r="K214" s="15"/>
      <c r="L214" s="20">
        <f>+D214-H214</f>
        <v>-114564.50869585582</v>
      </c>
      <c r="M214" s="15"/>
      <c r="N214" s="19">
        <f>IF(H214=0,0,L214/H214)</f>
        <v>1.12142048347572</v>
      </c>
      <c r="O214" s="25"/>
      <c r="P214" s="20">
        <f>+P108-P110+P208</f>
        <v>142334.62</v>
      </c>
      <c r="Q214" s="13"/>
      <c r="R214" s="19">
        <f>IF(P$12=0,0,P214/P$12)</f>
        <v>6.0464740710178558E-2</v>
      </c>
      <c r="S214" s="13"/>
      <c r="T214" s="20">
        <f>+T108-T110+T208</f>
        <v>165938.69437248074</v>
      </c>
      <c r="U214" s="13"/>
      <c r="V214" s="19">
        <f>IF(T$12=0,0,T214/T$12)</f>
        <v>4.1626317545146931E-2</v>
      </c>
      <c r="W214" s="15"/>
      <c r="X214" s="20">
        <f>+P214-T214</f>
        <v>-23604.07437248074</v>
      </c>
      <c r="Y214" s="15"/>
      <c r="Z214" s="19">
        <f>IF(T214=0,0,X214/T214)</f>
        <v>-0.14224575203356088</v>
      </c>
    </row>
    <row r="215" spans="1:26" x14ac:dyDescent="0.25">
      <c r="A215" s="9"/>
      <c r="B215" s="10"/>
      <c r="C215" s="9"/>
      <c r="D215" s="3"/>
      <c r="E215" s="3"/>
      <c r="F215" s="8"/>
      <c r="G215" s="3"/>
      <c r="H215" s="3"/>
      <c r="I215" s="3"/>
      <c r="J215" s="8"/>
      <c r="K215" s="3"/>
      <c r="L215" s="3"/>
      <c r="M215" s="3"/>
      <c r="N215" s="8"/>
      <c r="P215" s="3"/>
      <c r="Q215" s="3"/>
      <c r="R215" s="8"/>
      <c r="S215" s="3"/>
      <c r="T215" s="3"/>
      <c r="U215" s="3"/>
      <c r="V215" s="8"/>
      <c r="W215" s="3"/>
      <c r="X215" s="3"/>
      <c r="Y215" s="3"/>
      <c r="Z215" s="8"/>
    </row>
    <row r="216" spans="1:26" s="23" customFormat="1" x14ac:dyDescent="0.25">
      <c r="A216" s="52"/>
      <c r="B216" s="10" t="s">
        <v>14</v>
      </c>
      <c r="C216" s="10"/>
      <c r="D216" s="4">
        <v>103498.17</v>
      </c>
      <c r="E216" s="4"/>
      <c r="F216" s="12">
        <f>IF(D$12=0,0,D216/D$12)</f>
        <v>0.64642306558224716</v>
      </c>
      <c r="G216" s="4"/>
      <c r="H216" s="4">
        <v>133984</v>
      </c>
      <c r="I216" s="4"/>
      <c r="J216" s="12">
        <f>IF(H$12=0,0,H216/H$12)</f>
        <v>0.33252756089207447</v>
      </c>
      <c r="K216" s="4"/>
      <c r="L216" s="4">
        <f>+D216-H216</f>
        <v>-30485.83</v>
      </c>
      <c r="M216" s="4"/>
      <c r="N216" s="12">
        <f>IF(H216=0,0,L216/H216)</f>
        <v>-0.22753336219250062</v>
      </c>
      <c r="O216" s="10"/>
      <c r="P216" s="4">
        <v>509929.32</v>
      </c>
      <c r="Q216" s="4"/>
      <c r="R216" s="12">
        <f>IF(P$12=0,0,P216/P$12)</f>
        <v>0.21662153673026049</v>
      </c>
      <c r="S216" s="4"/>
      <c r="T216" s="4">
        <v>654156</v>
      </c>
      <c r="U216" s="4"/>
      <c r="V216" s="12">
        <f>IF(T$12=0,0,T216/T$12)</f>
        <v>0.16409738236785221</v>
      </c>
      <c r="W216" s="4"/>
      <c r="X216" s="4">
        <f>+P216-T216</f>
        <v>-144226.68</v>
      </c>
      <c r="Y216" s="4"/>
      <c r="Z216" s="12">
        <f>IF(T216=0,0,X216/T216)</f>
        <v>-0.22047750077963055</v>
      </c>
    </row>
    <row r="217" spans="1:26" x14ac:dyDescent="0.25">
      <c r="A217" s="9"/>
      <c r="B217" s="10"/>
      <c r="C217" s="10"/>
      <c r="D217" s="3"/>
      <c r="E217" s="3"/>
      <c r="F217" s="8"/>
      <c r="G217" s="3"/>
      <c r="H217" s="3"/>
      <c r="I217" s="3"/>
      <c r="J217" s="8"/>
      <c r="K217" s="3"/>
      <c r="L217" s="3"/>
      <c r="M217" s="3"/>
      <c r="N217" s="8"/>
      <c r="O217" s="10"/>
      <c r="P217" s="3"/>
      <c r="Q217" s="3"/>
      <c r="R217" s="8"/>
      <c r="S217" s="3"/>
      <c r="T217" s="3"/>
      <c r="U217" s="3"/>
      <c r="V217" s="8"/>
      <c r="W217" s="3"/>
      <c r="X217" s="3"/>
      <c r="Y217" s="3"/>
      <c r="Z217" s="8"/>
    </row>
    <row r="218" spans="1:26" s="23" customFormat="1" ht="15.75" thickBot="1" x14ac:dyDescent="0.3">
      <c r="A218" s="10"/>
      <c r="B218" s="26" t="s">
        <v>4</v>
      </c>
      <c r="C218" s="26"/>
      <c r="D218" s="34">
        <f>+D214-D216</f>
        <v>-320222.85000000009</v>
      </c>
      <c r="E218" s="13"/>
      <c r="F218" s="35">
        <f>IF(D$12=0,0,D218/D$12)</f>
        <v>-2.0000299171133573</v>
      </c>
      <c r="G218" s="13"/>
      <c r="H218" s="34">
        <f>+H214-H216</f>
        <v>-236144.17130414426</v>
      </c>
      <c r="I218" s="13"/>
      <c r="J218" s="35">
        <f>IF(H$12=0,0,H218/H$12)</f>
        <v>-0.58607330205582231</v>
      </c>
      <c r="K218" s="15"/>
      <c r="L218" s="34">
        <f>D218-H218</f>
        <v>-84078.678695855837</v>
      </c>
      <c r="M218" s="15"/>
      <c r="N218" s="35">
        <f>IF(H218=0,0,L218/H218)</f>
        <v>0.35604807957578533</v>
      </c>
      <c r="O218" s="25"/>
      <c r="P218" s="34">
        <f>+P214-P216</f>
        <v>-367594.7</v>
      </c>
      <c r="Q218" s="13"/>
      <c r="R218" s="35">
        <f>IF(P$12=0,0,P218/P$12)</f>
        <v>-0.15615679602008195</v>
      </c>
      <c r="S218" s="13"/>
      <c r="T218" s="34">
        <f>+T214-T216</f>
        <v>-488217.30562751926</v>
      </c>
      <c r="U218" s="13"/>
      <c r="V218" s="35">
        <f>IF(T$12=0,0,T218/T$12)</f>
        <v>-0.12247106482270528</v>
      </c>
      <c r="W218" s="15"/>
      <c r="X218" s="34">
        <f>P218-T218</f>
        <v>120622.60562751925</v>
      </c>
      <c r="Y218" s="15"/>
      <c r="Z218" s="35">
        <f>IF(T218=0,0,X218/T218)</f>
        <v>-0.24706745180300332</v>
      </c>
    </row>
    <row r="219" spans="1:26" ht="15.75" thickTop="1" x14ac:dyDescent="0.25">
      <c r="A219" s="9"/>
      <c r="B219" s="9"/>
      <c r="C219" s="9"/>
      <c r="D219" s="3"/>
      <c r="E219" s="3"/>
      <c r="F219" s="8"/>
      <c r="G219" s="3"/>
      <c r="H219" s="3"/>
      <c r="I219" s="3"/>
      <c r="J219" s="8"/>
      <c r="K219" s="3"/>
      <c r="L219" s="3"/>
      <c r="M219" s="3"/>
      <c r="N219" s="8"/>
      <c r="P219" s="3"/>
      <c r="Q219" s="3"/>
      <c r="R219" s="8"/>
      <c r="S219" s="3"/>
      <c r="T219" s="3"/>
      <c r="U219" s="3"/>
      <c r="V219" s="8"/>
      <c r="W219" s="3"/>
      <c r="X219" s="3"/>
      <c r="Y219" s="3"/>
      <c r="Z219" s="8"/>
    </row>
    <row r="220" spans="1:26" x14ac:dyDescent="0.25">
      <c r="A220" s="9"/>
      <c r="B220" s="9"/>
      <c r="C220" s="9"/>
      <c r="D220" s="3"/>
      <c r="E220" s="3"/>
      <c r="F220" s="8"/>
      <c r="G220" s="3"/>
      <c r="H220" s="3"/>
      <c r="I220" s="3"/>
      <c r="J220" s="8"/>
      <c r="K220" s="3"/>
      <c r="L220" s="3"/>
      <c r="M220" s="3"/>
      <c r="N220" s="8"/>
      <c r="P220" s="3"/>
      <c r="Q220" s="3"/>
      <c r="R220" s="8"/>
      <c r="S220" s="3"/>
      <c r="T220" s="3"/>
      <c r="U220" s="3"/>
      <c r="V220" s="8"/>
      <c r="W220" s="3"/>
      <c r="X220" s="3"/>
      <c r="Y220" s="3"/>
      <c r="Z220" s="8"/>
    </row>
    <row r="221" spans="1:26" s="23" customFormat="1" ht="15.75" thickBot="1" x14ac:dyDescent="0.3">
      <c r="A221" s="10"/>
      <c r="B221" s="26" t="s">
        <v>5</v>
      </c>
      <c r="C221" s="26"/>
      <c r="D221" s="30">
        <f>SUM(D218:D220)</f>
        <v>-320222.85000000009</v>
      </c>
      <c r="E221" s="13"/>
      <c r="F221" s="32">
        <f>IF(D$12=0,0,D221/D$12)</f>
        <v>-2.0000299171133573</v>
      </c>
      <c r="G221" s="13"/>
      <c r="H221" s="30">
        <f>SUM(H218:H220)</f>
        <v>-236144.17130414426</v>
      </c>
      <c r="I221" s="13"/>
      <c r="J221" s="32">
        <f>IF(H$12=0,0,H221/H$12)</f>
        <v>-0.58607330205582231</v>
      </c>
      <c r="K221" s="15"/>
      <c r="L221" s="30">
        <f>+D221-H221</f>
        <v>-84078.678695855837</v>
      </c>
      <c r="M221" s="15"/>
      <c r="N221" s="32">
        <f>IF(H221=0,0,L221/H221)</f>
        <v>0.35604807957578533</v>
      </c>
      <c r="O221" s="25"/>
      <c r="P221" s="30">
        <f>SUM(P218:P220)</f>
        <v>-367594.7</v>
      </c>
      <c r="Q221" s="13"/>
      <c r="R221" s="32">
        <f>IF(P$12=0,0,P221/P$12)</f>
        <v>-0.15615679602008195</v>
      </c>
      <c r="S221" s="13"/>
      <c r="T221" s="30">
        <f>SUM(T218:T220)</f>
        <v>-488217.30562751926</v>
      </c>
      <c r="U221" s="13"/>
      <c r="V221" s="32">
        <f>IF(T$12=0,0,T221/T$12)</f>
        <v>-0.12247106482270528</v>
      </c>
      <c r="W221" s="15"/>
      <c r="X221" s="30">
        <f>+P221-T221</f>
        <v>120622.60562751925</v>
      </c>
      <c r="Y221" s="15"/>
      <c r="Z221" s="32">
        <f>IF(T221=0,0,X221/T221)</f>
        <v>-0.24706745180300332</v>
      </c>
    </row>
    <row r="222" spans="1:26" ht="15.75" thickTop="1" x14ac:dyDescent="0.25">
      <c r="A222" s="9"/>
      <c r="C222" s="9"/>
      <c r="D222" s="17"/>
      <c r="E222" s="17"/>
      <c r="G222" s="17"/>
      <c r="H222" s="17"/>
      <c r="I222" s="17"/>
      <c r="J222" s="42"/>
      <c r="K222" s="17"/>
      <c r="L222" s="17"/>
      <c r="M222" s="17"/>
      <c r="P222" s="17"/>
      <c r="Q222" s="17"/>
      <c r="R222" s="42"/>
      <c r="S222" s="17"/>
      <c r="T222" s="17"/>
      <c r="U222" s="17"/>
      <c r="V222" s="42"/>
      <c r="W222" s="17"/>
      <c r="X222" s="17"/>
    </row>
    <row r="223" spans="1:26" x14ac:dyDescent="0.25">
      <c r="A223" s="9"/>
      <c r="B223" s="60">
        <v>44151.567727511574</v>
      </c>
      <c r="D223" s="17"/>
      <c r="E223" s="17"/>
      <c r="G223" s="17"/>
      <c r="H223" s="17"/>
      <c r="I223" s="17"/>
      <c r="J223" s="42"/>
      <c r="K223" s="17"/>
      <c r="L223" s="17"/>
      <c r="M223" s="17"/>
      <c r="P223" s="17"/>
      <c r="Q223" s="17"/>
      <c r="R223" s="42"/>
      <c r="S223" s="17"/>
      <c r="T223" s="17"/>
      <c r="U223" s="17"/>
      <c r="V223" s="42"/>
      <c r="W223" s="17"/>
      <c r="X223" s="17"/>
    </row>
    <row r="224" spans="1:26" x14ac:dyDescent="0.25">
      <c r="A224" s="9"/>
      <c r="B224" s="58" t="s">
        <v>314</v>
      </c>
      <c r="D224" s="17"/>
      <c r="E224" s="17"/>
      <c r="G224" s="17"/>
      <c r="H224" s="17"/>
      <c r="I224" s="17"/>
      <c r="J224" s="42"/>
      <c r="K224" s="17"/>
      <c r="L224" s="17"/>
      <c r="M224" s="17"/>
      <c r="P224" s="17"/>
      <c r="Q224" s="17"/>
      <c r="R224" s="42"/>
      <c r="S224" s="17"/>
      <c r="T224" s="17"/>
      <c r="U224" s="17"/>
      <c r="V224" s="42"/>
      <c r="W224" s="17"/>
      <c r="X224" s="17"/>
    </row>
    <row r="225" spans="1:24" x14ac:dyDescent="0.25">
      <c r="A225" s="9"/>
      <c r="B225" s="53"/>
      <c r="D225" s="17"/>
      <c r="E225" s="17"/>
      <c r="G225" s="17"/>
      <c r="H225" s="17"/>
      <c r="I225" s="17"/>
      <c r="J225" s="42"/>
      <c r="K225" s="17"/>
      <c r="L225" s="17"/>
      <c r="M225" s="17"/>
      <c r="P225" s="17"/>
      <c r="Q225" s="17"/>
      <c r="R225" s="42"/>
      <c r="S225" s="17"/>
      <c r="T225" s="17"/>
      <c r="U225" s="17"/>
      <c r="V225" s="42"/>
      <c r="W225" s="17"/>
      <c r="X225" s="17"/>
    </row>
    <row r="226" spans="1:24" x14ac:dyDescent="0.25">
      <c r="D226" s="17"/>
      <c r="E226" s="17"/>
      <c r="G226" s="17"/>
      <c r="H226" s="17"/>
      <c r="I226" s="17"/>
      <c r="J226" s="42"/>
      <c r="K226" s="17"/>
      <c r="L226" s="17"/>
      <c r="M226" s="17"/>
      <c r="P226" s="17"/>
      <c r="Q226" s="17"/>
      <c r="R226" s="42"/>
      <c r="S226" s="17"/>
      <c r="T226" s="17"/>
      <c r="U226" s="17"/>
      <c r="V226" s="42"/>
      <c r="W226" s="17"/>
      <c r="X226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297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4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332945.8299999999</v>
      </c>
      <c r="E12" s="4"/>
      <c r="F12" s="12"/>
      <c r="G12" s="4"/>
      <c r="H12" s="4">
        <f>SUM(OSRRefH13x_0)</f>
        <v>534530</v>
      </c>
      <c r="I12" s="4"/>
      <c r="J12" s="12"/>
      <c r="K12" s="4"/>
      <c r="L12" s="4">
        <f t="shared" ref="L12:L87" si="0">+D12-H12</f>
        <v>-201584.1700000001</v>
      </c>
      <c r="M12" s="4"/>
      <c r="N12" s="12">
        <f t="shared" ref="N12:N87" si="1">IF(H12=0,0,L12/H12)</f>
        <v>-0.37712414644641107</v>
      </c>
      <c r="O12" s="10"/>
      <c r="P12" s="4">
        <f>SUM(OSRRefP13x_0)</f>
        <v>3490131.790000001</v>
      </c>
      <c r="Q12" s="4"/>
      <c r="R12" s="12"/>
      <c r="S12" s="4"/>
      <c r="T12" s="4">
        <f>SUM(OSRRefT13x_0)</f>
        <v>5190954</v>
      </c>
      <c r="U12" s="4"/>
      <c r="V12" s="12"/>
      <c r="W12" s="4"/>
      <c r="X12" s="4">
        <f t="shared" ref="X12:X87" si="2">+P12-T12</f>
        <v>-1700822.209999999</v>
      </c>
      <c r="Y12" s="4"/>
      <c r="Z12" s="12">
        <f t="shared" ref="Z12:Z87" si="3">IF(T12=0,0,X12/T12)</f>
        <v>-0.32765118126648762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-11561.63</f>
        <v>-11561.63</v>
      </c>
      <c r="E13" s="2"/>
      <c r="F13" s="22"/>
      <c r="G13" s="2"/>
      <c r="H13" s="2">
        <v>504449</v>
      </c>
      <c r="I13" s="2"/>
      <c r="J13" s="22"/>
      <c r="K13" s="2"/>
      <c r="L13" s="2">
        <f t="shared" si="0"/>
        <v>-516010.63</v>
      </c>
      <c r="M13" s="2"/>
      <c r="N13" s="22">
        <f t="shared" si="1"/>
        <v>-1.0229193238563263</v>
      </c>
      <c r="O13" s="11"/>
      <c r="P13" s="2">
        <f>-49362.41</f>
        <v>-49362.41</v>
      </c>
      <c r="Q13" s="2"/>
      <c r="R13" s="22"/>
      <c r="S13" s="2"/>
      <c r="T13" s="2">
        <v>5083732</v>
      </c>
      <c r="U13" s="2"/>
      <c r="V13" s="22"/>
      <c r="W13" s="2"/>
      <c r="X13" s="2">
        <f t="shared" si="2"/>
        <v>-5133094.41</v>
      </c>
      <c r="Y13" s="2"/>
      <c r="Z13" s="22">
        <f t="shared" si="3"/>
        <v>-1.0097098765237822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--17630.93</f>
        <v>17630.93</v>
      </c>
      <c r="E14" s="2"/>
      <c r="F14" s="22"/>
      <c r="G14" s="2"/>
      <c r="H14" s="2"/>
      <c r="I14" s="2"/>
      <c r="J14" s="22"/>
      <c r="K14" s="2"/>
      <c r="L14" s="2">
        <f t="shared" si="0"/>
        <v>17630.93</v>
      </c>
      <c r="M14" s="2"/>
      <c r="N14" s="22">
        <f t="shared" si="1"/>
        <v>0</v>
      </c>
      <c r="O14" s="11"/>
      <c r="P14" s="2">
        <f>--712327.57</f>
        <v>712327.57</v>
      </c>
      <c r="Q14" s="2"/>
      <c r="R14" s="22"/>
      <c r="S14" s="2"/>
      <c r="T14" s="2"/>
      <c r="U14" s="2"/>
      <c r="V14" s="22"/>
      <c r="W14" s="2"/>
      <c r="X14" s="2">
        <f t="shared" si="2"/>
        <v>712327.57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--2483.62</f>
        <v>2483.62</v>
      </c>
      <c r="E15" s="2"/>
      <c r="F15" s="22"/>
      <c r="G15" s="2"/>
      <c r="H15" s="2"/>
      <c r="I15" s="2"/>
      <c r="J15" s="22"/>
      <c r="K15" s="2"/>
      <c r="L15" s="2">
        <f t="shared" si="0"/>
        <v>2483.62</v>
      </c>
      <c r="M15" s="2"/>
      <c r="N15" s="22">
        <f t="shared" si="1"/>
        <v>0</v>
      </c>
      <c r="O15" s="11"/>
      <c r="P15" s="2">
        <f>--319139.52</f>
        <v>319139.52</v>
      </c>
      <c r="Q15" s="2"/>
      <c r="R15" s="22"/>
      <c r="S15" s="2"/>
      <c r="T15" s="2"/>
      <c r="U15" s="2"/>
      <c r="V15" s="22"/>
      <c r="W15" s="2"/>
      <c r="X15" s="2">
        <f t="shared" si="2"/>
        <v>319139.52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22"/>
      <c r="G16" s="2"/>
      <c r="H16" s="2"/>
      <c r="I16" s="2"/>
      <c r="J16" s="22"/>
      <c r="K16" s="2"/>
      <c r="L16" s="2">
        <f t="shared" si="0"/>
        <v>70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22"/>
      <c r="G17" s="2"/>
      <c r="H17" s="2"/>
      <c r="I17" s="2"/>
      <c r="J17" s="22"/>
      <c r="K17" s="2"/>
      <c r="L17" s="2">
        <f t="shared" si="0"/>
        <v>354.45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--157.47</f>
        <v>157.47</v>
      </c>
      <c r="E18" s="2"/>
      <c r="F18" s="22"/>
      <c r="G18" s="2"/>
      <c r="H18" s="2"/>
      <c r="I18" s="2"/>
      <c r="J18" s="22"/>
      <c r="K18" s="2"/>
      <c r="L18" s="2">
        <f t="shared" si="0"/>
        <v>157.47</v>
      </c>
      <c r="M18" s="2"/>
      <c r="N18" s="22">
        <f t="shared" si="1"/>
        <v>0</v>
      </c>
      <c r="O18" s="11"/>
      <c r="P18" s="2">
        <f>--197.37</f>
        <v>197.37</v>
      </c>
      <c r="Q18" s="2"/>
      <c r="R18" s="22"/>
      <c r="S18" s="2"/>
      <c r="T18" s="2"/>
      <c r="U18" s="2"/>
      <c r="V18" s="22"/>
      <c r="W18" s="2"/>
      <c r="X18" s="2">
        <f t="shared" si="2"/>
        <v>197.37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</f>
        <v>35.799999999999997</v>
      </c>
      <c r="E19" s="2"/>
      <c r="F19" s="22"/>
      <c r="G19" s="2"/>
      <c r="H19" s="2"/>
      <c r="I19" s="2"/>
      <c r="J19" s="22"/>
      <c r="K19" s="2"/>
      <c r="L19" s="2">
        <f t="shared" si="0"/>
        <v>35.799999999999997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0</f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--20.8</f>
        <v>20.8</v>
      </c>
      <c r="E21" s="2"/>
      <c r="F21" s="22"/>
      <c r="G21" s="2"/>
      <c r="H21" s="2"/>
      <c r="I21" s="2"/>
      <c r="J21" s="22"/>
      <c r="K21" s="2"/>
      <c r="L21" s="2">
        <f t="shared" si="0"/>
        <v>20.8</v>
      </c>
      <c r="M21" s="2"/>
      <c r="N21" s="22">
        <f t="shared" si="1"/>
        <v>0</v>
      </c>
      <c r="O21" s="11"/>
      <c r="P21" s="2">
        <f>--278.83</f>
        <v>278.83</v>
      </c>
      <c r="Q21" s="2"/>
      <c r="R21" s="22"/>
      <c r="S21" s="2"/>
      <c r="T21" s="2"/>
      <c r="U21" s="2"/>
      <c r="V21" s="22"/>
      <c r="W21" s="2"/>
      <c r="X21" s="2">
        <f t="shared" si="2"/>
        <v>278.83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--2328.89</f>
        <v>2328.89</v>
      </c>
      <c r="E22" s="2"/>
      <c r="F22" s="22"/>
      <c r="G22" s="2"/>
      <c r="H22" s="2"/>
      <c r="I22" s="2"/>
      <c r="J22" s="22"/>
      <c r="K22" s="2"/>
      <c r="L22" s="2">
        <f t="shared" si="0"/>
        <v>2328.89</v>
      </c>
      <c r="M22" s="2"/>
      <c r="N22" s="22">
        <f t="shared" si="1"/>
        <v>0</v>
      </c>
      <c r="O22" s="11"/>
      <c r="P22" s="2">
        <f>--35003.5</f>
        <v>35003.5</v>
      </c>
      <c r="Q22" s="2"/>
      <c r="R22" s="22"/>
      <c r="S22" s="2"/>
      <c r="T22" s="2"/>
      <c r="U22" s="2"/>
      <c r="V22" s="22"/>
      <c r="W22" s="2"/>
      <c r="X22" s="2">
        <f t="shared" si="2"/>
        <v>35003.5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--1769.95</f>
        <v>1769.95</v>
      </c>
      <c r="E23" s="2"/>
      <c r="F23" s="22"/>
      <c r="G23" s="2"/>
      <c r="H23" s="2"/>
      <c r="I23" s="2"/>
      <c r="J23" s="22"/>
      <c r="K23" s="2"/>
      <c r="L23" s="2">
        <f t="shared" si="0"/>
        <v>1769.95</v>
      </c>
      <c r="M23" s="2"/>
      <c r="N23" s="22">
        <f t="shared" si="1"/>
        <v>0</v>
      </c>
      <c r="O23" s="11"/>
      <c r="P23" s="2">
        <f>--14268.85</f>
        <v>14268.85</v>
      </c>
      <c r="Q23" s="2"/>
      <c r="R23" s="22"/>
      <c r="S23" s="2"/>
      <c r="T23" s="2"/>
      <c r="U23" s="2"/>
      <c r="V23" s="22"/>
      <c r="W23" s="2"/>
      <c r="X23" s="2">
        <f t="shared" si="2"/>
        <v>14268.85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--429.8</f>
        <v>429.8</v>
      </c>
      <c r="E24" s="2"/>
      <c r="F24" s="22"/>
      <c r="G24" s="2"/>
      <c r="H24" s="2"/>
      <c r="I24" s="2"/>
      <c r="J24" s="22"/>
      <c r="K24" s="2"/>
      <c r="L24" s="2">
        <f t="shared" si="0"/>
        <v>429.8</v>
      </c>
      <c r="M24" s="2"/>
      <c r="N24" s="22">
        <f t="shared" si="1"/>
        <v>0</v>
      </c>
      <c r="O24" s="11"/>
      <c r="P24" s="2">
        <f>--1667.96</f>
        <v>1667.96</v>
      </c>
      <c r="Q24" s="2"/>
      <c r="R24" s="22"/>
      <c r="S24" s="2"/>
      <c r="T24" s="2"/>
      <c r="U24" s="2"/>
      <c r="V24" s="22"/>
      <c r="W24" s="2"/>
      <c r="X24" s="2">
        <f t="shared" si="2"/>
        <v>1667.96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--54384.72</f>
        <v>54384.72</v>
      </c>
      <c r="E26" s="2"/>
      <c r="F26" s="22"/>
      <c r="G26" s="2"/>
      <c r="H26" s="2"/>
      <c r="I26" s="2"/>
      <c r="J26" s="22"/>
      <c r="K26" s="2"/>
      <c r="L26" s="2">
        <f t="shared" si="0"/>
        <v>54384.72</v>
      </c>
      <c r="M26" s="2"/>
      <c r="N26" s="22">
        <f t="shared" si="1"/>
        <v>0</v>
      </c>
      <c r="O26" s="11"/>
      <c r="P26" s="2">
        <f>--382804.91</f>
        <v>382804.91</v>
      </c>
      <c r="Q26" s="2"/>
      <c r="R26" s="22"/>
      <c r="S26" s="2"/>
      <c r="T26" s="2"/>
      <c r="U26" s="2"/>
      <c r="V26" s="22"/>
      <c r="W26" s="2"/>
      <c r="X26" s="2">
        <f t="shared" si="2"/>
        <v>382804.91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--22053.6</f>
        <v>22053.599999999999</v>
      </c>
      <c r="E27" s="2"/>
      <c r="F27" s="22"/>
      <c r="G27" s="2"/>
      <c r="H27" s="2"/>
      <c r="I27" s="2"/>
      <c r="J27" s="22"/>
      <c r="K27" s="2"/>
      <c r="L27" s="2">
        <f t="shared" si="0"/>
        <v>22053.599999999999</v>
      </c>
      <c r="M27" s="2"/>
      <c r="N27" s="22">
        <f t="shared" si="1"/>
        <v>0</v>
      </c>
      <c r="O27" s="11"/>
      <c r="P27" s="2">
        <f>--153087.22</f>
        <v>153087.22</v>
      </c>
      <c r="Q27" s="2"/>
      <c r="R27" s="22"/>
      <c r="S27" s="2"/>
      <c r="T27" s="2"/>
      <c r="U27" s="2"/>
      <c r="V27" s="22"/>
      <c r="W27" s="2"/>
      <c r="X27" s="2">
        <f t="shared" si="2"/>
        <v>153087.22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--6854.18</f>
        <v>6854.18</v>
      </c>
      <c r="E28" s="2"/>
      <c r="F28" s="22"/>
      <c r="G28" s="2"/>
      <c r="H28" s="2"/>
      <c r="I28" s="2"/>
      <c r="J28" s="22"/>
      <c r="K28" s="2"/>
      <c r="L28" s="2">
        <f t="shared" si="0"/>
        <v>6854.18</v>
      </c>
      <c r="M28" s="2"/>
      <c r="N28" s="22">
        <f t="shared" si="1"/>
        <v>0</v>
      </c>
      <c r="O28" s="11"/>
      <c r="P28" s="2">
        <f>--54783.68</f>
        <v>54783.68</v>
      </c>
      <c r="Q28" s="2"/>
      <c r="R28" s="22"/>
      <c r="S28" s="2"/>
      <c r="T28" s="2"/>
      <c r="U28" s="2"/>
      <c r="V28" s="22"/>
      <c r="W28" s="2"/>
      <c r="X28" s="2">
        <f t="shared" si="2"/>
        <v>54783.68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--30454.88</f>
        <v>30454.880000000001</v>
      </c>
      <c r="E29" s="2"/>
      <c r="F29" s="22"/>
      <c r="G29" s="2"/>
      <c r="H29" s="2"/>
      <c r="I29" s="2"/>
      <c r="J29" s="22"/>
      <c r="K29" s="2"/>
      <c r="L29" s="2">
        <f t="shared" si="0"/>
        <v>30454.880000000001</v>
      </c>
      <c r="M29" s="2"/>
      <c r="N29" s="22">
        <f t="shared" si="1"/>
        <v>0</v>
      </c>
      <c r="O29" s="11"/>
      <c r="P29" s="2">
        <f>--40246.04</f>
        <v>40246.04</v>
      </c>
      <c r="Q29" s="2"/>
      <c r="R29" s="22"/>
      <c r="S29" s="2"/>
      <c r="T29" s="2"/>
      <c r="U29" s="2"/>
      <c r="V29" s="22"/>
      <c r="W29" s="2"/>
      <c r="X29" s="2">
        <f t="shared" si="2"/>
        <v>40246.04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--1157.64</f>
        <v>1157.6400000000001</v>
      </c>
      <c r="E30" s="2"/>
      <c r="F30" s="22"/>
      <c r="G30" s="2"/>
      <c r="H30" s="2"/>
      <c r="I30" s="2"/>
      <c r="J30" s="22"/>
      <c r="K30" s="2"/>
      <c r="L30" s="2">
        <f t="shared" si="0"/>
        <v>1157.6400000000001</v>
      </c>
      <c r="M30" s="2"/>
      <c r="N30" s="22">
        <f t="shared" si="1"/>
        <v>0</v>
      </c>
      <c r="O30" s="11"/>
      <c r="P30" s="2">
        <f>--12489.16</f>
        <v>12489.16</v>
      </c>
      <c r="Q30" s="2"/>
      <c r="R30" s="22"/>
      <c r="S30" s="2"/>
      <c r="T30" s="2"/>
      <c r="U30" s="2"/>
      <c r="V30" s="22"/>
      <c r="W30" s="2"/>
      <c r="X30" s="2">
        <f t="shared" si="2"/>
        <v>12489.16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--4950.17</f>
        <v>4950.17</v>
      </c>
      <c r="E31" s="2"/>
      <c r="F31" s="22"/>
      <c r="G31" s="2"/>
      <c r="H31" s="2"/>
      <c r="I31" s="2"/>
      <c r="J31" s="22"/>
      <c r="K31" s="2"/>
      <c r="L31" s="2">
        <f t="shared" si="0"/>
        <v>4950.17</v>
      </c>
      <c r="M31" s="2"/>
      <c r="N31" s="22">
        <f t="shared" si="1"/>
        <v>0</v>
      </c>
      <c r="O31" s="11"/>
      <c r="P31" s="2">
        <f>--96956.61</f>
        <v>96956.61</v>
      </c>
      <c r="Q31" s="2"/>
      <c r="R31" s="22"/>
      <c r="S31" s="2"/>
      <c r="T31" s="2"/>
      <c r="U31" s="2"/>
      <c r="V31" s="22"/>
      <c r="W31" s="2"/>
      <c r="X31" s="2">
        <f t="shared" si="2"/>
        <v>96956.61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>--5014.67</f>
        <v>5014.67</v>
      </c>
      <c r="E32" s="2"/>
      <c r="F32" s="22"/>
      <c r="G32" s="2"/>
      <c r="H32" s="2"/>
      <c r="I32" s="2"/>
      <c r="J32" s="22"/>
      <c r="K32" s="2"/>
      <c r="L32" s="2">
        <f t="shared" si="0"/>
        <v>5014.67</v>
      </c>
      <c r="M32" s="2"/>
      <c r="N32" s="22">
        <f t="shared" si="1"/>
        <v>0</v>
      </c>
      <c r="O32" s="11"/>
      <c r="P32" s="2">
        <f>--55117.29</f>
        <v>55117.29</v>
      </c>
      <c r="Q32" s="2"/>
      <c r="R32" s="22"/>
      <c r="S32" s="2"/>
      <c r="T32" s="2"/>
      <c r="U32" s="2"/>
      <c r="V32" s="22"/>
      <c r="W32" s="2"/>
      <c r="X32" s="2">
        <f t="shared" si="2"/>
        <v>55117.29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>--152786.78</f>
        <v>152786.78</v>
      </c>
      <c r="E33" s="2"/>
      <c r="F33" s="22"/>
      <c r="G33" s="2"/>
      <c r="H33" s="2"/>
      <c r="I33" s="2"/>
      <c r="J33" s="22"/>
      <c r="K33" s="2"/>
      <c r="L33" s="2">
        <f t="shared" si="0"/>
        <v>152786.78</v>
      </c>
      <c r="M33" s="2"/>
      <c r="N33" s="22">
        <f t="shared" si="1"/>
        <v>0</v>
      </c>
      <c r="O33" s="11"/>
      <c r="P33" s="2">
        <f>--892099.99</f>
        <v>892099.99</v>
      </c>
      <c r="Q33" s="2"/>
      <c r="R33" s="22"/>
      <c r="S33" s="2"/>
      <c r="T33" s="2"/>
      <c r="U33" s="2"/>
      <c r="V33" s="22"/>
      <c r="W33" s="2"/>
      <c r="X33" s="2">
        <f t="shared" si="2"/>
        <v>892099.99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--3392.4</f>
        <v>3392.4</v>
      </c>
      <c r="E34" s="2"/>
      <c r="F34" s="22"/>
      <c r="G34" s="2"/>
      <c r="H34" s="2"/>
      <c r="I34" s="2"/>
      <c r="J34" s="22"/>
      <c r="K34" s="2"/>
      <c r="L34" s="2">
        <f t="shared" si="0"/>
        <v>3392.4</v>
      </c>
      <c r="M34" s="2"/>
      <c r="N34" s="22">
        <f t="shared" si="1"/>
        <v>0</v>
      </c>
      <c r="O34" s="11"/>
      <c r="P34" s="2">
        <f>--72055.09</f>
        <v>72055.09</v>
      </c>
      <c r="Q34" s="2"/>
      <c r="R34" s="22"/>
      <c r="S34" s="2"/>
      <c r="T34" s="2"/>
      <c r="U34" s="2"/>
      <c r="V34" s="22"/>
      <c r="W34" s="2"/>
      <c r="X34" s="2">
        <f t="shared" si="2"/>
        <v>72055.09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"4085", " - ", "TAXABLE SALES-SOFTWARE")</f>
        <v xml:space="preserve">          4085 - TAXABLE SALES-SOFTWARE</v>
      </c>
      <c r="C35" s="11"/>
      <c r="D35" s="2">
        <f>--139</f>
        <v>139</v>
      </c>
      <c r="E35" s="2"/>
      <c r="F35" s="22"/>
      <c r="G35" s="2"/>
      <c r="H35" s="2"/>
      <c r="I35" s="2"/>
      <c r="J35" s="22"/>
      <c r="K35" s="2"/>
      <c r="L35" s="2">
        <f t="shared" si="0"/>
        <v>139</v>
      </c>
      <c r="M35" s="2"/>
      <c r="N35" s="22">
        <f t="shared" si="1"/>
        <v>0</v>
      </c>
      <c r="O35" s="11"/>
      <c r="P35" s="2">
        <f>--1120.96</f>
        <v>1120.96</v>
      </c>
      <c r="Q35" s="2"/>
      <c r="R35" s="22"/>
      <c r="S35" s="2"/>
      <c r="T35" s="2"/>
      <c r="U35" s="2"/>
      <c r="V35" s="22"/>
      <c r="W35" s="2"/>
      <c r="X35" s="2">
        <f t="shared" si="2"/>
        <v>1120.96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>--1385.25</f>
        <v>1385.25</v>
      </c>
      <c r="E36" s="2"/>
      <c r="F36" s="22"/>
      <c r="G36" s="2"/>
      <c r="H36" s="2"/>
      <c r="I36" s="2"/>
      <c r="J36" s="22"/>
      <c r="K36" s="2"/>
      <c r="L36" s="2">
        <f t="shared" si="0"/>
        <v>1385.25</v>
      </c>
      <c r="M36" s="2"/>
      <c r="N36" s="22">
        <f t="shared" si="1"/>
        <v>0</v>
      </c>
      <c r="O36" s="11"/>
      <c r="P36" s="2">
        <f>--29366.66</f>
        <v>29366.66</v>
      </c>
      <c r="Q36" s="2"/>
      <c r="R36" s="22"/>
      <c r="S36" s="2"/>
      <c r="T36" s="2"/>
      <c r="U36" s="2"/>
      <c r="V36" s="22"/>
      <c r="W36" s="2"/>
      <c r="X36" s="2">
        <f t="shared" si="2"/>
        <v>29366.66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"4100", " - ", "NON-TAXABLE SALES")</f>
        <v xml:space="preserve">          4100 - NON-TAXABLE SALES</v>
      </c>
      <c r="C37" s="11"/>
      <c r="D37" s="2">
        <f>--135.79</f>
        <v>135.79</v>
      </c>
      <c r="E37" s="2"/>
      <c r="F37" s="22"/>
      <c r="G37" s="2"/>
      <c r="H37" s="2">
        <v>30081</v>
      </c>
      <c r="I37" s="2"/>
      <c r="J37" s="22"/>
      <c r="K37" s="2"/>
      <c r="L37" s="2">
        <f t="shared" si="0"/>
        <v>-29945.21</v>
      </c>
      <c r="M37" s="2"/>
      <c r="N37" s="22">
        <f t="shared" si="1"/>
        <v>-0.99548585485854857</v>
      </c>
      <c r="O37" s="11"/>
      <c r="P37" s="2">
        <f>--164479.81</f>
        <v>164479.81</v>
      </c>
      <c r="Q37" s="2"/>
      <c r="R37" s="22"/>
      <c r="S37" s="2"/>
      <c r="T37" s="2">
        <v>107222</v>
      </c>
      <c r="U37" s="2"/>
      <c r="V37" s="22"/>
      <c r="W37" s="2"/>
      <c r="X37" s="2">
        <f t="shared" si="2"/>
        <v>57257.81</v>
      </c>
      <c r="Y37" s="2"/>
      <c r="Z37" s="22">
        <f t="shared" si="3"/>
        <v>0.53401176997258026</v>
      </c>
    </row>
    <row r="38" spans="1:26" s="24" customFormat="1" hidden="1" outlineLevel="1" x14ac:dyDescent="0.25">
      <c r="A38" s="51"/>
      <c r="B38" s="11" t="str">
        <f>CONCATENATE("          ", "4101", " - ", "NON-TAXABLE SALES-NEW TEXT")</f>
        <v xml:space="preserve">          4101 - NON-TAXABLE SALES-NEW TEXT</v>
      </c>
      <c r="C38" s="11"/>
      <c r="D38" s="2">
        <f>--7260.05</f>
        <v>7260.05</v>
      </c>
      <c r="E38" s="2"/>
      <c r="F38" s="22"/>
      <c r="G38" s="2"/>
      <c r="H38" s="2"/>
      <c r="I38" s="2"/>
      <c r="J38" s="22"/>
      <c r="K38" s="2"/>
      <c r="L38" s="2">
        <f t="shared" si="0"/>
        <v>7260.05</v>
      </c>
      <c r="M38" s="2"/>
      <c r="N38" s="22">
        <f t="shared" si="1"/>
        <v>0</v>
      </c>
      <c r="O38" s="11"/>
      <c r="P38" s="2">
        <f>--77664.89</f>
        <v>77664.89</v>
      </c>
      <c r="Q38" s="2"/>
      <c r="R38" s="22"/>
      <c r="S38" s="2"/>
      <c r="T38" s="2"/>
      <c r="U38" s="2"/>
      <c r="V38" s="22"/>
      <c r="W38" s="2"/>
      <c r="X38" s="2">
        <f t="shared" si="2"/>
        <v>77664.89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"4102", " - ", "NON-TAXABLE SALES-USED TEXT")</f>
        <v xml:space="preserve">          4102 - NON-TAXABLE SALES-USED TEXT</v>
      </c>
      <c r="C39" s="11"/>
      <c r="D39" s="2">
        <f>--2341.65</f>
        <v>2341.65</v>
      </c>
      <c r="E39" s="2"/>
      <c r="F39" s="22"/>
      <c r="G39" s="2"/>
      <c r="H39" s="2"/>
      <c r="I39" s="2"/>
      <c r="J39" s="22"/>
      <c r="K39" s="2"/>
      <c r="L39" s="2">
        <f t="shared" si="0"/>
        <v>2341.65</v>
      </c>
      <c r="M39" s="2"/>
      <c r="N39" s="22">
        <f t="shared" si="1"/>
        <v>0</v>
      </c>
      <c r="O39" s="11"/>
      <c r="P39" s="2">
        <f>--32712.47</f>
        <v>32712.47</v>
      </c>
      <c r="Q39" s="2"/>
      <c r="R39" s="22"/>
      <c r="S39" s="2"/>
      <c r="T39" s="2"/>
      <c r="U39" s="2"/>
      <c r="V39" s="22"/>
      <c r="W39" s="2"/>
      <c r="X39" s="2">
        <f t="shared" si="2"/>
        <v>32712.47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"4103", " - ", "NON-TAXABLE SALES-RENTAL TEXT")</f>
        <v xml:space="preserve">          4103 - NON-TAXABLE SALES-RENTAL TEXT</v>
      </c>
      <c r="C40" s="11"/>
      <c r="D40" s="2">
        <f>0</f>
        <v>0</v>
      </c>
      <c r="E40" s="2"/>
      <c r="F40" s="22"/>
      <c r="G40" s="2"/>
      <c r="H40" s="2"/>
      <c r="I40" s="2"/>
      <c r="J40" s="22"/>
      <c r="K40" s="2"/>
      <c r="L40" s="2">
        <f t="shared" si="0"/>
        <v>0</v>
      </c>
      <c r="M40" s="2"/>
      <c r="N40" s="22">
        <f t="shared" si="1"/>
        <v>0</v>
      </c>
      <c r="O40" s="11"/>
      <c r="P40" s="2">
        <f>--284.97</f>
        <v>284.97000000000003</v>
      </c>
      <c r="Q40" s="2"/>
      <c r="R40" s="22"/>
      <c r="S40" s="2"/>
      <c r="T40" s="2"/>
      <c r="U40" s="2"/>
      <c r="V40" s="22"/>
      <c r="W40" s="2"/>
      <c r="X40" s="2">
        <f t="shared" si="2"/>
        <v>284.97000000000003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"4104", " - ", "NON-TAXABLE SALES-DIGITAL TEXT")</f>
        <v xml:space="preserve">          4104 - NON-TAXABLE SALES-DIGITAL TEXT</v>
      </c>
      <c r="C41" s="11"/>
      <c r="D41" s="2">
        <f>--6767.67</f>
        <v>6767.67</v>
      </c>
      <c r="E41" s="2"/>
      <c r="F41" s="22"/>
      <c r="G41" s="2"/>
      <c r="H41" s="2"/>
      <c r="I41" s="2"/>
      <c r="J41" s="22"/>
      <c r="K41" s="2"/>
      <c r="L41" s="2">
        <f t="shared" si="0"/>
        <v>6767.67</v>
      </c>
      <c r="M41" s="2"/>
      <c r="N41" s="22">
        <f t="shared" si="1"/>
        <v>0</v>
      </c>
      <c r="O41" s="11"/>
      <c r="P41" s="2">
        <f>--293475.52</f>
        <v>293475.52</v>
      </c>
      <c r="Q41" s="2"/>
      <c r="R41" s="22"/>
      <c r="S41" s="2"/>
      <c r="T41" s="2"/>
      <c r="U41" s="2"/>
      <c r="V41" s="22"/>
      <c r="W41" s="2"/>
      <c r="X41" s="2">
        <f t="shared" si="2"/>
        <v>293475.52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"4113", " - ", "NON-TAXABLE SALES-TRADE BOOKS")</f>
        <v xml:space="preserve">          4113 - NON-TAXABLE SALES-TRADE BOOKS</v>
      </c>
      <c r="C42" s="11"/>
      <c r="D42" s="2">
        <f>--1655.95</f>
        <v>1655.95</v>
      </c>
      <c r="E42" s="2"/>
      <c r="F42" s="22"/>
      <c r="G42" s="2"/>
      <c r="H42" s="2"/>
      <c r="I42" s="2"/>
      <c r="J42" s="22"/>
      <c r="K42" s="2"/>
      <c r="L42" s="2">
        <f t="shared" si="0"/>
        <v>1655.95</v>
      </c>
      <c r="M42" s="2"/>
      <c r="N42" s="22">
        <f t="shared" si="1"/>
        <v>0</v>
      </c>
      <c r="O42" s="11"/>
      <c r="P42" s="2">
        <f>--1655.95</f>
        <v>1655.95</v>
      </c>
      <c r="Q42" s="2"/>
      <c r="R42" s="22"/>
      <c r="S42" s="2"/>
      <c r="T42" s="2"/>
      <c r="U42" s="2"/>
      <c r="V42" s="22"/>
      <c r="W42" s="2"/>
      <c r="X42" s="2">
        <f t="shared" si="2"/>
        <v>1655.95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"4118", " - ", "NON-TAXABLE SALES-STUDY GUIDES")</f>
        <v xml:space="preserve">          4118 - NON-TAXABLE SALES-STUDY GUIDES</v>
      </c>
      <c r="C43" s="11"/>
      <c r="D43" s="2">
        <f>--97.3</f>
        <v>97.3</v>
      </c>
      <c r="E43" s="2"/>
      <c r="F43" s="22"/>
      <c r="G43" s="2"/>
      <c r="H43" s="2"/>
      <c r="I43" s="2"/>
      <c r="J43" s="22"/>
      <c r="K43" s="2"/>
      <c r="L43" s="2">
        <f t="shared" si="0"/>
        <v>97.3</v>
      </c>
      <c r="M43" s="2"/>
      <c r="N43" s="22">
        <f t="shared" si="1"/>
        <v>0</v>
      </c>
      <c r="O43" s="11"/>
      <c r="P43" s="2">
        <f>--205.63</f>
        <v>205.63</v>
      </c>
      <c r="Q43" s="2"/>
      <c r="R43" s="22"/>
      <c r="S43" s="2"/>
      <c r="T43" s="2"/>
      <c r="U43" s="2"/>
      <c r="V43" s="22"/>
      <c r="W43" s="2"/>
      <c r="X43" s="2">
        <f t="shared" si="2"/>
        <v>205.63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"4126", " - ", "NON-TAXABLE SALES-WRITING INST")</f>
        <v xml:space="preserve">          4126 - NON-TAXABLE SALES-WRITING INST</v>
      </c>
      <c r="C44" s="11"/>
      <c r="D44" s="2">
        <f>0</f>
        <v>0</v>
      </c>
      <c r="E44" s="2"/>
      <c r="F44" s="22"/>
      <c r="G44" s="2"/>
      <c r="H44" s="2"/>
      <c r="I44" s="2"/>
      <c r="J44" s="22"/>
      <c r="K44" s="2"/>
      <c r="L44" s="2">
        <f t="shared" si="0"/>
        <v>0</v>
      </c>
      <c r="M44" s="2"/>
      <c r="N44" s="22">
        <f t="shared" si="1"/>
        <v>0</v>
      </c>
      <c r="O44" s="11"/>
      <c r="P44" s="2">
        <f>--52.68</f>
        <v>52.68</v>
      </c>
      <c r="Q44" s="2"/>
      <c r="R44" s="22"/>
      <c r="S44" s="2"/>
      <c r="T44" s="2"/>
      <c r="U44" s="2"/>
      <c r="V44" s="22"/>
      <c r="W44" s="2"/>
      <c r="X44" s="2">
        <f t="shared" si="2"/>
        <v>52.68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"4127", " - ", "NON-TAXABLE SALES-SCHOOL SUPPL")</f>
        <v xml:space="preserve">          4127 - NON-TAXABLE SALES-SCHOOL SUPPL</v>
      </c>
      <c r="C45" s="11"/>
      <c r="D45" s="2">
        <f>--160.95</f>
        <v>160.94999999999999</v>
      </c>
      <c r="E45" s="2"/>
      <c r="F45" s="22"/>
      <c r="G45" s="2"/>
      <c r="H45" s="2"/>
      <c r="I45" s="2"/>
      <c r="J45" s="22"/>
      <c r="K45" s="2"/>
      <c r="L45" s="2">
        <f t="shared" si="0"/>
        <v>160.94999999999999</v>
      </c>
      <c r="M45" s="2"/>
      <c r="N45" s="22">
        <f t="shared" si="1"/>
        <v>0</v>
      </c>
      <c r="O45" s="11"/>
      <c r="P45" s="2">
        <f>--2831.69</f>
        <v>2831.69</v>
      </c>
      <c r="Q45" s="2"/>
      <c r="R45" s="22"/>
      <c r="S45" s="2"/>
      <c r="T45" s="2"/>
      <c r="U45" s="2"/>
      <c r="V45" s="22"/>
      <c r="W45" s="2"/>
      <c r="X45" s="2">
        <f t="shared" si="2"/>
        <v>2831.69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"4131", " - ", "NON-TAXABLE SALES-FOOD")</f>
        <v xml:space="preserve">          4131 - NON-TAXABLE SALES-FOOD</v>
      </c>
      <c r="C46" s="11"/>
      <c r="D46" s="2">
        <f>--1521.48</f>
        <v>1521.48</v>
      </c>
      <c r="E46" s="2"/>
      <c r="F46" s="22"/>
      <c r="G46" s="2"/>
      <c r="H46" s="2"/>
      <c r="I46" s="2"/>
      <c r="J46" s="22"/>
      <c r="K46" s="2"/>
      <c r="L46" s="2">
        <f t="shared" si="0"/>
        <v>1521.48</v>
      </c>
      <c r="M46" s="2"/>
      <c r="N46" s="22">
        <f t="shared" si="1"/>
        <v>0</v>
      </c>
      <c r="O46" s="11"/>
      <c r="P46" s="2">
        <f>--5525.44</f>
        <v>5525.44</v>
      </c>
      <c r="Q46" s="2"/>
      <c r="R46" s="22"/>
      <c r="S46" s="2"/>
      <c r="T46" s="2"/>
      <c r="U46" s="2"/>
      <c r="V46" s="22"/>
      <c r="W46" s="2"/>
      <c r="X46" s="2">
        <f t="shared" si="2"/>
        <v>5525.44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"4132", " - ", "NON-TAXABLE SALES-JUICE")</f>
        <v xml:space="preserve">          4132 - NON-TAXABLE SALES-JUICE</v>
      </c>
      <c r="C47" s="11"/>
      <c r="D47" s="2">
        <f t="shared" ref="D47:D50" si="4">0</f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--22.49</f>
        <v>22.49</v>
      </c>
      <c r="Q47" s="2"/>
      <c r="R47" s="22"/>
      <c r="S47" s="2"/>
      <c r="T47" s="2"/>
      <c r="U47" s="2"/>
      <c r="V47" s="22"/>
      <c r="W47" s="2"/>
      <c r="X47" s="2">
        <f t="shared" si="2"/>
        <v>22.49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"4133", " - ", "NON-TAXABLE SALES-CANDY")</f>
        <v xml:space="preserve">          4133 - NON-TAXABLE SALES-CANDY</v>
      </c>
      <c r="C48" s="11"/>
      <c r="D48" s="2">
        <f t="shared" si="4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--80.71</f>
        <v>80.709999999999994</v>
      </c>
      <c r="Q48" s="2"/>
      <c r="R48" s="22"/>
      <c r="S48" s="2"/>
      <c r="T48" s="2"/>
      <c r="U48" s="2"/>
      <c r="V48" s="22"/>
      <c r="W48" s="2"/>
      <c r="X48" s="2">
        <f t="shared" si="2"/>
        <v>80.709999999999994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"4134", " - ", "NON-TAXABLE SALES-SODA")</f>
        <v xml:space="preserve">          4134 - NON-TAXABLE SALES-SODA</v>
      </c>
      <c r="C49" s="11"/>
      <c r="D49" s="2">
        <f t="shared" si="4"/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--45.53</f>
        <v>45.53</v>
      </c>
      <c r="Q49" s="2"/>
      <c r="R49" s="22"/>
      <c r="S49" s="2"/>
      <c r="T49" s="2"/>
      <c r="U49" s="2"/>
      <c r="V49" s="22"/>
      <c r="W49" s="2"/>
      <c r="X49" s="2">
        <f t="shared" si="2"/>
        <v>45.53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"4137", " - ", "NON-TAXABLE SALES-WATER")</f>
        <v xml:space="preserve">          4137 - NON-TAXABLE SALES-WATER</v>
      </c>
      <c r="C50" s="11"/>
      <c r="D50" s="2">
        <f t="shared" si="4"/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--68.25</f>
        <v>68.25</v>
      </c>
      <c r="Q50" s="2"/>
      <c r="R50" s="22"/>
      <c r="S50" s="2"/>
      <c r="T50" s="2"/>
      <c r="U50" s="2"/>
      <c r="V50" s="22"/>
      <c r="W50" s="2"/>
      <c r="X50" s="2">
        <f t="shared" si="2"/>
        <v>68.25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"4140", " - ", "NON-TAXABLE SALES-LOGO CLOTHIN")</f>
        <v xml:space="preserve">          4140 - NON-TAXABLE SALES-LOGO CLOTHIN</v>
      </c>
      <c r="C51" s="11"/>
      <c r="D51" s="2">
        <f>--13163.04</f>
        <v>13163.04</v>
      </c>
      <c r="E51" s="2"/>
      <c r="F51" s="22"/>
      <c r="G51" s="2"/>
      <c r="H51" s="2"/>
      <c r="I51" s="2"/>
      <c r="J51" s="22"/>
      <c r="K51" s="2"/>
      <c r="L51" s="2">
        <f t="shared" si="0"/>
        <v>13163.04</v>
      </c>
      <c r="M51" s="2"/>
      <c r="N51" s="22">
        <f t="shared" si="1"/>
        <v>0</v>
      </c>
      <c r="O51" s="11"/>
      <c r="P51" s="2">
        <f>--30615.48</f>
        <v>30615.48</v>
      </c>
      <c r="Q51" s="2"/>
      <c r="R51" s="22"/>
      <c r="S51" s="2"/>
      <c r="T51" s="2"/>
      <c r="U51" s="2"/>
      <c r="V51" s="22"/>
      <c r="W51" s="2"/>
      <c r="X51" s="2">
        <f t="shared" si="2"/>
        <v>30615.48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"4141", " - ", "NON-TAXABLE SALES-LOGO GIFTS")</f>
        <v xml:space="preserve">          4141 - NON-TAXABLE SALES-LOGO GIFTS</v>
      </c>
      <c r="C52" s="11"/>
      <c r="D52" s="2">
        <f>--437.71</f>
        <v>437.71</v>
      </c>
      <c r="E52" s="2"/>
      <c r="F52" s="22"/>
      <c r="G52" s="2"/>
      <c r="H52" s="2"/>
      <c r="I52" s="2"/>
      <c r="J52" s="22"/>
      <c r="K52" s="2"/>
      <c r="L52" s="2">
        <f t="shared" si="0"/>
        <v>437.71</v>
      </c>
      <c r="M52" s="2"/>
      <c r="N52" s="22">
        <f t="shared" si="1"/>
        <v>0</v>
      </c>
      <c r="O52" s="11"/>
      <c r="P52" s="2">
        <f>--3382.7</f>
        <v>3382.7</v>
      </c>
      <c r="Q52" s="2"/>
      <c r="R52" s="22"/>
      <c r="S52" s="2"/>
      <c r="T52" s="2"/>
      <c r="U52" s="2"/>
      <c r="V52" s="22"/>
      <c r="W52" s="2"/>
      <c r="X52" s="2">
        <f t="shared" si="2"/>
        <v>3382.7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"4142", " - ", "NON-TAXABLE SALES-EVERYDAY GIF")</f>
        <v xml:space="preserve">          4142 - NON-TAXABLE SALES-EVERYDAY GIF</v>
      </c>
      <c r="C53" s="11"/>
      <c r="D53" s="2">
        <f>--310.68</f>
        <v>310.68</v>
      </c>
      <c r="E53" s="2"/>
      <c r="F53" s="22"/>
      <c r="G53" s="2"/>
      <c r="H53" s="2"/>
      <c r="I53" s="2"/>
      <c r="J53" s="22"/>
      <c r="K53" s="2"/>
      <c r="L53" s="2">
        <f t="shared" si="0"/>
        <v>310.68</v>
      </c>
      <c r="M53" s="2"/>
      <c r="N53" s="22">
        <f t="shared" si="1"/>
        <v>0</v>
      </c>
      <c r="O53" s="11"/>
      <c r="P53" s="2">
        <f>--1320.41</f>
        <v>1320.41</v>
      </c>
      <c r="Q53" s="2"/>
      <c r="R53" s="22"/>
      <c r="S53" s="2"/>
      <c r="T53" s="2"/>
      <c r="U53" s="2"/>
      <c r="V53" s="22"/>
      <c r="W53" s="2"/>
      <c r="X53" s="2">
        <f t="shared" si="2"/>
        <v>1320.41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"4143", " - ", "NON-TAXABLE SALES-CARDS")</f>
        <v xml:space="preserve">          4143 - NON-TAXABLE SALES-CARDS</v>
      </c>
      <c r="C54" s="11"/>
      <c r="D54" s="2">
        <f>--9.99</f>
        <v>9.99</v>
      </c>
      <c r="E54" s="2"/>
      <c r="F54" s="22"/>
      <c r="G54" s="2"/>
      <c r="H54" s="2"/>
      <c r="I54" s="2"/>
      <c r="J54" s="22"/>
      <c r="K54" s="2"/>
      <c r="L54" s="2">
        <f t="shared" si="0"/>
        <v>9.99</v>
      </c>
      <c r="M54" s="2"/>
      <c r="N54" s="22">
        <f t="shared" si="1"/>
        <v>0</v>
      </c>
      <c r="O54" s="11"/>
      <c r="P54" s="2">
        <f>--29.97</f>
        <v>29.97</v>
      </c>
      <c r="Q54" s="2"/>
      <c r="R54" s="22"/>
      <c r="S54" s="2"/>
      <c r="T54" s="2"/>
      <c r="U54" s="2"/>
      <c r="V54" s="22"/>
      <c r="W54" s="2"/>
      <c r="X54" s="2">
        <f t="shared" si="2"/>
        <v>29.97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"4144", " - ", "NON-TAXABLE SALES-ACCESSORIES")</f>
        <v xml:space="preserve">          4144 - NON-TAXABLE SALES-ACCESSORIES</v>
      </c>
      <c r="C55" s="11"/>
      <c r="D55" s="2">
        <f>--154</f>
        <v>154</v>
      </c>
      <c r="E55" s="2"/>
      <c r="F55" s="22"/>
      <c r="G55" s="2"/>
      <c r="H55" s="2"/>
      <c r="I55" s="2"/>
      <c r="J55" s="22"/>
      <c r="K55" s="2"/>
      <c r="L55" s="2">
        <f t="shared" si="0"/>
        <v>154</v>
      </c>
      <c r="M55" s="2"/>
      <c r="N55" s="22">
        <f t="shared" si="1"/>
        <v>0</v>
      </c>
      <c r="O55" s="11"/>
      <c r="P55" s="2">
        <f>--369.75</f>
        <v>369.75</v>
      </c>
      <c r="Q55" s="2"/>
      <c r="R55" s="22"/>
      <c r="S55" s="2"/>
      <c r="T55" s="2"/>
      <c r="U55" s="2"/>
      <c r="V55" s="22"/>
      <c r="W55" s="2"/>
      <c r="X55" s="2">
        <f t="shared" si="2"/>
        <v>369.75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"4145", " - ", "NON-TAXABLE SALES-SPECIAL ORDE")</f>
        <v xml:space="preserve">          4145 - NON-TAXABLE SALES-SPECIAL ORDE</v>
      </c>
      <c r="C56" s="11"/>
      <c r="D56" s="2">
        <f>0</f>
        <v>0</v>
      </c>
      <c r="E56" s="2"/>
      <c r="F56" s="22"/>
      <c r="G56" s="2"/>
      <c r="H56" s="2"/>
      <c r="I56" s="2"/>
      <c r="J56" s="22"/>
      <c r="K56" s="2"/>
      <c r="L56" s="2">
        <f t="shared" si="0"/>
        <v>0</v>
      </c>
      <c r="M56" s="2"/>
      <c r="N56" s="22">
        <f t="shared" si="1"/>
        <v>0</v>
      </c>
      <c r="O56" s="11"/>
      <c r="P56" s="2">
        <f>--35846</f>
        <v>35846</v>
      </c>
      <c r="Q56" s="2"/>
      <c r="R56" s="22"/>
      <c r="S56" s="2"/>
      <c r="T56" s="2"/>
      <c r="U56" s="2"/>
      <c r="V56" s="22"/>
      <c r="W56" s="2"/>
      <c r="X56" s="2">
        <f t="shared" si="2"/>
        <v>35846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"4146", " - ", "NON-TAXABLE SALES-COIN OP MACH")</f>
        <v xml:space="preserve">          4146 - NON-TAXABLE SALES-COIN OP MACH</v>
      </c>
      <c r="C57" s="11"/>
      <c r="D57" s="2">
        <f>--21.3</f>
        <v>21.3</v>
      </c>
      <c r="E57" s="2"/>
      <c r="F57" s="22"/>
      <c r="G57" s="2"/>
      <c r="H57" s="2"/>
      <c r="I57" s="2"/>
      <c r="J57" s="22"/>
      <c r="K57" s="2"/>
      <c r="L57" s="2">
        <f t="shared" si="0"/>
        <v>21.3</v>
      </c>
      <c r="M57" s="2"/>
      <c r="N57" s="22">
        <f t="shared" si="1"/>
        <v>0</v>
      </c>
      <c r="O57" s="11"/>
      <c r="P57" s="2">
        <f t="shared" ref="P57:P58" si="5">--86.5</f>
        <v>86.5</v>
      </c>
      <c r="Q57" s="2"/>
      <c r="R57" s="22"/>
      <c r="S57" s="2"/>
      <c r="T57" s="2"/>
      <c r="U57" s="2"/>
      <c r="V57" s="22"/>
      <c r="W57" s="2"/>
      <c r="X57" s="2">
        <f t="shared" si="2"/>
        <v>86.5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"4147", " - ", "NON-TAXABLE SALES-MISC")</f>
        <v xml:space="preserve">          4147 - NON-TAXABLE SALES-MISC</v>
      </c>
      <c r="C58" s="11"/>
      <c r="D58" s="2">
        <f>--38.5</f>
        <v>38.5</v>
      </c>
      <c r="E58" s="2"/>
      <c r="F58" s="22"/>
      <c r="G58" s="2"/>
      <c r="H58" s="2"/>
      <c r="I58" s="2"/>
      <c r="J58" s="22"/>
      <c r="K58" s="2"/>
      <c r="L58" s="2">
        <f t="shared" si="0"/>
        <v>38.5</v>
      </c>
      <c r="M58" s="2"/>
      <c r="N58" s="22">
        <f t="shared" si="1"/>
        <v>0</v>
      </c>
      <c r="O58" s="11"/>
      <c r="P58" s="2">
        <f t="shared" si="5"/>
        <v>86.5</v>
      </c>
      <c r="Q58" s="2"/>
      <c r="R58" s="22"/>
      <c r="S58" s="2"/>
      <c r="T58" s="2"/>
      <c r="U58" s="2"/>
      <c r="V58" s="22"/>
      <c r="W58" s="2"/>
      <c r="X58" s="2">
        <f t="shared" si="2"/>
        <v>86.5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"4181", " - ", "NON-TAXABLE SALES-ELECTRONICS")</f>
        <v xml:space="preserve">          4181 - NON-TAXABLE SALES-ELECTRONICS</v>
      </c>
      <c r="C59" s="11"/>
      <c r="D59" s="2">
        <f>--194.97</f>
        <v>194.97</v>
      </c>
      <c r="E59" s="2"/>
      <c r="F59" s="22"/>
      <c r="G59" s="2"/>
      <c r="H59" s="2"/>
      <c r="I59" s="2"/>
      <c r="J59" s="22"/>
      <c r="K59" s="2"/>
      <c r="L59" s="2">
        <f t="shared" si="0"/>
        <v>194.97</v>
      </c>
      <c r="M59" s="2"/>
      <c r="N59" s="22">
        <f t="shared" si="1"/>
        <v>0</v>
      </c>
      <c r="O59" s="11"/>
      <c r="P59" s="2">
        <f>--3504.13</f>
        <v>3504.13</v>
      </c>
      <c r="Q59" s="2"/>
      <c r="R59" s="22"/>
      <c r="S59" s="2"/>
      <c r="T59" s="2"/>
      <c r="U59" s="2"/>
      <c r="V59" s="22"/>
      <c r="W59" s="2"/>
      <c r="X59" s="2">
        <f t="shared" si="2"/>
        <v>3504.13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"4182", " - ", "NON-TAXABLE SALES-COMPUTER HAR")</f>
        <v xml:space="preserve">          4182 - NON-TAXABLE SALES-COMPUTER HAR</v>
      </c>
      <c r="C60" s="11"/>
      <c r="D60" s="2">
        <f>--24570</f>
        <v>24570</v>
      </c>
      <c r="E60" s="2"/>
      <c r="F60" s="22"/>
      <c r="G60" s="2"/>
      <c r="H60" s="2"/>
      <c r="I60" s="2"/>
      <c r="J60" s="22"/>
      <c r="K60" s="2"/>
      <c r="L60" s="2">
        <f t="shared" si="0"/>
        <v>24570</v>
      </c>
      <c r="M60" s="2"/>
      <c r="N60" s="22">
        <f t="shared" si="1"/>
        <v>0</v>
      </c>
      <c r="O60" s="11"/>
      <c r="P60" s="2">
        <f>--145294.38</f>
        <v>145294.38</v>
      </c>
      <c r="Q60" s="2"/>
      <c r="R60" s="22"/>
      <c r="S60" s="2"/>
      <c r="T60" s="2"/>
      <c r="U60" s="2"/>
      <c r="V60" s="22"/>
      <c r="W60" s="2"/>
      <c r="X60" s="2">
        <f t="shared" si="2"/>
        <v>145294.38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"4183", " - ", "NON-TAXABLE SALES-COMPUTER EQU")</f>
        <v xml:space="preserve">          4183 - NON-TAXABLE SALES-COMPUTER EQU</v>
      </c>
      <c r="C61" s="11"/>
      <c r="D61" s="2">
        <f>--1269.91</f>
        <v>1269.9100000000001</v>
      </c>
      <c r="E61" s="2"/>
      <c r="F61" s="22"/>
      <c r="G61" s="2"/>
      <c r="H61" s="2"/>
      <c r="I61" s="2"/>
      <c r="J61" s="22"/>
      <c r="K61" s="2"/>
      <c r="L61" s="2">
        <f t="shared" si="0"/>
        <v>1269.9100000000001</v>
      </c>
      <c r="M61" s="2"/>
      <c r="N61" s="22">
        <f t="shared" si="1"/>
        <v>0</v>
      </c>
      <c r="O61" s="11"/>
      <c r="P61" s="2">
        <f>--6336.39</f>
        <v>6336.39</v>
      </c>
      <c r="Q61" s="2"/>
      <c r="R61" s="22"/>
      <c r="S61" s="2"/>
      <c r="T61" s="2"/>
      <c r="U61" s="2"/>
      <c r="V61" s="22"/>
      <c r="W61" s="2"/>
      <c r="X61" s="2">
        <f t="shared" si="2"/>
        <v>6336.39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"4185", " - ", "NON-TAXABLE SALES-SOFTWARE")</f>
        <v xml:space="preserve">          4185 - NON-TAXABLE SALES-SOFTWARE</v>
      </c>
      <c r="C62" s="11"/>
      <c r="D62" s="2">
        <f>--4590.76</f>
        <v>4590.76</v>
      </c>
      <c r="E62" s="2"/>
      <c r="F62" s="22"/>
      <c r="G62" s="2"/>
      <c r="H62" s="2"/>
      <c r="I62" s="2"/>
      <c r="J62" s="22"/>
      <c r="K62" s="2"/>
      <c r="L62" s="2">
        <f t="shared" si="0"/>
        <v>4590.76</v>
      </c>
      <c r="M62" s="2"/>
      <c r="N62" s="22">
        <f t="shared" si="1"/>
        <v>0</v>
      </c>
      <c r="O62" s="11"/>
      <c r="P62" s="2">
        <f>--23816.85</f>
        <v>23816.85</v>
      </c>
      <c r="Q62" s="2"/>
      <c r="R62" s="22"/>
      <c r="S62" s="2"/>
      <c r="T62" s="2"/>
      <c r="U62" s="2"/>
      <c r="V62" s="22"/>
      <c r="W62" s="2"/>
      <c r="X62" s="2">
        <f t="shared" si="2"/>
        <v>23816.85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"4186", " - ", "NON-TAXABLE SALES-COMPUTER SUP")</f>
        <v xml:space="preserve">          4186 - NON-TAXABLE SALES-COMPUTER SUP</v>
      </c>
      <c r="C63" s="11"/>
      <c r="D63" s="2">
        <f>--855.98</f>
        <v>855.98</v>
      </c>
      <c r="E63" s="2"/>
      <c r="F63" s="22"/>
      <c r="G63" s="2"/>
      <c r="H63" s="2"/>
      <c r="I63" s="2"/>
      <c r="J63" s="22"/>
      <c r="K63" s="2"/>
      <c r="L63" s="2">
        <f t="shared" si="0"/>
        <v>855.98</v>
      </c>
      <c r="M63" s="2"/>
      <c r="N63" s="22">
        <f t="shared" si="1"/>
        <v>0</v>
      </c>
      <c r="O63" s="11"/>
      <c r="P63" s="2">
        <f>--1729.77</f>
        <v>1729.77</v>
      </c>
      <c r="Q63" s="2"/>
      <c r="R63" s="22"/>
      <c r="S63" s="2"/>
      <c r="T63" s="2"/>
      <c r="U63" s="2"/>
      <c r="V63" s="22"/>
      <c r="W63" s="2"/>
      <c r="X63" s="2">
        <f t="shared" si="2"/>
        <v>1729.77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"4201", " - ", "SALES RETURN TAXABLE-NEW TEXT")</f>
        <v xml:space="preserve">          4201 - SALES RETURN TAXABLE-NEW TEXT</v>
      </c>
      <c r="C64" s="11"/>
      <c r="D64" s="2">
        <f>-1512.25</f>
        <v>-1512.25</v>
      </c>
      <c r="E64" s="2"/>
      <c r="F64" s="22"/>
      <c r="G64" s="2"/>
      <c r="H64" s="2"/>
      <c r="I64" s="2"/>
      <c r="J64" s="22"/>
      <c r="K64" s="2"/>
      <c r="L64" s="2">
        <f t="shared" si="0"/>
        <v>-1512.25</v>
      </c>
      <c r="M64" s="2"/>
      <c r="N64" s="22">
        <f t="shared" si="1"/>
        <v>0</v>
      </c>
      <c r="O64" s="11"/>
      <c r="P64" s="2">
        <f>-33761.24</f>
        <v>-33761.24</v>
      </c>
      <c r="Q64" s="2"/>
      <c r="R64" s="22"/>
      <c r="S64" s="2"/>
      <c r="T64" s="2"/>
      <c r="U64" s="2"/>
      <c r="V64" s="22"/>
      <c r="W64" s="2"/>
      <c r="X64" s="2">
        <f t="shared" si="2"/>
        <v>-33761.24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"4202", " - ", "SALES RETURN TAXABLE-USED TEXT")</f>
        <v xml:space="preserve">          4202 - SALES RETURN TAXABLE-USED TEXT</v>
      </c>
      <c r="C65" s="11"/>
      <c r="D65" s="2">
        <f>-136.05</f>
        <v>-136.05000000000001</v>
      </c>
      <c r="E65" s="2"/>
      <c r="F65" s="22"/>
      <c r="G65" s="2"/>
      <c r="H65" s="2"/>
      <c r="I65" s="2"/>
      <c r="J65" s="22"/>
      <c r="K65" s="2"/>
      <c r="L65" s="2">
        <f t="shared" si="0"/>
        <v>-136.05000000000001</v>
      </c>
      <c r="M65" s="2"/>
      <c r="N65" s="22">
        <f t="shared" si="1"/>
        <v>0</v>
      </c>
      <c r="O65" s="11"/>
      <c r="P65" s="2">
        <f>-10529</f>
        <v>-10529</v>
      </c>
      <c r="Q65" s="2"/>
      <c r="R65" s="22"/>
      <c r="S65" s="2"/>
      <c r="T65" s="2"/>
      <c r="U65" s="2"/>
      <c r="V65" s="22"/>
      <c r="W65" s="2"/>
      <c r="X65" s="2">
        <f t="shared" si="2"/>
        <v>-10529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"4204", " - ", "SALES RETURN TAXABLE-DIGITAL T")</f>
        <v xml:space="preserve">          4204 - SALES RETURN TAXABLE-DIGITAL T</v>
      </c>
      <c r="C66" s="11"/>
      <c r="D66" s="2">
        <f>-383.9</f>
        <v>-383.9</v>
      </c>
      <c r="E66" s="2"/>
      <c r="F66" s="22"/>
      <c r="G66" s="2"/>
      <c r="H66" s="2"/>
      <c r="I66" s="2"/>
      <c r="J66" s="22"/>
      <c r="K66" s="2"/>
      <c r="L66" s="2">
        <f t="shared" si="0"/>
        <v>-383.9</v>
      </c>
      <c r="M66" s="2"/>
      <c r="N66" s="22">
        <f t="shared" si="1"/>
        <v>0</v>
      </c>
      <c r="O66" s="11"/>
      <c r="P66" s="2">
        <f>-1630.85</f>
        <v>-1630.85</v>
      </c>
      <c r="Q66" s="2"/>
      <c r="R66" s="22"/>
      <c r="S66" s="2"/>
      <c r="T66" s="2"/>
      <c r="U66" s="2"/>
      <c r="V66" s="22"/>
      <c r="W66" s="2"/>
      <c r="X66" s="2">
        <f t="shared" si="2"/>
        <v>-1630.85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"4226", " - ", "SALES RETURN TAXABLE-WRITING I")</f>
        <v xml:space="preserve">          4226 - SALES RETURN TAXABLE-WRITING I</v>
      </c>
      <c r="C67" s="11"/>
      <c r="D67" s="2">
        <f>-5.36</f>
        <v>-5.36</v>
      </c>
      <c r="E67" s="2"/>
      <c r="F67" s="22"/>
      <c r="G67" s="2"/>
      <c r="H67" s="2"/>
      <c r="I67" s="2"/>
      <c r="J67" s="22"/>
      <c r="K67" s="2"/>
      <c r="L67" s="2">
        <f t="shared" si="0"/>
        <v>-5.36</v>
      </c>
      <c r="M67" s="2"/>
      <c r="N67" s="22">
        <f t="shared" si="1"/>
        <v>0</v>
      </c>
      <c r="O67" s="11"/>
      <c r="P67" s="2">
        <f>-34.23</f>
        <v>-34.229999999999997</v>
      </c>
      <c r="Q67" s="2"/>
      <c r="R67" s="22"/>
      <c r="S67" s="2"/>
      <c r="T67" s="2"/>
      <c r="U67" s="2"/>
      <c r="V67" s="22"/>
      <c r="W67" s="2"/>
      <c r="X67" s="2">
        <f t="shared" si="2"/>
        <v>-34.229999999999997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"4227", " - ", "SALES RETURN TAXABLE-SCHOOL SU")</f>
        <v xml:space="preserve">          4227 - SALES RETURN TAXABLE-SCHOOL SU</v>
      </c>
      <c r="C68" s="11"/>
      <c r="D68" s="2">
        <f>-9.99</f>
        <v>-9.99</v>
      </c>
      <c r="E68" s="2"/>
      <c r="F68" s="22"/>
      <c r="G68" s="2"/>
      <c r="H68" s="2"/>
      <c r="I68" s="2"/>
      <c r="J68" s="22"/>
      <c r="K68" s="2"/>
      <c r="L68" s="2">
        <f t="shared" si="0"/>
        <v>-9.99</v>
      </c>
      <c r="M68" s="2"/>
      <c r="N68" s="22">
        <f t="shared" si="1"/>
        <v>0</v>
      </c>
      <c r="O68" s="11"/>
      <c r="P68" s="2">
        <f>-578.66</f>
        <v>-578.66</v>
      </c>
      <c r="Q68" s="2"/>
      <c r="R68" s="22"/>
      <c r="S68" s="2"/>
      <c r="T68" s="2"/>
      <c r="U68" s="2"/>
      <c r="V68" s="22"/>
      <c r="W68" s="2"/>
      <c r="X68" s="2">
        <f t="shared" si="2"/>
        <v>-578.66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"4228", " - ", "SALES RETURN TAXABLE-ART/TECH")</f>
        <v xml:space="preserve">          4228 - SALES RETURN TAXABLE-ART/TECH</v>
      </c>
      <c r="C69" s="11"/>
      <c r="D69" s="2">
        <f>0</f>
        <v>0</v>
      </c>
      <c r="E69" s="2"/>
      <c r="F69" s="22"/>
      <c r="G69" s="2"/>
      <c r="H69" s="2"/>
      <c r="I69" s="2"/>
      <c r="J69" s="22"/>
      <c r="K69" s="2"/>
      <c r="L69" s="2">
        <f t="shared" si="0"/>
        <v>0</v>
      </c>
      <c r="M69" s="2"/>
      <c r="N69" s="22">
        <f t="shared" si="1"/>
        <v>0</v>
      </c>
      <c r="O69" s="11"/>
      <c r="P69" s="2">
        <f>-222.2</f>
        <v>-222.2</v>
      </c>
      <c r="Q69" s="2"/>
      <c r="R69" s="22"/>
      <c r="S69" s="2"/>
      <c r="T69" s="2"/>
      <c r="U69" s="2"/>
      <c r="V69" s="22"/>
      <c r="W69" s="2"/>
      <c r="X69" s="2">
        <f t="shared" si="2"/>
        <v>-222.2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"4240", " - ", "SALES RETURN TAXABLE-LOGO CLOT")</f>
        <v xml:space="preserve">          4240 - SALES RETURN TAXABLE-LOGO CLOT</v>
      </c>
      <c r="C70" s="11"/>
      <c r="D70" s="2">
        <f>-2239.56</f>
        <v>-2239.56</v>
      </c>
      <c r="E70" s="2"/>
      <c r="F70" s="22"/>
      <c r="G70" s="2"/>
      <c r="H70" s="2"/>
      <c r="I70" s="2"/>
      <c r="J70" s="22"/>
      <c r="K70" s="2"/>
      <c r="L70" s="2">
        <f t="shared" si="0"/>
        <v>-2239.56</v>
      </c>
      <c r="M70" s="2"/>
      <c r="N70" s="22">
        <f t="shared" si="1"/>
        <v>0</v>
      </c>
      <c r="O70" s="11"/>
      <c r="P70" s="2">
        <f>-13849.52</f>
        <v>-13849.52</v>
      </c>
      <c r="Q70" s="2"/>
      <c r="R70" s="22"/>
      <c r="S70" s="2"/>
      <c r="T70" s="2"/>
      <c r="U70" s="2"/>
      <c r="V70" s="22"/>
      <c r="W70" s="2"/>
      <c r="X70" s="2">
        <f t="shared" si="2"/>
        <v>-13849.52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"4241", " - ", "SALES RETURN TAXABLE-LOGO GIFT")</f>
        <v xml:space="preserve">          4241 - SALES RETURN TAXABLE-LOGO GIFT</v>
      </c>
      <c r="C71" s="11"/>
      <c r="D71" s="2">
        <f>-379.45</f>
        <v>-379.45</v>
      </c>
      <c r="E71" s="2"/>
      <c r="F71" s="22"/>
      <c r="G71" s="2"/>
      <c r="H71" s="2"/>
      <c r="I71" s="2"/>
      <c r="J71" s="22"/>
      <c r="K71" s="2"/>
      <c r="L71" s="2">
        <f t="shared" si="0"/>
        <v>-379.45</v>
      </c>
      <c r="M71" s="2"/>
      <c r="N71" s="22">
        <f t="shared" si="1"/>
        <v>0</v>
      </c>
      <c r="O71" s="11"/>
      <c r="P71" s="2">
        <f>-2696.56</f>
        <v>-2696.56</v>
      </c>
      <c r="Q71" s="2"/>
      <c r="R71" s="22"/>
      <c r="S71" s="2"/>
      <c r="T71" s="2"/>
      <c r="U71" s="2"/>
      <c r="V71" s="22"/>
      <c r="W71" s="2"/>
      <c r="X71" s="2">
        <f t="shared" si="2"/>
        <v>-2696.56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"4242", " - ", "SALES RETURN TAXABLE-EVERYDAY")</f>
        <v xml:space="preserve">          4242 - SALES RETURN TAXABLE-EVERYDAY</v>
      </c>
      <c r="C72" s="11"/>
      <c r="D72" s="2">
        <f>-266.95</f>
        <v>-266.95</v>
      </c>
      <c r="E72" s="2"/>
      <c r="F72" s="22"/>
      <c r="G72" s="2"/>
      <c r="H72" s="2"/>
      <c r="I72" s="2"/>
      <c r="J72" s="22"/>
      <c r="K72" s="2"/>
      <c r="L72" s="2">
        <f t="shared" si="0"/>
        <v>-266.95</v>
      </c>
      <c r="M72" s="2"/>
      <c r="N72" s="22">
        <f t="shared" si="1"/>
        <v>0</v>
      </c>
      <c r="O72" s="11"/>
      <c r="P72" s="2">
        <f>-1321.51</f>
        <v>-1321.51</v>
      </c>
      <c r="Q72" s="2"/>
      <c r="R72" s="22"/>
      <c r="S72" s="2"/>
      <c r="T72" s="2"/>
      <c r="U72" s="2"/>
      <c r="V72" s="22"/>
      <c r="W72" s="2"/>
      <c r="X72" s="2">
        <f t="shared" si="2"/>
        <v>-1321.51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"4243", " - ", "SALES RETURN TAXABLE-CARDS")</f>
        <v xml:space="preserve">          4243 - SALES RETURN TAXABLE-CARDS</v>
      </c>
      <c r="C73" s="11"/>
      <c r="D73" s="2">
        <f>-829.55</f>
        <v>-829.55</v>
      </c>
      <c r="E73" s="2"/>
      <c r="F73" s="22"/>
      <c r="G73" s="2"/>
      <c r="H73" s="2"/>
      <c r="I73" s="2"/>
      <c r="J73" s="22"/>
      <c r="K73" s="2"/>
      <c r="L73" s="2">
        <f t="shared" si="0"/>
        <v>-829.55</v>
      </c>
      <c r="M73" s="2"/>
      <c r="N73" s="22">
        <f t="shared" si="1"/>
        <v>0</v>
      </c>
      <c r="O73" s="11"/>
      <c r="P73" s="2">
        <f>-982.92</f>
        <v>-982.92</v>
      </c>
      <c r="Q73" s="2"/>
      <c r="R73" s="22"/>
      <c r="S73" s="2"/>
      <c r="T73" s="2"/>
      <c r="U73" s="2"/>
      <c r="V73" s="22"/>
      <c r="W73" s="2"/>
      <c r="X73" s="2">
        <f t="shared" si="2"/>
        <v>-982.92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"4244", " - ", "SALES RETURN TAXABLE-ACCESSORI")</f>
        <v xml:space="preserve">          4244 - SALES RETURN TAXABLE-ACCESSORI</v>
      </c>
      <c r="C74" s="11"/>
      <c r="D74" s="2">
        <f>0</f>
        <v>0</v>
      </c>
      <c r="E74" s="2"/>
      <c r="F74" s="22"/>
      <c r="G74" s="2"/>
      <c r="H74" s="2"/>
      <c r="I74" s="2"/>
      <c r="J74" s="22"/>
      <c r="K74" s="2"/>
      <c r="L74" s="2">
        <f t="shared" si="0"/>
        <v>0</v>
      </c>
      <c r="M74" s="2"/>
      <c r="N74" s="22">
        <f t="shared" si="1"/>
        <v>0</v>
      </c>
      <c r="O74" s="11"/>
      <c r="P74" s="2">
        <f>-410.99</f>
        <v>-410.99</v>
      </c>
      <c r="Q74" s="2"/>
      <c r="R74" s="22"/>
      <c r="S74" s="2"/>
      <c r="T74" s="2"/>
      <c r="U74" s="2"/>
      <c r="V74" s="22"/>
      <c r="W74" s="2"/>
      <c r="X74" s="2">
        <f t="shared" si="2"/>
        <v>-410.99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"4245", " - ", "SALES RETURN TAXABLE-SPECIAL O")</f>
        <v xml:space="preserve">          4245 - SALES RETURN TAXABLE-SPECIAL O</v>
      </c>
      <c r="C75" s="11"/>
      <c r="D75" s="2">
        <f>-363.98</f>
        <v>-363.98</v>
      </c>
      <c r="E75" s="2"/>
      <c r="F75" s="22"/>
      <c r="G75" s="2"/>
      <c r="H75" s="2"/>
      <c r="I75" s="2"/>
      <c r="J75" s="22"/>
      <c r="K75" s="2"/>
      <c r="L75" s="2">
        <f t="shared" si="0"/>
        <v>-363.98</v>
      </c>
      <c r="M75" s="2"/>
      <c r="N75" s="22">
        <f t="shared" si="1"/>
        <v>0</v>
      </c>
      <c r="O75" s="11"/>
      <c r="P75" s="2">
        <f>-1546.93</f>
        <v>-1546.93</v>
      </c>
      <c r="Q75" s="2"/>
      <c r="R75" s="22"/>
      <c r="S75" s="2"/>
      <c r="T75" s="2"/>
      <c r="U75" s="2"/>
      <c r="V75" s="22"/>
      <c r="W75" s="2"/>
      <c r="X75" s="2">
        <f t="shared" si="2"/>
        <v>-1546.93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"4281", " - ", "SALES RETURN TAXABLE-ELECTRONI")</f>
        <v xml:space="preserve">          4281 - SALES RETURN TAXABLE-ELECTRONI</v>
      </c>
      <c r="C76" s="11"/>
      <c r="D76" s="2">
        <f>-357.99</f>
        <v>-357.99</v>
      </c>
      <c r="E76" s="2"/>
      <c r="F76" s="22"/>
      <c r="G76" s="2"/>
      <c r="H76" s="2"/>
      <c r="I76" s="2"/>
      <c r="J76" s="22"/>
      <c r="K76" s="2"/>
      <c r="L76" s="2">
        <f t="shared" si="0"/>
        <v>-357.99</v>
      </c>
      <c r="M76" s="2"/>
      <c r="N76" s="22">
        <f t="shared" si="1"/>
        <v>0</v>
      </c>
      <c r="O76" s="11"/>
      <c r="P76" s="2">
        <f>-14632.15</f>
        <v>-14632.15</v>
      </c>
      <c r="Q76" s="2"/>
      <c r="R76" s="22"/>
      <c r="S76" s="2"/>
      <c r="T76" s="2"/>
      <c r="U76" s="2"/>
      <c r="V76" s="22"/>
      <c r="W76" s="2"/>
      <c r="X76" s="2">
        <f t="shared" si="2"/>
        <v>-14632.15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"4282", " - ", "SALES RETURN TAXABLE-COMPUTER")</f>
        <v xml:space="preserve">          4282 - SALES RETURN TAXABLE-COMPUTER</v>
      </c>
      <c r="C77" s="11"/>
      <c r="D77" s="2">
        <f>-20038</f>
        <v>-20038</v>
      </c>
      <c r="E77" s="2"/>
      <c r="F77" s="22"/>
      <c r="G77" s="2"/>
      <c r="H77" s="2"/>
      <c r="I77" s="2"/>
      <c r="J77" s="22"/>
      <c r="K77" s="2"/>
      <c r="L77" s="2">
        <f t="shared" si="0"/>
        <v>-20038</v>
      </c>
      <c r="M77" s="2"/>
      <c r="N77" s="22">
        <f t="shared" si="1"/>
        <v>0</v>
      </c>
      <c r="O77" s="11"/>
      <c r="P77" s="2">
        <f>-68323</f>
        <v>-68323</v>
      </c>
      <c r="Q77" s="2"/>
      <c r="R77" s="22"/>
      <c r="S77" s="2"/>
      <c r="T77" s="2"/>
      <c r="U77" s="2"/>
      <c r="V77" s="22"/>
      <c r="W77" s="2"/>
      <c r="X77" s="2">
        <f t="shared" si="2"/>
        <v>-68323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"4283", " - ", "SALES RETURN TAXABLE-COMPUTER")</f>
        <v xml:space="preserve">          4283 - SALES RETURN TAXABLE-COMPUTER</v>
      </c>
      <c r="C78" s="11"/>
      <c r="D78" s="2">
        <f>-629.58</f>
        <v>-629.58000000000004</v>
      </c>
      <c r="E78" s="2"/>
      <c r="F78" s="22"/>
      <c r="G78" s="2"/>
      <c r="H78" s="2"/>
      <c r="I78" s="2"/>
      <c r="J78" s="22"/>
      <c r="K78" s="2"/>
      <c r="L78" s="2">
        <f t="shared" si="0"/>
        <v>-629.58000000000004</v>
      </c>
      <c r="M78" s="2"/>
      <c r="N78" s="22">
        <f t="shared" si="1"/>
        <v>0</v>
      </c>
      <c r="O78" s="11"/>
      <c r="P78" s="2">
        <f>-2632.31</f>
        <v>-2632.31</v>
      </c>
      <c r="Q78" s="2"/>
      <c r="R78" s="22"/>
      <c r="S78" s="2"/>
      <c r="T78" s="2"/>
      <c r="U78" s="2"/>
      <c r="V78" s="22"/>
      <c r="W78" s="2"/>
      <c r="X78" s="2">
        <f t="shared" si="2"/>
        <v>-2632.31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"4285", " - ", "SALES RETURN TAXABLE-SOFTWARE")</f>
        <v xml:space="preserve">          4285 - SALES RETURN TAXABLE-SOFTWARE</v>
      </c>
      <c r="C79" s="11"/>
      <c r="D79" s="2">
        <f>0</f>
        <v>0</v>
      </c>
      <c r="E79" s="2"/>
      <c r="F79" s="22"/>
      <c r="G79" s="2"/>
      <c r="H79" s="2"/>
      <c r="I79" s="2"/>
      <c r="J79" s="22"/>
      <c r="K79" s="2"/>
      <c r="L79" s="2">
        <f t="shared" si="0"/>
        <v>0</v>
      </c>
      <c r="M79" s="2"/>
      <c r="N79" s="22">
        <f t="shared" si="1"/>
        <v>0</v>
      </c>
      <c r="O79" s="11"/>
      <c r="P79" s="2">
        <f>-552.98</f>
        <v>-552.98</v>
      </c>
      <c r="Q79" s="2"/>
      <c r="R79" s="22"/>
      <c r="S79" s="2"/>
      <c r="T79" s="2"/>
      <c r="U79" s="2"/>
      <c r="V79" s="22"/>
      <c r="W79" s="2"/>
      <c r="X79" s="2">
        <f t="shared" si="2"/>
        <v>-552.98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"4286", " - ", "SALES RETURN TAXABLE-COMPUTER")</f>
        <v xml:space="preserve">          4286 - SALES RETURN TAXABLE-COMPUTER</v>
      </c>
      <c r="C80" s="11"/>
      <c r="D80" s="2">
        <f>-158.96</f>
        <v>-158.96</v>
      </c>
      <c r="E80" s="2"/>
      <c r="F80" s="22"/>
      <c r="G80" s="2"/>
      <c r="H80" s="2"/>
      <c r="I80" s="2"/>
      <c r="J80" s="22"/>
      <c r="K80" s="2"/>
      <c r="L80" s="2">
        <f t="shared" si="0"/>
        <v>-158.96</v>
      </c>
      <c r="M80" s="2"/>
      <c r="N80" s="22">
        <f t="shared" si="1"/>
        <v>0</v>
      </c>
      <c r="O80" s="11"/>
      <c r="P80" s="2">
        <f>-571.36</f>
        <v>-571.36</v>
      </c>
      <c r="Q80" s="2"/>
      <c r="R80" s="22"/>
      <c r="S80" s="2"/>
      <c r="T80" s="2"/>
      <c r="U80" s="2"/>
      <c r="V80" s="22"/>
      <c r="W80" s="2"/>
      <c r="X80" s="2">
        <f t="shared" si="2"/>
        <v>-571.36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"4301", " - ", "SALES RETURN NON TAXABLE-NEW T")</f>
        <v xml:space="preserve">          4301 - SALES RETURN NON TAXABLE-NEW T</v>
      </c>
      <c r="C81" s="11"/>
      <c r="D81" s="2">
        <f>-535.49</f>
        <v>-535.49</v>
      </c>
      <c r="E81" s="2"/>
      <c r="F81" s="22"/>
      <c r="G81" s="2"/>
      <c r="H81" s="2"/>
      <c r="I81" s="2"/>
      <c r="J81" s="22"/>
      <c r="K81" s="2"/>
      <c r="L81" s="2">
        <f t="shared" si="0"/>
        <v>-535.49</v>
      </c>
      <c r="M81" s="2"/>
      <c r="N81" s="22">
        <f t="shared" si="1"/>
        <v>0</v>
      </c>
      <c r="O81" s="11"/>
      <c r="P81" s="2">
        <f>-2376.17</f>
        <v>-2376.17</v>
      </c>
      <c r="Q81" s="2"/>
      <c r="R81" s="22"/>
      <c r="S81" s="2"/>
      <c r="T81" s="2"/>
      <c r="U81" s="2"/>
      <c r="V81" s="22"/>
      <c r="W81" s="2"/>
      <c r="X81" s="2">
        <f t="shared" si="2"/>
        <v>-2376.17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"4302", " - ", "SALES RETURN NON TAXABLE-TEXT")</f>
        <v xml:space="preserve">          4302 - SALES RETURN NON TAXABLE-TEXT</v>
      </c>
      <c r="C82" s="11"/>
      <c r="D82" s="2">
        <f>-169.72</f>
        <v>-169.72</v>
      </c>
      <c r="E82" s="2"/>
      <c r="F82" s="22"/>
      <c r="G82" s="2"/>
      <c r="H82" s="2"/>
      <c r="I82" s="2"/>
      <c r="J82" s="22"/>
      <c r="K82" s="2"/>
      <c r="L82" s="2">
        <f t="shared" si="0"/>
        <v>-169.72</v>
      </c>
      <c r="M82" s="2"/>
      <c r="N82" s="22">
        <f t="shared" si="1"/>
        <v>0</v>
      </c>
      <c r="O82" s="11"/>
      <c r="P82" s="2">
        <f>-1316.8</f>
        <v>-1316.8</v>
      </c>
      <c r="Q82" s="2"/>
      <c r="R82" s="22"/>
      <c r="S82" s="2"/>
      <c r="T82" s="2"/>
      <c r="U82" s="2"/>
      <c r="V82" s="22"/>
      <c r="W82" s="2"/>
      <c r="X82" s="2">
        <f t="shared" si="2"/>
        <v>-1316.8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"4304", " - ", "SALES RETURN NON TAXABLE-DIGIT")</f>
        <v xml:space="preserve">          4304 - SALES RETURN NON TAXABLE-DIGIT</v>
      </c>
      <c r="C83" s="11"/>
      <c r="D83" s="2">
        <f>-692.75</f>
        <v>-692.75</v>
      </c>
      <c r="E83" s="2"/>
      <c r="F83" s="22"/>
      <c r="G83" s="2"/>
      <c r="H83" s="2"/>
      <c r="I83" s="2"/>
      <c r="J83" s="22"/>
      <c r="K83" s="2"/>
      <c r="L83" s="2">
        <f t="shared" si="0"/>
        <v>-692.75</v>
      </c>
      <c r="M83" s="2"/>
      <c r="N83" s="22">
        <f t="shared" si="1"/>
        <v>0</v>
      </c>
      <c r="O83" s="11"/>
      <c r="P83" s="2">
        <f>-14102.11</f>
        <v>-14102.11</v>
      </c>
      <c r="Q83" s="2"/>
      <c r="R83" s="22"/>
      <c r="S83" s="2"/>
      <c r="T83" s="2"/>
      <c r="U83" s="2"/>
      <c r="V83" s="22"/>
      <c r="W83" s="2"/>
      <c r="X83" s="2">
        <f t="shared" si="2"/>
        <v>-14102.11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"4340", " - ", "SALES RETURN NON TAXABLE-LOGO")</f>
        <v xml:space="preserve">          4340 - SALES RETURN NON TAXABLE-LOGO</v>
      </c>
      <c r="C84" s="11"/>
      <c r="D84" s="2">
        <f>-195.69</f>
        <v>-195.69</v>
      </c>
      <c r="E84" s="2"/>
      <c r="F84" s="22"/>
      <c r="G84" s="2"/>
      <c r="H84" s="2"/>
      <c r="I84" s="2"/>
      <c r="J84" s="22"/>
      <c r="K84" s="2"/>
      <c r="L84" s="2">
        <f t="shared" si="0"/>
        <v>-195.69</v>
      </c>
      <c r="M84" s="2"/>
      <c r="N84" s="22">
        <f t="shared" si="1"/>
        <v>0</v>
      </c>
      <c r="O84" s="11"/>
      <c r="P84" s="2">
        <f>-736.73</f>
        <v>-736.73</v>
      </c>
      <c r="Q84" s="2"/>
      <c r="R84" s="22"/>
      <c r="S84" s="2"/>
      <c r="T84" s="2"/>
      <c r="U84" s="2"/>
      <c r="V84" s="22"/>
      <c r="W84" s="2"/>
      <c r="X84" s="2">
        <f t="shared" si="2"/>
        <v>-736.73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"4341", " - ", "SALES RETURN NON TAXABLE-LOGO")</f>
        <v xml:space="preserve">          4341 - SALES RETURN NON TAXABLE-LOGO</v>
      </c>
      <c r="C85" s="11"/>
      <c r="D85" s="2">
        <f t="shared" ref="D85:D87" si="6">0</f>
        <v>0</v>
      </c>
      <c r="E85" s="2"/>
      <c r="F85" s="22"/>
      <c r="G85" s="2"/>
      <c r="H85" s="2"/>
      <c r="I85" s="2"/>
      <c r="J85" s="22"/>
      <c r="K85" s="2"/>
      <c r="L85" s="2">
        <f t="shared" si="0"/>
        <v>0</v>
      </c>
      <c r="M85" s="2"/>
      <c r="N85" s="22">
        <f t="shared" si="1"/>
        <v>0</v>
      </c>
      <c r="O85" s="11"/>
      <c r="P85" s="2">
        <f>-146.9</f>
        <v>-146.9</v>
      </c>
      <c r="Q85" s="2"/>
      <c r="R85" s="22"/>
      <c r="S85" s="2"/>
      <c r="T85" s="2"/>
      <c r="U85" s="2"/>
      <c r="V85" s="22"/>
      <c r="W85" s="2"/>
      <c r="X85" s="2">
        <f t="shared" si="2"/>
        <v>-146.9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"4342", " - ", "SALES RETURN NON TAXABLE-EVERY")</f>
        <v xml:space="preserve">          4342 - SALES RETURN NON TAXABLE-EVERY</v>
      </c>
      <c r="C86" s="11"/>
      <c r="D86" s="2">
        <f t="shared" si="6"/>
        <v>0</v>
      </c>
      <c r="E86" s="2"/>
      <c r="F86" s="22"/>
      <c r="G86" s="2"/>
      <c r="H86" s="2"/>
      <c r="I86" s="2"/>
      <c r="J86" s="22"/>
      <c r="K86" s="2"/>
      <c r="L86" s="2">
        <f t="shared" si="0"/>
        <v>0</v>
      </c>
      <c r="M86" s="2"/>
      <c r="N86" s="22">
        <f t="shared" si="1"/>
        <v>0</v>
      </c>
      <c r="O86" s="11"/>
      <c r="P86" s="2">
        <f>-118.7</f>
        <v>-118.7</v>
      </c>
      <c r="Q86" s="2"/>
      <c r="R86" s="22"/>
      <c r="S86" s="2"/>
      <c r="T86" s="2"/>
      <c r="U86" s="2"/>
      <c r="V86" s="22"/>
      <c r="W86" s="2"/>
      <c r="X86" s="2">
        <f t="shared" si="2"/>
        <v>-118.7</v>
      </c>
      <c r="Y86" s="2"/>
      <c r="Z86" s="22">
        <f t="shared" si="3"/>
        <v>0</v>
      </c>
    </row>
    <row r="87" spans="1:26" s="24" customFormat="1" hidden="1" outlineLevel="1" x14ac:dyDescent="0.25">
      <c r="A87" s="51"/>
      <c r="B87" s="11" t="str">
        <f>CONCATENATE("          ", "4381", " - ", "SALES RETURN NON TAXABLE-ELECT")</f>
        <v xml:space="preserve">          4381 - SALES RETURN NON TAXABLE-ELECT</v>
      </c>
      <c r="C87" s="11"/>
      <c r="D87" s="2">
        <f t="shared" si="6"/>
        <v>0</v>
      </c>
      <c r="E87" s="2"/>
      <c r="F87" s="22"/>
      <c r="G87" s="2"/>
      <c r="H87" s="2"/>
      <c r="I87" s="2"/>
      <c r="J87" s="22"/>
      <c r="K87" s="2"/>
      <c r="L87" s="2">
        <f t="shared" si="0"/>
        <v>0</v>
      </c>
      <c r="M87" s="2"/>
      <c r="N87" s="22">
        <f t="shared" si="1"/>
        <v>0</v>
      </c>
      <c r="O87" s="11"/>
      <c r="P87" s="2">
        <f>-5624.15</f>
        <v>-5624.15</v>
      </c>
      <c r="Q87" s="2"/>
      <c r="R87" s="22"/>
      <c r="S87" s="2"/>
      <c r="T87" s="2"/>
      <c r="U87" s="2"/>
      <c r="V87" s="22"/>
      <c r="W87" s="2"/>
      <c r="X87" s="2">
        <f t="shared" si="2"/>
        <v>-5624.15</v>
      </c>
      <c r="Y87" s="2"/>
      <c r="Z87" s="22">
        <f t="shared" si="3"/>
        <v>0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collapsed="1" x14ac:dyDescent="0.25">
      <c r="A89" s="10"/>
      <c r="B89" s="25" t="s">
        <v>8</v>
      </c>
      <c r="C89" s="10"/>
      <c r="D89" s="4">
        <f>SUM(OSRRefD16x_0)</f>
        <v>243193.50000000003</v>
      </c>
      <c r="E89" s="4"/>
      <c r="F89" s="12">
        <f t="shared" ref="F89:F128" si="7">IF(D$12=0,0,D89/D$12)</f>
        <v>0.73042963175120745</v>
      </c>
      <c r="G89" s="4"/>
      <c r="H89" s="4">
        <f>SUM(OSRRefH16x_0)</f>
        <v>293909</v>
      </c>
      <c r="I89" s="4"/>
      <c r="J89" s="12">
        <f t="shared" ref="J89:J128" si="8">IF(H$12=0,0,H89/H$12)</f>
        <v>0.54984565880306058</v>
      </c>
      <c r="K89" s="4"/>
      <c r="L89" s="4">
        <f t="shared" ref="L89:L128" si="9">+D89-H89</f>
        <v>-50715.499999999971</v>
      </c>
      <c r="M89" s="4"/>
      <c r="N89" s="12">
        <f t="shared" ref="N89:N128" si="10">IF(H89=0,0,L89/H89)</f>
        <v>-0.17255511059545631</v>
      </c>
      <c r="O89" s="10"/>
      <c r="P89" s="4">
        <f>SUM(OSRRefP16x_0)</f>
        <v>2621704.9300000011</v>
      </c>
      <c r="Q89" s="4"/>
      <c r="R89" s="12">
        <f t="shared" ref="R89:R128" si="11">IF(P$12=0,0,P89/P$12)</f>
        <v>0.75117648494299416</v>
      </c>
      <c r="S89" s="4"/>
      <c r="T89" s="4">
        <f>SUM(OSRRefT16x_0)</f>
        <v>3413614</v>
      </c>
      <c r="U89" s="4"/>
      <c r="V89" s="12">
        <f t="shared" ref="V89:V128" si="12">IF(T$12=0,0,T89/T$12)</f>
        <v>0.65760821613907583</v>
      </c>
      <c r="W89" s="4"/>
      <c r="X89" s="4">
        <f t="shared" ref="X89:X128" si="13">+P89-T89</f>
        <v>-791909.0699999989</v>
      </c>
      <c r="Y89" s="4"/>
      <c r="Z89" s="12">
        <f t="shared" ref="Z89:Z128" si="14">IF(T89=0,0,X89/T89)</f>
        <v>-0.23198553497847119</v>
      </c>
    </row>
    <row r="90" spans="1:26" s="24" customFormat="1" hidden="1" outlineLevel="1" x14ac:dyDescent="0.25">
      <c r="A90" s="51"/>
      <c r="B90" s="11" t="str">
        <f>CONCATENATE("          ", "5000", " - ", "PURCHASES @ COST")</f>
        <v xml:space="preserve">          5000 - PURCHASES @ COST</v>
      </c>
      <c r="C90" s="11"/>
      <c r="D90" s="2"/>
      <c r="E90" s="2"/>
      <c r="F90" s="22">
        <f t="shared" si="7"/>
        <v>0</v>
      </c>
      <c r="G90" s="2"/>
      <c r="H90" s="2">
        <v>293909</v>
      </c>
      <c r="I90" s="2"/>
      <c r="J90" s="22">
        <f t="shared" si="8"/>
        <v>0.54984565880306058</v>
      </c>
      <c r="K90" s="2"/>
      <c r="L90" s="2">
        <f t="shared" si="9"/>
        <v>-293909</v>
      </c>
      <c r="M90" s="2"/>
      <c r="N90" s="22">
        <f t="shared" si="10"/>
        <v>-1</v>
      </c>
      <c r="O90" s="11"/>
      <c r="P90" s="2"/>
      <c r="Q90" s="2"/>
      <c r="R90" s="22">
        <f t="shared" si="11"/>
        <v>0</v>
      </c>
      <c r="S90" s="2"/>
      <c r="T90" s="2">
        <v>3413614</v>
      </c>
      <c r="U90" s="2"/>
      <c r="V90" s="22">
        <f t="shared" si="12"/>
        <v>0.65760821613907583</v>
      </c>
      <c r="W90" s="2"/>
      <c r="X90" s="2">
        <f t="shared" si="13"/>
        <v>-3413614</v>
      </c>
      <c r="Y90" s="2"/>
      <c r="Z90" s="22">
        <f t="shared" si="14"/>
        <v>-1</v>
      </c>
    </row>
    <row r="91" spans="1:26" s="24" customFormat="1" hidden="1" outlineLevel="1" x14ac:dyDescent="0.25">
      <c r="A91" s="51"/>
      <c r="B91" s="11" t="str">
        <f>CONCATENATE("          ", "5001", " - ", "PURCHASES @ COST-NEW TEXT")</f>
        <v xml:space="preserve">          5001 - PURCHASES @ COST-NEW TEXT</v>
      </c>
      <c r="C91" s="11"/>
      <c r="D91" s="2">
        <v>55775.07</v>
      </c>
      <c r="E91" s="2"/>
      <c r="F91" s="22">
        <f t="shared" si="7"/>
        <v>0.16751995362128433</v>
      </c>
      <c r="G91" s="2"/>
      <c r="H91" s="2"/>
      <c r="I91" s="2"/>
      <c r="J91" s="22">
        <f t="shared" si="8"/>
        <v>0</v>
      </c>
      <c r="K91" s="2"/>
      <c r="L91" s="2">
        <f t="shared" si="9"/>
        <v>55775.07</v>
      </c>
      <c r="M91" s="2"/>
      <c r="N91" s="22">
        <f t="shared" si="10"/>
        <v>0</v>
      </c>
      <c r="O91" s="11"/>
      <c r="P91" s="2">
        <v>1349196.8299999998</v>
      </c>
      <c r="Q91" s="2"/>
      <c r="R91" s="22">
        <f t="shared" si="11"/>
        <v>0.38657475166575284</v>
      </c>
      <c r="S91" s="2"/>
      <c r="T91" s="2"/>
      <c r="U91" s="2"/>
      <c r="V91" s="22">
        <f t="shared" si="12"/>
        <v>0</v>
      </c>
      <c r="W91" s="2"/>
      <c r="X91" s="2">
        <f t="shared" si="13"/>
        <v>1349196.8299999998</v>
      </c>
      <c r="Y91" s="2"/>
      <c r="Z91" s="22">
        <f t="shared" si="14"/>
        <v>0</v>
      </c>
    </row>
    <row r="92" spans="1:26" s="24" customFormat="1" hidden="1" outlineLevel="1" x14ac:dyDescent="0.25">
      <c r="A92" s="51"/>
      <c r="B92" s="11" t="str">
        <f>CONCATENATE("          ", "5002", " - ", "PURCHASES @ COST-USED TEXT")</f>
        <v xml:space="preserve">          5002 - PURCHASES @ COST-USED TEXT</v>
      </c>
      <c r="C92" s="11"/>
      <c r="D92" s="2">
        <v>6331.95</v>
      </c>
      <c r="E92" s="2"/>
      <c r="F92" s="22">
        <f t="shared" si="7"/>
        <v>1.9017958567013743E-2</v>
      </c>
      <c r="G92" s="2"/>
      <c r="H92" s="2"/>
      <c r="I92" s="2"/>
      <c r="J92" s="22">
        <f t="shared" si="8"/>
        <v>0</v>
      </c>
      <c r="K92" s="2"/>
      <c r="L92" s="2">
        <f t="shared" si="9"/>
        <v>6331.95</v>
      </c>
      <c r="M92" s="2"/>
      <c r="N92" s="22">
        <f t="shared" si="10"/>
        <v>0</v>
      </c>
      <c r="O92" s="11"/>
      <c r="P92" s="2">
        <v>303063.33</v>
      </c>
      <c r="Q92" s="2"/>
      <c r="R92" s="22">
        <f t="shared" si="11"/>
        <v>8.6834351318292174E-2</v>
      </c>
      <c r="S92" s="2"/>
      <c r="T92" s="2"/>
      <c r="U92" s="2"/>
      <c r="V92" s="22">
        <f t="shared" si="12"/>
        <v>0</v>
      </c>
      <c r="W92" s="2"/>
      <c r="X92" s="2">
        <f t="shared" si="13"/>
        <v>303063.33</v>
      </c>
      <c r="Y92" s="2"/>
      <c r="Z92" s="22">
        <f t="shared" si="14"/>
        <v>0</v>
      </c>
    </row>
    <row r="93" spans="1:26" s="24" customFormat="1" hidden="1" outlineLevel="1" x14ac:dyDescent="0.25">
      <c r="A93" s="51"/>
      <c r="B93" s="11" t="str">
        <f>CONCATENATE("          ", "5003", " - ", "PURCHASES @ COST-RENTAL TEXT")</f>
        <v xml:space="preserve">          5003 - PURCHASES @ COST-RENTAL TEXT</v>
      </c>
      <c r="C93" s="11"/>
      <c r="D93" s="2">
        <v>10600.69</v>
      </c>
      <c r="E93" s="2"/>
      <c r="F93" s="22">
        <f t="shared" si="7"/>
        <v>3.1839083252672075E-2</v>
      </c>
      <c r="G93" s="2"/>
      <c r="H93" s="2"/>
      <c r="I93" s="2"/>
      <c r="J93" s="22">
        <f t="shared" si="8"/>
        <v>0</v>
      </c>
      <c r="K93" s="2"/>
      <c r="L93" s="2">
        <f t="shared" si="9"/>
        <v>10600.69</v>
      </c>
      <c r="M93" s="2"/>
      <c r="N93" s="22">
        <f t="shared" si="10"/>
        <v>0</v>
      </c>
      <c r="O93" s="11"/>
      <c r="P93" s="2">
        <v>-485.41</v>
      </c>
      <c r="Q93" s="2"/>
      <c r="R93" s="22">
        <f t="shared" si="11"/>
        <v>-1.390807078949875E-4</v>
      </c>
      <c r="S93" s="2"/>
      <c r="T93" s="2"/>
      <c r="U93" s="2"/>
      <c r="V93" s="22">
        <f t="shared" si="12"/>
        <v>0</v>
      </c>
      <c r="W93" s="2"/>
      <c r="X93" s="2">
        <f t="shared" si="13"/>
        <v>-485.41</v>
      </c>
      <c r="Y93" s="2"/>
      <c r="Z93" s="22">
        <f t="shared" si="14"/>
        <v>0</v>
      </c>
    </row>
    <row r="94" spans="1:26" s="24" customFormat="1" hidden="1" outlineLevel="1" x14ac:dyDescent="0.25">
      <c r="A94" s="51"/>
      <c r="B94" s="11" t="str">
        <f>CONCATENATE("          ", "5004", " - ", "PURCHASES @ COST-DIGITAL TEXT")</f>
        <v xml:space="preserve">          5004 - PURCHASES @ COST-DIGITAL TEXT</v>
      </c>
      <c r="C94" s="11"/>
      <c r="D94" s="2">
        <v>12903.46</v>
      </c>
      <c r="E94" s="2"/>
      <c r="F94" s="22">
        <f t="shared" si="7"/>
        <v>3.8755433579090039E-2</v>
      </c>
      <c r="G94" s="2"/>
      <c r="H94" s="2"/>
      <c r="I94" s="2"/>
      <c r="J94" s="22">
        <f t="shared" si="8"/>
        <v>0</v>
      </c>
      <c r="K94" s="2"/>
      <c r="L94" s="2">
        <f t="shared" si="9"/>
        <v>12903.46</v>
      </c>
      <c r="M94" s="2"/>
      <c r="N94" s="22">
        <f t="shared" si="10"/>
        <v>0</v>
      </c>
      <c r="O94" s="11"/>
      <c r="P94" s="2">
        <v>195519.53</v>
      </c>
      <c r="Q94" s="2"/>
      <c r="R94" s="22">
        <f t="shared" si="11"/>
        <v>5.6020672503028876E-2</v>
      </c>
      <c r="S94" s="2"/>
      <c r="T94" s="2"/>
      <c r="U94" s="2"/>
      <c r="V94" s="22">
        <f t="shared" si="12"/>
        <v>0</v>
      </c>
      <c r="W94" s="2"/>
      <c r="X94" s="2">
        <f t="shared" si="13"/>
        <v>195519.53</v>
      </c>
      <c r="Y94" s="2"/>
      <c r="Z94" s="22">
        <f t="shared" si="14"/>
        <v>0</v>
      </c>
    </row>
    <row r="95" spans="1:26" s="24" customFormat="1" hidden="1" outlineLevel="1" x14ac:dyDescent="0.25">
      <c r="A95" s="51"/>
      <c r="B95" s="11" t="str">
        <f>CONCATENATE("          ", "5011", " - ", "PURCHASES @ COST-NO VALUE TEXT")</f>
        <v xml:space="preserve">          5011 - PURCHASES @ COST-NO VALUE TEXT</v>
      </c>
      <c r="C95" s="11"/>
      <c r="D95" s="2">
        <v>67.17</v>
      </c>
      <c r="E95" s="2"/>
      <c r="F95" s="22">
        <f t="shared" si="7"/>
        <v>2.0174453003360944E-4</v>
      </c>
      <c r="G95" s="2"/>
      <c r="H95" s="2"/>
      <c r="I95" s="2"/>
      <c r="J95" s="22">
        <f t="shared" si="8"/>
        <v>0</v>
      </c>
      <c r="K95" s="2"/>
      <c r="L95" s="2">
        <f t="shared" si="9"/>
        <v>67.17</v>
      </c>
      <c r="M95" s="2"/>
      <c r="N95" s="22">
        <f t="shared" si="10"/>
        <v>0</v>
      </c>
      <c r="O95" s="11"/>
      <c r="P95" s="2">
        <v>67.17</v>
      </c>
      <c r="Q95" s="2"/>
      <c r="R95" s="22">
        <f t="shared" si="11"/>
        <v>1.9245691578884471E-5</v>
      </c>
      <c r="S95" s="2"/>
      <c r="T95" s="2"/>
      <c r="U95" s="2"/>
      <c r="V95" s="22">
        <f t="shared" si="12"/>
        <v>0</v>
      </c>
      <c r="W95" s="2"/>
      <c r="X95" s="2">
        <f t="shared" si="13"/>
        <v>67.17</v>
      </c>
      <c r="Y95" s="2"/>
      <c r="Z95" s="22">
        <f t="shared" si="14"/>
        <v>0</v>
      </c>
    </row>
    <row r="96" spans="1:26" s="24" customFormat="1" hidden="1" outlineLevel="1" x14ac:dyDescent="0.25">
      <c r="A96" s="51"/>
      <c r="B96" s="11" t="str">
        <f>CONCATENATE("          ", "5013", " - ", "PURCHASES @ COST-TRADE BOOKS")</f>
        <v xml:space="preserve">          5013 - PURCHASES @ COST-TRADE BOOKS</v>
      </c>
      <c r="C96" s="11"/>
      <c r="D96" s="2">
        <v>1384.46</v>
      </c>
      <c r="E96" s="2"/>
      <c r="F96" s="22">
        <f t="shared" si="7"/>
        <v>4.1582139653168221E-3</v>
      </c>
      <c r="G96" s="2"/>
      <c r="H96" s="2"/>
      <c r="I96" s="2"/>
      <c r="J96" s="22">
        <f t="shared" si="8"/>
        <v>0</v>
      </c>
      <c r="K96" s="2"/>
      <c r="L96" s="2">
        <f t="shared" si="9"/>
        <v>1384.46</v>
      </c>
      <c r="M96" s="2"/>
      <c r="N96" s="22">
        <f t="shared" si="10"/>
        <v>0</v>
      </c>
      <c r="O96" s="11"/>
      <c r="P96" s="2">
        <v>1483.64</v>
      </c>
      <c r="Q96" s="2"/>
      <c r="R96" s="22">
        <f t="shared" si="11"/>
        <v>4.2509569531183795E-4</v>
      </c>
      <c r="S96" s="2"/>
      <c r="T96" s="2"/>
      <c r="U96" s="2"/>
      <c r="V96" s="22">
        <f t="shared" si="12"/>
        <v>0</v>
      </c>
      <c r="W96" s="2"/>
      <c r="X96" s="2">
        <f t="shared" si="13"/>
        <v>1483.64</v>
      </c>
      <c r="Y96" s="2"/>
      <c r="Z96" s="22">
        <f t="shared" si="14"/>
        <v>0</v>
      </c>
    </row>
    <row r="97" spans="1:26" s="24" customFormat="1" hidden="1" outlineLevel="1" x14ac:dyDescent="0.25">
      <c r="A97" s="51"/>
      <c r="B97" s="11" t="str">
        <f>CONCATENATE("          ", "5014", " - ", "PURCHASES @ COST-REMAINDERS")</f>
        <v xml:space="preserve">          5014 - PURCHASES @ COST-REMAINDERS</v>
      </c>
      <c r="C97" s="11"/>
      <c r="D97" s="2">
        <v>102.92</v>
      </c>
      <c r="E97" s="2"/>
      <c r="F97" s="22">
        <f t="shared" si="7"/>
        <v>3.0911935434061458E-4</v>
      </c>
      <c r="G97" s="2"/>
      <c r="H97" s="2"/>
      <c r="I97" s="2"/>
      <c r="J97" s="22">
        <f t="shared" si="8"/>
        <v>0</v>
      </c>
      <c r="K97" s="2"/>
      <c r="L97" s="2">
        <f t="shared" si="9"/>
        <v>102.92</v>
      </c>
      <c r="M97" s="2"/>
      <c r="N97" s="22">
        <f t="shared" si="10"/>
        <v>0</v>
      </c>
      <c r="O97" s="11"/>
      <c r="P97" s="2">
        <v>90.41</v>
      </c>
      <c r="Q97" s="2"/>
      <c r="R97" s="22">
        <f t="shared" si="11"/>
        <v>2.5904465917030591E-5</v>
      </c>
      <c r="S97" s="2"/>
      <c r="T97" s="2"/>
      <c r="U97" s="2"/>
      <c r="V97" s="22">
        <f t="shared" si="12"/>
        <v>0</v>
      </c>
      <c r="W97" s="2"/>
      <c r="X97" s="2">
        <f t="shared" si="13"/>
        <v>90.41</v>
      </c>
      <c r="Y97" s="2"/>
      <c r="Z97" s="22">
        <f t="shared" si="14"/>
        <v>0</v>
      </c>
    </row>
    <row r="98" spans="1:26" s="24" customFormat="1" hidden="1" outlineLevel="1" x14ac:dyDescent="0.25">
      <c r="A98" s="51"/>
      <c r="B98" s="11" t="str">
        <f>CONCATENATE("          ", "5025", " - ", "PURCHASES @ COST-TEST FORMS")</f>
        <v xml:space="preserve">          5025 - PURCHASES @ COST-TEST FORMS</v>
      </c>
      <c r="C98" s="11"/>
      <c r="D98" s="2">
        <v>599.29</v>
      </c>
      <c r="E98" s="2"/>
      <c r="F98" s="22">
        <f t="shared" si="7"/>
        <v>1.7999624743760875E-3</v>
      </c>
      <c r="G98" s="2"/>
      <c r="H98" s="2"/>
      <c r="I98" s="2"/>
      <c r="J98" s="22">
        <f t="shared" si="8"/>
        <v>0</v>
      </c>
      <c r="K98" s="2"/>
      <c r="L98" s="2">
        <f t="shared" si="9"/>
        <v>599.29</v>
      </c>
      <c r="M98" s="2"/>
      <c r="N98" s="22">
        <f t="shared" si="10"/>
        <v>0</v>
      </c>
      <c r="O98" s="11"/>
      <c r="P98" s="2">
        <v>599.29</v>
      </c>
      <c r="Q98" s="2"/>
      <c r="R98" s="22">
        <f t="shared" si="11"/>
        <v>1.7170984824042986E-4</v>
      </c>
      <c r="S98" s="2"/>
      <c r="T98" s="2"/>
      <c r="U98" s="2"/>
      <c r="V98" s="22">
        <f t="shared" si="12"/>
        <v>0</v>
      </c>
      <c r="W98" s="2"/>
      <c r="X98" s="2">
        <f t="shared" si="13"/>
        <v>599.29</v>
      </c>
      <c r="Y98" s="2"/>
      <c r="Z98" s="22">
        <f t="shared" si="14"/>
        <v>0</v>
      </c>
    </row>
    <row r="99" spans="1:26" s="24" customFormat="1" hidden="1" outlineLevel="1" x14ac:dyDescent="0.25">
      <c r="A99" s="51"/>
      <c r="B99" s="11" t="str">
        <f>CONCATENATE("          ", "5026", " - ", "PURCHASES @ COST-WRITING INSTR")</f>
        <v xml:space="preserve">          5026 - PURCHASES @ COST-WRITING INSTR</v>
      </c>
      <c r="C99" s="11"/>
      <c r="D99" s="2">
        <v>380.02</v>
      </c>
      <c r="E99" s="2"/>
      <c r="F99" s="22">
        <f t="shared" si="7"/>
        <v>1.1413868736544924E-3</v>
      </c>
      <c r="G99" s="2"/>
      <c r="H99" s="2"/>
      <c r="I99" s="2"/>
      <c r="J99" s="22">
        <f t="shared" si="8"/>
        <v>0</v>
      </c>
      <c r="K99" s="2"/>
      <c r="L99" s="2">
        <f t="shared" si="9"/>
        <v>380.02</v>
      </c>
      <c r="M99" s="2"/>
      <c r="N99" s="22">
        <f t="shared" si="10"/>
        <v>0</v>
      </c>
      <c r="O99" s="11"/>
      <c r="P99" s="2">
        <v>380.02</v>
      </c>
      <c r="Q99" s="2"/>
      <c r="R99" s="22">
        <f t="shared" si="11"/>
        <v>1.0888414044674223E-4</v>
      </c>
      <c r="S99" s="2"/>
      <c r="T99" s="2"/>
      <c r="U99" s="2"/>
      <c r="V99" s="22">
        <f t="shared" si="12"/>
        <v>0</v>
      </c>
      <c r="W99" s="2"/>
      <c r="X99" s="2">
        <f t="shared" si="13"/>
        <v>380.02</v>
      </c>
      <c r="Y99" s="2"/>
      <c r="Z99" s="22">
        <f t="shared" si="14"/>
        <v>0</v>
      </c>
    </row>
    <row r="100" spans="1:26" s="24" customFormat="1" hidden="1" outlineLevel="1" x14ac:dyDescent="0.25">
      <c r="A100" s="51"/>
      <c r="B100" s="11" t="str">
        <f>CONCATENATE("          ", "5027", " - ", "PURCHASES @ COST-SCHOOL SUPPLI")</f>
        <v xml:space="preserve">          5027 - PURCHASES @ COST-SCHOOL SUPPLI</v>
      </c>
      <c r="C100" s="11"/>
      <c r="D100" s="2">
        <v>10567.95</v>
      </c>
      <c r="E100" s="2"/>
      <c r="F100" s="22">
        <f t="shared" si="7"/>
        <v>3.1740748938047979E-2</v>
      </c>
      <c r="G100" s="2"/>
      <c r="H100" s="2"/>
      <c r="I100" s="2"/>
      <c r="J100" s="22">
        <f t="shared" si="8"/>
        <v>0</v>
      </c>
      <c r="K100" s="2"/>
      <c r="L100" s="2">
        <f t="shared" si="9"/>
        <v>10567.95</v>
      </c>
      <c r="M100" s="2"/>
      <c r="N100" s="22">
        <f t="shared" si="10"/>
        <v>0</v>
      </c>
      <c r="O100" s="11"/>
      <c r="P100" s="2">
        <v>19071.350000000002</v>
      </c>
      <c r="Q100" s="2"/>
      <c r="R100" s="22">
        <f t="shared" si="11"/>
        <v>5.4643638542944527E-3</v>
      </c>
      <c r="S100" s="2"/>
      <c r="T100" s="2"/>
      <c r="U100" s="2"/>
      <c r="V100" s="22">
        <f t="shared" si="12"/>
        <v>0</v>
      </c>
      <c r="W100" s="2"/>
      <c r="X100" s="2">
        <f t="shared" si="13"/>
        <v>19071.350000000002</v>
      </c>
      <c r="Y100" s="2"/>
      <c r="Z100" s="22">
        <f t="shared" si="14"/>
        <v>0</v>
      </c>
    </row>
    <row r="101" spans="1:26" s="24" customFormat="1" hidden="1" outlineLevel="1" x14ac:dyDescent="0.25">
      <c r="A101" s="51"/>
      <c r="B101" s="11" t="str">
        <f>CONCATENATE("          ", "5028", " - ", "PURCHASES @ COST-ART/TECH")</f>
        <v xml:space="preserve">          5028 - PURCHASES @ COST-ART/TECH</v>
      </c>
      <c r="C101" s="11"/>
      <c r="D101" s="2">
        <v>41425.96</v>
      </c>
      <c r="E101" s="2"/>
      <c r="F101" s="22">
        <f t="shared" si="7"/>
        <v>0.12442252242654613</v>
      </c>
      <c r="G101" s="2"/>
      <c r="H101" s="2"/>
      <c r="I101" s="2"/>
      <c r="J101" s="22">
        <f t="shared" si="8"/>
        <v>0</v>
      </c>
      <c r="K101" s="2"/>
      <c r="L101" s="2">
        <f t="shared" si="9"/>
        <v>41425.96</v>
      </c>
      <c r="M101" s="2"/>
      <c r="N101" s="22">
        <f t="shared" si="10"/>
        <v>0</v>
      </c>
      <c r="O101" s="11"/>
      <c r="P101" s="2">
        <v>41342.559999999998</v>
      </c>
      <c r="Q101" s="2"/>
      <c r="R101" s="22">
        <f t="shared" si="11"/>
        <v>1.1845558416577726E-2</v>
      </c>
      <c r="S101" s="2"/>
      <c r="T101" s="2"/>
      <c r="U101" s="2"/>
      <c r="V101" s="22">
        <f t="shared" si="12"/>
        <v>0</v>
      </c>
      <c r="W101" s="2"/>
      <c r="X101" s="2">
        <f t="shared" si="13"/>
        <v>41342.559999999998</v>
      </c>
      <c r="Y101" s="2"/>
      <c r="Z101" s="22">
        <f t="shared" si="14"/>
        <v>0</v>
      </c>
    </row>
    <row r="102" spans="1:26" s="24" customFormat="1" hidden="1" outlineLevel="1" x14ac:dyDescent="0.25">
      <c r="A102" s="51"/>
      <c r="B102" s="11" t="str">
        <f>CONCATENATE("          ", "5031", " - ", "PURCHASES @ COST-FOOD")</f>
        <v xml:space="preserve">          5031 - PURCHASES @ COST-FOOD</v>
      </c>
      <c r="C102" s="11"/>
      <c r="D102" s="2">
        <v>4469.18</v>
      </c>
      <c r="E102" s="2"/>
      <c r="F102" s="22">
        <f t="shared" si="7"/>
        <v>1.342314453975892E-2</v>
      </c>
      <c r="G102" s="2"/>
      <c r="H102" s="2"/>
      <c r="I102" s="2"/>
      <c r="J102" s="22">
        <f t="shared" si="8"/>
        <v>0</v>
      </c>
      <c r="K102" s="2"/>
      <c r="L102" s="2">
        <f t="shared" si="9"/>
        <v>4469.18</v>
      </c>
      <c r="M102" s="2"/>
      <c r="N102" s="22">
        <f t="shared" si="10"/>
        <v>0</v>
      </c>
      <c r="O102" s="11"/>
      <c r="P102" s="2">
        <v>8535.1</v>
      </c>
      <c r="Q102" s="2"/>
      <c r="R102" s="22">
        <f t="shared" si="11"/>
        <v>2.4454950453317976E-3</v>
      </c>
      <c r="S102" s="2"/>
      <c r="T102" s="2"/>
      <c r="U102" s="2"/>
      <c r="V102" s="22">
        <f t="shared" si="12"/>
        <v>0</v>
      </c>
      <c r="W102" s="2"/>
      <c r="X102" s="2">
        <f t="shared" si="13"/>
        <v>8535.1</v>
      </c>
      <c r="Y102" s="2"/>
      <c r="Z102" s="22">
        <f t="shared" si="14"/>
        <v>0</v>
      </c>
    </row>
    <row r="103" spans="1:26" s="24" customFormat="1" hidden="1" outlineLevel="1" x14ac:dyDescent="0.25">
      <c r="A103" s="51"/>
      <c r="B103" s="11" t="str">
        <f>CONCATENATE("          ", "5040", " - ", "PURCHASES @ COST-LOGO CLOTHING")</f>
        <v xml:space="preserve">          5040 - PURCHASES @ COST-LOGO CLOTHING</v>
      </c>
      <c r="C103" s="11"/>
      <c r="D103" s="2">
        <v>25420.9</v>
      </c>
      <c r="E103" s="2"/>
      <c r="F103" s="22">
        <f t="shared" si="7"/>
        <v>7.6351459334991545E-2</v>
      </c>
      <c r="G103" s="2"/>
      <c r="H103" s="2"/>
      <c r="I103" s="2"/>
      <c r="J103" s="22">
        <f t="shared" si="8"/>
        <v>0</v>
      </c>
      <c r="K103" s="2"/>
      <c r="L103" s="2">
        <f t="shared" si="9"/>
        <v>25420.9</v>
      </c>
      <c r="M103" s="2"/>
      <c r="N103" s="22">
        <f t="shared" si="10"/>
        <v>0</v>
      </c>
      <c r="O103" s="11"/>
      <c r="P103" s="2">
        <v>39170.950000000004</v>
      </c>
      <c r="Q103" s="2"/>
      <c r="R103" s="22">
        <f t="shared" si="11"/>
        <v>1.1223344090396081E-2</v>
      </c>
      <c r="S103" s="2"/>
      <c r="T103" s="2"/>
      <c r="U103" s="2"/>
      <c r="V103" s="22">
        <f t="shared" si="12"/>
        <v>0</v>
      </c>
      <c r="W103" s="2"/>
      <c r="X103" s="2">
        <f t="shared" si="13"/>
        <v>39170.950000000004</v>
      </c>
      <c r="Y103" s="2"/>
      <c r="Z103" s="22">
        <f t="shared" si="14"/>
        <v>0</v>
      </c>
    </row>
    <row r="104" spans="1:26" s="24" customFormat="1" hidden="1" outlineLevel="1" x14ac:dyDescent="0.25">
      <c r="A104" s="51"/>
      <c r="B104" s="11" t="str">
        <f>CONCATENATE("          ", "5041", " - ", "PURCHASES @ COST-LOGO GIFTS")</f>
        <v xml:space="preserve">          5041 - PURCHASES @ COST-LOGO GIFTS</v>
      </c>
      <c r="C104" s="11"/>
      <c r="D104" s="2">
        <v>15289.8</v>
      </c>
      <c r="E104" s="2"/>
      <c r="F104" s="22">
        <f t="shared" si="7"/>
        <v>4.5922785697601332E-2</v>
      </c>
      <c r="G104" s="2"/>
      <c r="H104" s="2"/>
      <c r="I104" s="2"/>
      <c r="J104" s="22">
        <f t="shared" si="8"/>
        <v>0</v>
      </c>
      <c r="K104" s="2"/>
      <c r="L104" s="2">
        <f t="shared" si="9"/>
        <v>15289.8</v>
      </c>
      <c r="M104" s="2"/>
      <c r="N104" s="22">
        <f t="shared" si="10"/>
        <v>0</v>
      </c>
      <c r="O104" s="11"/>
      <c r="P104" s="2">
        <v>17287.34</v>
      </c>
      <c r="Q104" s="2"/>
      <c r="R104" s="22">
        <f t="shared" si="11"/>
        <v>4.9532055063169966E-3</v>
      </c>
      <c r="S104" s="2"/>
      <c r="T104" s="2"/>
      <c r="U104" s="2"/>
      <c r="V104" s="22">
        <f t="shared" si="12"/>
        <v>0</v>
      </c>
      <c r="W104" s="2"/>
      <c r="X104" s="2">
        <f t="shared" si="13"/>
        <v>17287.34</v>
      </c>
      <c r="Y104" s="2"/>
      <c r="Z104" s="22">
        <f t="shared" si="14"/>
        <v>0</v>
      </c>
    </row>
    <row r="105" spans="1:26" s="24" customFormat="1" hidden="1" outlineLevel="1" x14ac:dyDescent="0.25">
      <c r="A105" s="51"/>
      <c r="B105" s="11" t="str">
        <f>CONCATENATE("          ", "5042", " - ", "PURCHASES @ COST-EVERYDAY GIFT")</f>
        <v xml:space="preserve">          5042 - PURCHASES @ COST-EVERYDAY GIFT</v>
      </c>
      <c r="C105" s="11"/>
      <c r="D105" s="2">
        <v>9421.5300000000007</v>
      </c>
      <c r="E105" s="2"/>
      <c r="F105" s="22">
        <f t="shared" si="7"/>
        <v>2.8297486110578418E-2</v>
      </c>
      <c r="G105" s="2"/>
      <c r="H105" s="2"/>
      <c r="I105" s="2"/>
      <c r="J105" s="22">
        <f t="shared" si="8"/>
        <v>0</v>
      </c>
      <c r="K105" s="2"/>
      <c r="L105" s="2">
        <f t="shared" si="9"/>
        <v>9421.5300000000007</v>
      </c>
      <c r="M105" s="2"/>
      <c r="N105" s="22">
        <f t="shared" si="10"/>
        <v>0</v>
      </c>
      <c r="O105" s="11"/>
      <c r="P105" s="2">
        <v>10912.68</v>
      </c>
      <c r="Q105" s="2"/>
      <c r="R105" s="22">
        <f t="shared" si="11"/>
        <v>3.1267243349569897E-3</v>
      </c>
      <c r="S105" s="2"/>
      <c r="T105" s="2"/>
      <c r="U105" s="2"/>
      <c r="V105" s="22">
        <f t="shared" si="12"/>
        <v>0</v>
      </c>
      <c r="W105" s="2"/>
      <c r="X105" s="2">
        <f t="shared" si="13"/>
        <v>10912.68</v>
      </c>
      <c r="Y105" s="2"/>
      <c r="Z105" s="22">
        <f t="shared" si="14"/>
        <v>0</v>
      </c>
    </row>
    <row r="106" spans="1:26" s="24" customFormat="1" hidden="1" outlineLevel="1" x14ac:dyDescent="0.25">
      <c r="A106" s="51"/>
      <c r="B106" s="11" t="str">
        <f>CONCATENATE("          ", "5043", " - ", "PURCHASES @ COST-CARDS")</f>
        <v xml:space="preserve">          5043 - PURCHASES @ COST-CARDS</v>
      </c>
      <c r="C106" s="11"/>
      <c r="D106" s="2">
        <v>2526.75</v>
      </c>
      <c r="E106" s="2"/>
      <c r="F106" s="22">
        <f t="shared" si="7"/>
        <v>7.5890723725237849E-3</v>
      </c>
      <c r="G106" s="2"/>
      <c r="H106" s="2"/>
      <c r="I106" s="2"/>
      <c r="J106" s="22">
        <f t="shared" si="8"/>
        <v>0</v>
      </c>
      <c r="K106" s="2"/>
      <c r="L106" s="2">
        <f t="shared" si="9"/>
        <v>2526.75</v>
      </c>
      <c r="M106" s="2"/>
      <c r="N106" s="22">
        <f t="shared" si="10"/>
        <v>0</v>
      </c>
      <c r="O106" s="11"/>
      <c r="P106" s="2">
        <v>5643</v>
      </c>
      <c r="Q106" s="2"/>
      <c r="R106" s="22">
        <f t="shared" si="11"/>
        <v>1.6168443885610402E-3</v>
      </c>
      <c r="S106" s="2"/>
      <c r="T106" s="2"/>
      <c r="U106" s="2"/>
      <c r="V106" s="22">
        <f t="shared" si="12"/>
        <v>0</v>
      </c>
      <c r="W106" s="2"/>
      <c r="X106" s="2">
        <f t="shared" si="13"/>
        <v>5643</v>
      </c>
      <c r="Y106" s="2"/>
      <c r="Z106" s="22">
        <f t="shared" si="14"/>
        <v>0</v>
      </c>
    </row>
    <row r="107" spans="1:26" s="24" customFormat="1" hidden="1" outlineLevel="1" x14ac:dyDescent="0.25">
      <c r="A107" s="51"/>
      <c r="B107" s="11" t="str">
        <f>CONCATENATE("          ", "5045", " - ", "PURCHASES @ COST-SPECIAL ORDER")</f>
        <v xml:space="preserve">          5045 - PURCHASES @ COST-SPECIAL ORDER</v>
      </c>
      <c r="C107" s="11"/>
      <c r="D107" s="2">
        <v>10080.23</v>
      </c>
      <c r="E107" s="2"/>
      <c r="F107" s="22">
        <f t="shared" si="7"/>
        <v>3.0275886020257416E-2</v>
      </c>
      <c r="G107" s="2"/>
      <c r="H107" s="2"/>
      <c r="I107" s="2"/>
      <c r="J107" s="22">
        <f t="shared" si="8"/>
        <v>0</v>
      </c>
      <c r="K107" s="2"/>
      <c r="L107" s="2">
        <f t="shared" si="9"/>
        <v>10080.23</v>
      </c>
      <c r="M107" s="2"/>
      <c r="N107" s="22">
        <f t="shared" si="10"/>
        <v>0</v>
      </c>
      <c r="O107" s="11"/>
      <c r="P107" s="2">
        <v>71254.52</v>
      </c>
      <c r="Q107" s="2"/>
      <c r="R107" s="22">
        <f t="shared" si="11"/>
        <v>2.0415996955805496E-2</v>
      </c>
      <c r="S107" s="2"/>
      <c r="T107" s="2"/>
      <c r="U107" s="2"/>
      <c r="V107" s="22">
        <f t="shared" si="12"/>
        <v>0</v>
      </c>
      <c r="W107" s="2"/>
      <c r="X107" s="2">
        <f t="shared" si="13"/>
        <v>71254.52</v>
      </c>
      <c r="Y107" s="2"/>
      <c r="Z107" s="22">
        <f t="shared" si="14"/>
        <v>0</v>
      </c>
    </row>
    <row r="108" spans="1:26" s="24" customFormat="1" hidden="1" outlineLevel="1" x14ac:dyDescent="0.25">
      <c r="A108" s="51"/>
      <c r="B108" s="11" t="str">
        <f>CONCATENATE("          ", "5081", " - ", "PURCHASES @ COST-ELECTRONICS")</f>
        <v xml:space="preserve">          5081 - PURCHASES @ COST-ELECTRONICS</v>
      </c>
      <c r="C108" s="11"/>
      <c r="D108" s="2">
        <v>6249.76</v>
      </c>
      <c r="E108" s="2"/>
      <c r="F108" s="22">
        <f t="shared" si="7"/>
        <v>1.8771101593313248E-2</v>
      </c>
      <c r="G108" s="2"/>
      <c r="H108" s="2"/>
      <c r="I108" s="2"/>
      <c r="J108" s="22">
        <f t="shared" si="8"/>
        <v>0</v>
      </c>
      <c r="K108" s="2"/>
      <c r="L108" s="2">
        <f t="shared" si="9"/>
        <v>6249.76</v>
      </c>
      <c r="M108" s="2"/>
      <c r="N108" s="22">
        <f t="shared" si="10"/>
        <v>0</v>
      </c>
      <c r="O108" s="11"/>
      <c r="P108" s="2">
        <v>21947.21</v>
      </c>
      <c r="Q108" s="2"/>
      <c r="R108" s="22">
        <f t="shared" si="11"/>
        <v>6.2883613916481914E-3</v>
      </c>
      <c r="S108" s="2"/>
      <c r="T108" s="2"/>
      <c r="U108" s="2"/>
      <c r="V108" s="22">
        <f t="shared" si="12"/>
        <v>0</v>
      </c>
      <c r="W108" s="2"/>
      <c r="X108" s="2">
        <f t="shared" si="13"/>
        <v>21947.21</v>
      </c>
      <c r="Y108" s="2"/>
      <c r="Z108" s="22">
        <f t="shared" si="14"/>
        <v>0</v>
      </c>
    </row>
    <row r="109" spans="1:26" s="24" customFormat="1" hidden="1" outlineLevel="1" x14ac:dyDescent="0.25">
      <c r="A109" s="51"/>
      <c r="B109" s="11" t="str">
        <f>CONCATENATE("          ", "5082", " - ", "PURCHASES @ COST-COMPUTER HARD")</f>
        <v xml:space="preserve">          5082 - PURCHASES @ COST-COMPUTER HARD</v>
      </c>
      <c r="C109" s="11"/>
      <c r="D109" s="2">
        <v>175404.87</v>
      </c>
      <c r="E109" s="2"/>
      <c r="F109" s="22">
        <f t="shared" si="7"/>
        <v>0.52682705171589039</v>
      </c>
      <c r="G109" s="2"/>
      <c r="H109" s="2"/>
      <c r="I109" s="2"/>
      <c r="J109" s="22">
        <f t="shared" si="8"/>
        <v>0</v>
      </c>
      <c r="K109" s="2"/>
      <c r="L109" s="2">
        <f t="shared" si="9"/>
        <v>175404.87</v>
      </c>
      <c r="M109" s="2"/>
      <c r="N109" s="22">
        <f t="shared" si="10"/>
        <v>0</v>
      </c>
      <c r="O109" s="11"/>
      <c r="P109" s="2">
        <v>888778.08000000007</v>
      </c>
      <c r="Q109" s="2"/>
      <c r="R109" s="22">
        <f t="shared" si="11"/>
        <v>0.25465458999185808</v>
      </c>
      <c r="S109" s="2"/>
      <c r="T109" s="2"/>
      <c r="U109" s="2"/>
      <c r="V109" s="22">
        <f t="shared" si="12"/>
        <v>0</v>
      </c>
      <c r="W109" s="2"/>
      <c r="X109" s="2">
        <f t="shared" si="13"/>
        <v>888778.08000000007</v>
      </c>
      <c r="Y109" s="2"/>
      <c r="Z109" s="22">
        <f t="shared" si="14"/>
        <v>0</v>
      </c>
    </row>
    <row r="110" spans="1:26" s="24" customFormat="1" hidden="1" outlineLevel="1" x14ac:dyDescent="0.25">
      <c r="A110" s="51"/>
      <c r="B110" s="11" t="str">
        <f>CONCATENATE("          ", "5083", " - ", "PURCHASES @ COST-COMPUTER EQUI")</f>
        <v xml:space="preserve">          5083 - PURCHASES @ COST-COMPUTER EQUI</v>
      </c>
      <c r="C110" s="11"/>
      <c r="D110" s="2">
        <v>11838.95</v>
      </c>
      <c r="E110" s="2"/>
      <c r="F110" s="22">
        <f t="shared" si="7"/>
        <v>3.5558186747676052E-2</v>
      </c>
      <c r="G110" s="2"/>
      <c r="H110" s="2"/>
      <c r="I110" s="2"/>
      <c r="J110" s="22">
        <f t="shared" si="8"/>
        <v>0</v>
      </c>
      <c r="K110" s="2"/>
      <c r="L110" s="2">
        <f t="shared" si="9"/>
        <v>11838.95</v>
      </c>
      <c r="M110" s="2"/>
      <c r="N110" s="22">
        <f t="shared" si="10"/>
        <v>0</v>
      </c>
      <c r="O110" s="11"/>
      <c r="P110" s="2">
        <v>73272.95</v>
      </c>
      <c r="Q110" s="2"/>
      <c r="R110" s="22">
        <f t="shared" si="11"/>
        <v>2.0994321821870221E-2</v>
      </c>
      <c r="S110" s="2"/>
      <c r="T110" s="2"/>
      <c r="U110" s="2"/>
      <c r="V110" s="22">
        <f t="shared" si="12"/>
        <v>0</v>
      </c>
      <c r="W110" s="2"/>
      <c r="X110" s="2">
        <f t="shared" si="13"/>
        <v>73272.95</v>
      </c>
      <c r="Y110" s="2"/>
      <c r="Z110" s="22">
        <f t="shared" si="14"/>
        <v>0</v>
      </c>
    </row>
    <row r="111" spans="1:26" s="24" customFormat="1" hidden="1" outlineLevel="1" x14ac:dyDescent="0.25">
      <c r="A111" s="51"/>
      <c r="B111" s="11" t="str">
        <f>CONCATENATE("          ", "5085", " - ", "PURCHASES @ COST-SOFTWARE")</f>
        <v xml:space="preserve">          5085 - PURCHASES @ COST-SOFTWARE</v>
      </c>
      <c r="C111" s="11"/>
      <c r="D111" s="2">
        <v>5843.52</v>
      </c>
      <c r="E111" s="2"/>
      <c r="F111" s="22">
        <f t="shared" si="7"/>
        <v>1.7550963170194989E-2</v>
      </c>
      <c r="G111" s="2"/>
      <c r="H111" s="2"/>
      <c r="I111" s="2"/>
      <c r="J111" s="22">
        <f t="shared" si="8"/>
        <v>0</v>
      </c>
      <c r="K111" s="2"/>
      <c r="L111" s="2">
        <f t="shared" si="9"/>
        <v>5843.52</v>
      </c>
      <c r="M111" s="2"/>
      <c r="N111" s="22">
        <f t="shared" si="10"/>
        <v>0</v>
      </c>
      <c r="O111" s="11"/>
      <c r="P111" s="2">
        <v>20681.2</v>
      </c>
      <c r="Q111" s="2"/>
      <c r="R111" s="22">
        <f t="shared" si="11"/>
        <v>5.9256215078342346E-3</v>
      </c>
      <c r="S111" s="2"/>
      <c r="T111" s="2"/>
      <c r="U111" s="2"/>
      <c r="V111" s="22">
        <f t="shared" si="12"/>
        <v>0</v>
      </c>
      <c r="W111" s="2"/>
      <c r="X111" s="2">
        <f t="shared" si="13"/>
        <v>20681.2</v>
      </c>
      <c r="Y111" s="2"/>
      <c r="Z111" s="22">
        <f t="shared" si="14"/>
        <v>0</v>
      </c>
    </row>
    <row r="112" spans="1:26" s="24" customFormat="1" hidden="1" outlineLevel="1" x14ac:dyDescent="0.25">
      <c r="A112" s="51"/>
      <c r="B112" s="11" t="str">
        <f>CONCATENATE("          ", "5086", " - ", "PURCHASES @ COST-COMPUTER SUPP")</f>
        <v xml:space="preserve">          5086 - PURCHASES @ COST-COMPUTER SUPP</v>
      </c>
      <c r="C112" s="11"/>
      <c r="D112" s="2">
        <v>773.47</v>
      </c>
      <c r="E112" s="2"/>
      <c r="F112" s="22">
        <f t="shared" si="7"/>
        <v>2.323110639349351E-3</v>
      </c>
      <c r="G112" s="2"/>
      <c r="H112" s="2"/>
      <c r="I112" s="2"/>
      <c r="J112" s="22">
        <f t="shared" si="8"/>
        <v>0</v>
      </c>
      <c r="K112" s="2"/>
      <c r="L112" s="2">
        <f t="shared" si="9"/>
        <v>773.47</v>
      </c>
      <c r="M112" s="2"/>
      <c r="N112" s="22">
        <f t="shared" si="10"/>
        <v>0</v>
      </c>
      <c r="O112" s="11"/>
      <c r="P112" s="2">
        <v>22529.439999999999</v>
      </c>
      <c r="Q112" s="2"/>
      <c r="R112" s="22">
        <f t="shared" si="11"/>
        <v>6.4551831723236993E-3</v>
      </c>
      <c r="S112" s="2"/>
      <c r="T112" s="2"/>
      <c r="U112" s="2"/>
      <c r="V112" s="22">
        <f t="shared" si="12"/>
        <v>0</v>
      </c>
      <c r="W112" s="2"/>
      <c r="X112" s="2">
        <f t="shared" si="13"/>
        <v>22529.439999999999</v>
      </c>
      <c r="Y112" s="2"/>
      <c r="Z112" s="22">
        <f t="shared" si="14"/>
        <v>0</v>
      </c>
    </row>
    <row r="113" spans="1:26" s="24" customFormat="1" hidden="1" outlineLevel="1" x14ac:dyDescent="0.25">
      <c r="A113" s="51"/>
      <c r="B113" s="11" t="str">
        <f>CONCATENATE("          ", "5200", " - ", "PURCHASES OFFSET")</f>
        <v xml:space="preserve">          5200 - PURCHASES OFFSET</v>
      </c>
      <c r="C113" s="11"/>
      <c r="D113" s="2">
        <v>-434415.86</v>
      </c>
      <c r="E113" s="2"/>
      <c r="F113" s="22">
        <f t="shared" si="7"/>
        <v>-1.3047643816413022</v>
      </c>
      <c r="G113" s="2"/>
      <c r="H113" s="2"/>
      <c r="I113" s="2"/>
      <c r="J113" s="22">
        <f t="shared" si="8"/>
        <v>0</v>
      </c>
      <c r="K113" s="2"/>
      <c r="L113" s="2">
        <f t="shared" si="9"/>
        <v>-434415.86</v>
      </c>
      <c r="M113" s="2"/>
      <c r="N113" s="22">
        <f t="shared" si="10"/>
        <v>0</v>
      </c>
      <c r="O113" s="11"/>
      <c r="P113" s="2">
        <v>-2796709.36</v>
      </c>
      <c r="Q113" s="2"/>
      <c r="R113" s="22">
        <f t="shared" si="11"/>
        <v>-0.80131912726424559</v>
      </c>
      <c r="S113" s="2"/>
      <c r="T113" s="2"/>
      <c r="U113" s="2"/>
      <c r="V113" s="22">
        <f t="shared" si="12"/>
        <v>0</v>
      </c>
      <c r="W113" s="2"/>
      <c r="X113" s="2">
        <f t="shared" si="13"/>
        <v>-2796709.36</v>
      </c>
      <c r="Y113" s="2"/>
      <c r="Z113" s="22">
        <f t="shared" si="14"/>
        <v>0</v>
      </c>
    </row>
    <row r="114" spans="1:26" s="24" customFormat="1" hidden="1" outlineLevel="1" x14ac:dyDescent="0.25">
      <c r="A114" s="51"/>
      <c r="B114" s="11" t="str">
        <f>CONCATENATE("          ", "5300", " - ", "COG$ OFFSET")</f>
        <v xml:space="preserve">          5300 - COG$ OFFSET</v>
      </c>
      <c r="C114" s="11"/>
      <c r="D114" s="2">
        <v>241934</v>
      </c>
      <c r="E114" s="2"/>
      <c r="F114" s="22">
        <f t="shared" si="7"/>
        <v>0.72664673409485281</v>
      </c>
      <c r="G114" s="2"/>
      <c r="H114" s="2"/>
      <c r="I114" s="2"/>
      <c r="J114" s="22">
        <f t="shared" si="8"/>
        <v>0</v>
      </c>
      <c r="K114" s="2"/>
      <c r="L114" s="2">
        <f t="shared" si="9"/>
        <v>241934</v>
      </c>
      <c r="M114" s="2"/>
      <c r="N114" s="22">
        <f t="shared" si="10"/>
        <v>0</v>
      </c>
      <c r="O114" s="11"/>
      <c r="P114" s="2">
        <v>2276964</v>
      </c>
      <c r="Q114" s="2"/>
      <c r="R114" s="22">
        <f t="shared" si="11"/>
        <v>0.65240057883315616</v>
      </c>
      <c r="S114" s="2"/>
      <c r="T114" s="2"/>
      <c r="U114" s="2"/>
      <c r="V114" s="22">
        <f t="shared" si="12"/>
        <v>0</v>
      </c>
      <c r="W114" s="2"/>
      <c r="X114" s="2">
        <f t="shared" si="13"/>
        <v>2276964</v>
      </c>
      <c r="Y114" s="2"/>
      <c r="Z114" s="22">
        <f t="shared" si="14"/>
        <v>0</v>
      </c>
    </row>
    <row r="115" spans="1:26" s="24" customFormat="1" hidden="1" outlineLevel="1" x14ac:dyDescent="0.25">
      <c r="A115" s="51"/>
      <c r="B115" s="11" t="str">
        <f>CONCATENATE("          ", "5501", " - ", "FREIGHT-IN-NEW TEXT")</f>
        <v xml:space="preserve">          5501 - FREIGHT-IN-NEW TEXT</v>
      </c>
      <c r="C115" s="11"/>
      <c r="D115" s="2">
        <v>23295.74</v>
      </c>
      <c r="E115" s="2"/>
      <c r="F115" s="22">
        <f t="shared" si="7"/>
        <v>6.9968559149697143E-2</v>
      </c>
      <c r="G115" s="2"/>
      <c r="H115" s="2"/>
      <c r="I115" s="2"/>
      <c r="J115" s="22">
        <f t="shared" si="8"/>
        <v>0</v>
      </c>
      <c r="K115" s="2"/>
      <c r="L115" s="2">
        <f t="shared" si="9"/>
        <v>23295.74</v>
      </c>
      <c r="M115" s="2"/>
      <c r="N115" s="22">
        <f t="shared" si="10"/>
        <v>0</v>
      </c>
      <c r="O115" s="11"/>
      <c r="P115" s="2">
        <v>34058.620000000003</v>
      </c>
      <c r="Q115" s="2"/>
      <c r="R115" s="22">
        <f t="shared" si="11"/>
        <v>9.7585484014057807E-3</v>
      </c>
      <c r="S115" s="2"/>
      <c r="T115" s="2"/>
      <c r="U115" s="2"/>
      <c r="V115" s="22">
        <f t="shared" si="12"/>
        <v>0</v>
      </c>
      <c r="W115" s="2"/>
      <c r="X115" s="2">
        <f t="shared" si="13"/>
        <v>34058.620000000003</v>
      </c>
      <c r="Y115" s="2"/>
      <c r="Z115" s="22">
        <f t="shared" si="14"/>
        <v>0</v>
      </c>
    </row>
    <row r="116" spans="1:26" s="24" customFormat="1" hidden="1" outlineLevel="1" x14ac:dyDescent="0.25">
      <c r="A116" s="51"/>
      <c r="B116" s="11" t="str">
        <f>CONCATENATE("          ", "5502", " - ", "FREIGHT-IN-USED TEXT")</f>
        <v xml:space="preserve">          5502 - FREIGHT-IN-USED TEXT</v>
      </c>
      <c r="C116" s="11"/>
      <c r="D116" s="2">
        <v>2233.9</v>
      </c>
      <c r="E116" s="2"/>
      <c r="F116" s="22">
        <f t="shared" si="7"/>
        <v>6.7094998606830446E-3</v>
      </c>
      <c r="G116" s="2"/>
      <c r="H116" s="2"/>
      <c r="I116" s="2"/>
      <c r="J116" s="22">
        <f t="shared" si="8"/>
        <v>0</v>
      </c>
      <c r="K116" s="2"/>
      <c r="L116" s="2">
        <f t="shared" si="9"/>
        <v>2233.9</v>
      </c>
      <c r="M116" s="2"/>
      <c r="N116" s="22">
        <f t="shared" si="10"/>
        <v>0</v>
      </c>
      <c r="O116" s="11"/>
      <c r="P116" s="2">
        <v>10744.72</v>
      </c>
      <c r="Q116" s="2"/>
      <c r="R116" s="22">
        <f t="shared" si="11"/>
        <v>3.0786000777351724E-3</v>
      </c>
      <c r="S116" s="2"/>
      <c r="T116" s="2"/>
      <c r="U116" s="2"/>
      <c r="V116" s="22">
        <f t="shared" si="12"/>
        <v>0</v>
      </c>
      <c r="W116" s="2"/>
      <c r="X116" s="2">
        <f t="shared" si="13"/>
        <v>10744.72</v>
      </c>
      <c r="Y116" s="2"/>
      <c r="Z116" s="22">
        <f t="shared" si="14"/>
        <v>0</v>
      </c>
    </row>
    <row r="117" spans="1:26" s="24" customFormat="1" hidden="1" outlineLevel="1" x14ac:dyDescent="0.25">
      <c r="A117" s="51"/>
      <c r="B117" s="11" t="str">
        <f>CONCATENATE("          ", "5504", " - ", "FREIGHT-IN-DIGITAL TEXT")</f>
        <v xml:space="preserve">          5504 - FREIGHT-IN-DIGITAL TEXT</v>
      </c>
      <c r="C117" s="11"/>
      <c r="D117" s="2">
        <v>10.99</v>
      </c>
      <c r="E117" s="2"/>
      <c r="F117" s="22">
        <f t="shared" si="7"/>
        <v>3.3008372563188443E-5</v>
      </c>
      <c r="G117" s="2"/>
      <c r="H117" s="2"/>
      <c r="I117" s="2"/>
      <c r="J117" s="22">
        <f t="shared" si="8"/>
        <v>0</v>
      </c>
      <c r="K117" s="2"/>
      <c r="L117" s="2">
        <f t="shared" si="9"/>
        <v>10.99</v>
      </c>
      <c r="M117" s="2"/>
      <c r="N117" s="22">
        <f t="shared" si="10"/>
        <v>0</v>
      </c>
      <c r="O117" s="11"/>
      <c r="P117" s="2">
        <v>21.98</v>
      </c>
      <c r="Q117" s="2"/>
      <c r="R117" s="22">
        <f t="shared" si="11"/>
        <v>6.2977564523430205E-6</v>
      </c>
      <c r="S117" s="2"/>
      <c r="T117" s="2"/>
      <c r="U117" s="2"/>
      <c r="V117" s="22">
        <f t="shared" si="12"/>
        <v>0</v>
      </c>
      <c r="W117" s="2"/>
      <c r="X117" s="2">
        <f t="shared" si="13"/>
        <v>21.98</v>
      </c>
      <c r="Y117" s="2"/>
      <c r="Z117" s="22">
        <f t="shared" si="14"/>
        <v>0</v>
      </c>
    </row>
    <row r="118" spans="1:26" s="24" customFormat="1" hidden="1" outlineLevel="1" x14ac:dyDescent="0.25">
      <c r="A118" s="51"/>
      <c r="B118" s="11" t="str">
        <f>CONCATENATE("          ", "5525", " - ", "FREIGHT-IN-TEST FORMS")</f>
        <v xml:space="preserve">          5525 - FREIGHT-IN-TEST FORMS</v>
      </c>
      <c r="C118" s="11"/>
      <c r="D118" s="2">
        <v>48.14</v>
      </c>
      <c r="E118" s="2"/>
      <c r="F118" s="22">
        <f t="shared" si="7"/>
        <v>1.4458808509480362E-4</v>
      </c>
      <c r="G118" s="2"/>
      <c r="H118" s="2"/>
      <c r="I118" s="2"/>
      <c r="J118" s="22">
        <f t="shared" si="8"/>
        <v>0</v>
      </c>
      <c r="K118" s="2"/>
      <c r="L118" s="2">
        <f t="shared" si="9"/>
        <v>48.14</v>
      </c>
      <c r="M118" s="2"/>
      <c r="N118" s="22">
        <f t="shared" si="10"/>
        <v>0</v>
      </c>
      <c r="O118" s="11"/>
      <c r="P118" s="2">
        <v>48.14</v>
      </c>
      <c r="Q118" s="2"/>
      <c r="R118" s="22">
        <f t="shared" si="11"/>
        <v>1.3793175414731255E-5</v>
      </c>
      <c r="S118" s="2"/>
      <c r="T118" s="2"/>
      <c r="U118" s="2"/>
      <c r="V118" s="22">
        <f t="shared" si="12"/>
        <v>0</v>
      </c>
      <c r="W118" s="2"/>
      <c r="X118" s="2">
        <f t="shared" si="13"/>
        <v>48.14</v>
      </c>
      <c r="Y118" s="2"/>
      <c r="Z118" s="22">
        <f t="shared" si="14"/>
        <v>0</v>
      </c>
    </row>
    <row r="119" spans="1:26" s="24" customFormat="1" hidden="1" outlineLevel="1" x14ac:dyDescent="0.25">
      <c r="A119" s="51"/>
      <c r="B119" s="11" t="str">
        <f>CONCATENATE("          ", "5527", " - ", "FREIGHT-IN-SCHOOL SUPPLIES")</f>
        <v xml:space="preserve">          5527 - FREIGHT-IN-SCHOOL SUPPLIES</v>
      </c>
      <c r="C119" s="11"/>
      <c r="D119" s="2">
        <v>56</v>
      </c>
      <c r="E119" s="2"/>
      <c r="F119" s="22">
        <f t="shared" si="7"/>
        <v>1.6819552898439971E-4</v>
      </c>
      <c r="G119" s="2"/>
      <c r="H119" s="2"/>
      <c r="I119" s="2"/>
      <c r="J119" s="22">
        <f t="shared" si="8"/>
        <v>0</v>
      </c>
      <c r="K119" s="2"/>
      <c r="L119" s="2">
        <f t="shared" si="9"/>
        <v>56</v>
      </c>
      <c r="M119" s="2"/>
      <c r="N119" s="22">
        <f t="shared" si="10"/>
        <v>0</v>
      </c>
      <c r="O119" s="11"/>
      <c r="P119" s="2">
        <v>56</v>
      </c>
      <c r="Q119" s="2"/>
      <c r="R119" s="22">
        <f t="shared" si="11"/>
        <v>1.6045239369026804E-5</v>
      </c>
      <c r="S119" s="2"/>
      <c r="T119" s="2"/>
      <c r="U119" s="2"/>
      <c r="V119" s="22">
        <f t="shared" si="12"/>
        <v>0</v>
      </c>
      <c r="W119" s="2"/>
      <c r="X119" s="2">
        <f t="shared" si="13"/>
        <v>56</v>
      </c>
      <c r="Y119" s="2"/>
      <c r="Z119" s="22">
        <f t="shared" si="14"/>
        <v>0</v>
      </c>
    </row>
    <row r="120" spans="1:26" s="24" customFormat="1" hidden="1" outlineLevel="1" x14ac:dyDescent="0.25">
      <c r="A120" s="51"/>
      <c r="B120" s="11" t="str">
        <f>CONCATENATE("          ", "5528", " - ", "FREIGHT-IN-ART/TECH")</f>
        <v xml:space="preserve">          5528 - FREIGHT-IN-ART/TECH</v>
      </c>
      <c r="C120" s="11"/>
      <c r="D120" s="2">
        <v>239.39</v>
      </c>
      <c r="E120" s="2"/>
      <c r="F120" s="22">
        <f t="shared" si="7"/>
        <v>7.1900585149241867E-4</v>
      </c>
      <c r="G120" s="2"/>
      <c r="H120" s="2"/>
      <c r="I120" s="2"/>
      <c r="J120" s="22">
        <f t="shared" si="8"/>
        <v>0</v>
      </c>
      <c r="K120" s="2"/>
      <c r="L120" s="2">
        <f t="shared" si="9"/>
        <v>239.39</v>
      </c>
      <c r="M120" s="2"/>
      <c r="N120" s="22">
        <f t="shared" si="10"/>
        <v>0</v>
      </c>
      <c r="O120" s="11"/>
      <c r="P120" s="2">
        <v>284.2</v>
      </c>
      <c r="Q120" s="2"/>
      <c r="R120" s="22">
        <f t="shared" si="11"/>
        <v>8.1429589797811023E-5</v>
      </c>
      <c r="S120" s="2"/>
      <c r="T120" s="2"/>
      <c r="U120" s="2"/>
      <c r="V120" s="22">
        <f t="shared" si="12"/>
        <v>0</v>
      </c>
      <c r="W120" s="2"/>
      <c r="X120" s="2">
        <f t="shared" si="13"/>
        <v>284.2</v>
      </c>
      <c r="Y120" s="2"/>
      <c r="Z120" s="22">
        <f t="shared" si="14"/>
        <v>0</v>
      </c>
    </row>
    <row r="121" spans="1:26" s="24" customFormat="1" hidden="1" outlineLevel="1" x14ac:dyDescent="0.25">
      <c r="A121" s="51"/>
      <c r="B121" s="11" t="str">
        <f>CONCATENATE("          ", "5540", " - ", "FREIGHT-IN-LOGO CLOTHING")</f>
        <v xml:space="preserve">          5540 - FREIGHT-IN-LOGO CLOTHING</v>
      </c>
      <c r="C121" s="11"/>
      <c r="D121" s="2">
        <v>1036.57</v>
      </c>
      <c r="E121" s="2"/>
      <c r="F121" s="22">
        <f t="shared" si="7"/>
        <v>3.1133292764171285E-3</v>
      </c>
      <c r="G121" s="2"/>
      <c r="H121" s="2"/>
      <c r="I121" s="2"/>
      <c r="J121" s="22">
        <f t="shared" si="8"/>
        <v>0</v>
      </c>
      <c r="K121" s="2"/>
      <c r="L121" s="2">
        <f t="shared" si="9"/>
        <v>1036.57</v>
      </c>
      <c r="M121" s="2"/>
      <c r="N121" s="22">
        <f t="shared" si="10"/>
        <v>0</v>
      </c>
      <c r="O121" s="11"/>
      <c r="P121" s="2">
        <v>3202.33</v>
      </c>
      <c r="Q121" s="2"/>
      <c r="R121" s="22">
        <f t="shared" si="11"/>
        <v>9.1753841765384995E-4</v>
      </c>
      <c r="S121" s="2"/>
      <c r="T121" s="2"/>
      <c r="U121" s="2"/>
      <c r="V121" s="22">
        <f t="shared" si="12"/>
        <v>0</v>
      </c>
      <c r="W121" s="2"/>
      <c r="X121" s="2">
        <f t="shared" si="13"/>
        <v>3202.33</v>
      </c>
      <c r="Y121" s="2"/>
      <c r="Z121" s="22">
        <f t="shared" si="14"/>
        <v>0</v>
      </c>
    </row>
    <row r="122" spans="1:26" s="24" customFormat="1" hidden="1" outlineLevel="1" x14ac:dyDescent="0.25">
      <c r="A122" s="51"/>
      <c r="B122" s="11" t="str">
        <f>CONCATENATE("          ", "5541", " - ", "FREIGHT-IN-LOGO GIFTS")</f>
        <v xml:space="preserve">          5541 - FREIGHT-IN-LOGO GIFTS</v>
      </c>
      <c r="C122" s="11"/>
      <c r="D122" s="2">
        <v>773.7</v>
      </c>
      <c r="E122" s="2"/>
      <c r="F122" s="22">
        <f t="shared" si="7"/>
        <v>2.3238014424148226E-3</v>
      </c>
      <c r="G122" s="2"/>
      <c r="H122" s="2"/>
      <c r="I122" s="2"/>
      <c r="J122" s="22">
        <f t="shared" si="8"/>
        <v>0</v>
      </c>
      <c r="K122" s="2"/>
      <c r="L122" s="2">
        <f t="shared" si="9"/>
        <v>773.7</v>
      </c>
      <c r="M122" s="2"/>
      <c r="N122" s="22">
        <f t="shared" si="10"/>
        <v>0</v>
      </c>
      <c r="O122" s="11"/>
      <c r="P122" s="2">
        <v>1134.81</v>
      </c>
      <c r="Q122" s="2"/>
      <c r="R122" s="22">
        <f t="shared" si="11"/>
        <v>3.2514818014938042E-4</v>
      </c>
      <c r="S122" s="2"/>
      <c r="T122" s="2"/>
      <c r="U122" s="2"/>
      <c r="V122" s="22">
        <f t="shared" si="12"/>
        <v>0</v>
      </c>
      <c r="W122" s="2"/>
      <c r="X122" s="2">
        <f t="shared" si="13"/>
        <v>1134.81</v>
      </c>
      <c r="Y122" s="2"/>
      <c r="Z122" s="22">
        <f t="shared" si="14"/>
        <v>0</v>
      </c>
    </row>
    <row r="123" spans="1:26" s="24" customFormat="1" hidden="1" outlineLevel="1" x14ac:dyDescent="0.25">
      <c r="A123" s="51"/>
      <c r="B123" s="11" t="str">
        <f>CONCATENATE("          ", "5542", " - ", "FREIGHT-IN-EVERYDAY GIFTS")</f>
        <v xml:space="preserve">          5542 - FREIGHT-IN-EVERYDAY GIFTS</v>
      </c>
      <c r="C123" s="11"/>
      <c r="D123" s="2">
        <v>104.17</v>
      </c>
      <c r="E123" s="2"/>
      <c r="F123" s="22">
        <f t="shared" si="7"/>
        <v>3.1287371882687354E-4</v>
      </c>
      <c r="G123" s="2"/>
      <c r="H123" s="2"/>
      <c r="I123" s="2"/>
      <c r="J123" s="22">
        <f t="shared" si="8"/>
        <v>0</v>
      </c>
      <c r="K123" s="2"/>
      <c r="L123" s="2">
        <f t="shared" si="9"/>
        <v>104.17</v>
      </c>
      <c r="M123" s="2"/>
      <c r="N123" s="22">
        <f t="shared" si="10"/>
        <v>0</v>
      </c>
      <c r="O123" s="11"/>
      <c r="P123" s="2">
        <v>175.55</v>
      </c>
      <c r="Q123" s="2"/>
      <c r="R123" s="22">
        <f t="shared" si="11"/>
        <v>5.0298960200583133E-5</v>
      </c>
      <c r="S123" s="2"/>
      <c r="T123" s="2"/>
      <c r="U123" s="2"/>
      <c r="V123" s="22">
        <f t="shared" si="12"/>
        <v>0</v>
      </c>
      <c r="W123" s="2"/>
      <c r="X123" s="2">
        <f t="shared" si="13"/>
        <v>175.55</v>
      </c>
      <c r="Y123" s="2"/>
      <c r="Z123" s="22">
        <f t="shared" si="14"/>
        <v>0</v>
      </c>
    </row>
    <row r="124" spans="1:26" s="24" customFormat="1" hidden="1" outlineLevel="1" x14ac:dyDescent="0.25">
      <c r="A124" s="51"/>
      <c r="B124" s="11" t="str">
        <f>CONCATENATE("          ", "5543", " - ", "FREIGHT-IN-CARDS")</f>
        <v xml:space="preserve">          5543 - FREIGHT-IN-CARDS</v>
      </c>
      <c r="C124" s="11"/>
      <c r="D124" s="2">
        <v>107.42</v>
      </c>
      <c r="E124" s="2"/>
      <c r="F124" s="22">
        <f t="shared" si="7"/>
        <v>3.2263506649114673E-4</v>
      </c>
      <c r="G124" s="2"/>
      <c r="H124" s="2"/>
      <c r="I124" s="2"/>
      <c r="J124" s="22">
        <f t="shared" si="8"/>
        <v>0</v>
      </c>
      <c r="K124" s="2"/>
      <c r="L124" s="2">
        <f t="shared" si="9"/>
        <v>107.42</v>
      </c>
      <c r="M124" s="2"/>
      <c r="N124" s="22">
        <f t="shared" si="10"/>
        <v>0</v>
      </c>
      <c r="O124" s="11"/>
      <c r="P124" s="2">
        <v>189.19</v>
      </c>
      <c r="Q124" s="2"/>
      <c r="R124" s="22">
        <f t="shared" si="11"/>
        <v>5.420712207546751E-5</v>
      </c>
      <c r="S124" s="2"/>
      <c r="T124" s="2"/>
      <c r="U124" s="2"/>
      <c r="V124" s="22">
        <f t="shared" si="12"/>
        <v>0</v>
      </c>
      <c r="W124" s="2"/>
      <c r="X124" s="2">
        <f t="shared" si="13"/>
        <v>189.19</v>
      </c>
      <c r="Y124" s="2"/>
      <c r="Z124" s="22">
        <f t="shared" si="14"/>
        <v>0</v>
      </c>
    </row>
    <row r="125" spans="1:26" s="24" customFormat="1" hidden="1" outlineLevel="1" x14ac:dyDescent="0.25">
      <c r="A125" s="51"/>
      <c r="B125" s="11" t="str">
        <f>CONCATENATE("          ", "5545", " - ", "FREIGHT-IN-SPECIAL ORDERS")</f>
        <v xml:space="preserve">          5545 - FREIGHT-IN-SPECIAL ORDERS</v>
      </c>
      <c r="C125" s="11"/>
      <c r="D125" s="2">
        <v>189.66</v>
      </c>
      <c r="E125" s="2"/>
      <c r="F125" s="22">
        <f t="shared" si="7"/>
        <v>5.6964221477109368E-4</v>
      </c>
      <c r="G125" s="2"/>
      <c r="H125" s="2"/>
      <c r="I125" s="2"/>
      <c r="J125" s="22">
        <f t="shared" si="8"/>
        <v>0</v>
      </c>
      <c r="K125" s="2"/>
      <c r="L125" s="2">
        <f t="shared" si="9"/>
        <v>189.66</v>
      </c>
      <c r="M125" s="2"/>
      <c r="N125" s="22">
        <f t="shared" si="10"/>
        <v>0</v>
      </c>
      <c r="O125" s="11"/>
      <c r="P125" s="2">
        <v>850.27</v>
      </c>
      <c r="Q125" s="2"/>
      <c r="R125" s="22">
        <f t="shared" si="11"/>
        <v>2.436211728268289E-4</v>
      </c>
      <c r="S125" s="2"/>
      <c r="T125" s="2"/>
      <c r="U125" s="2"/>
      <c r="V125" s="22">
        <f t="shared" si="12"/>
        <v>0</v>
      </c>
      <c r="W125" s="2"/>
      <c r="X125" s="2">
        <f t="shared" si="13"/>
        <v>850.27</v>
      </c>
      <c r="Y125" s="2"/>
      <c r="Z125" s="22">
        <f t="shared" si="14"/>
        <v>0</v>
      </c>
    </row>
    <row r="126" spans="1:26" s="24" customFormat="1" hidden="1" outlineLevel="1" x14ac:dyDescent="0.25">
      <c r="A126" s="51"/>
      <c r="B126" s="11" t="str">
        <f>CONCATENATE("          ", "5582", " - ", "FREIGHT-IN-COMPUTER HARDWARE")</f>
        <v xml:space="preserve">          5582 - FREIGHT-IN-COMPUTER HARDWARE</v>
      </c>
      <c r="C126" s="11"/>
      <c r="D126" s="2">
        <v>70</v>
      </c>
      <c r="E126" s="2"/>
      <c r="F126" s="22">
        <f t="shared" si="7"/>
        <v>2.1024441123049963E-4</v>
      </c>
      <c r="G126" s="2"/>
      <c r="H126" s="2"/>
      <c r="I126" s="2"/>
      <c r="J126" s="22">
        <f t="shared" si="8"/>
        <v>0</v>
      </c>
      <c r="K126" s="2"/>
      <c r="L126" s="2">
        <f t="shared" si="9"/>
        <v>70</v>
      </c>
      <c r="M126" s="2"/>
      <c r="N126" s="22">
        <f t="shared" si="10"/>
        <v>0</v>
      </c>
      <c r="O126" s="11"/>
      <c r="P126" s="2">
        <v>94</v>
      </c>
      <c r="Q126" s="2"/>
      <c r="R126" s="22">
        <f t="shared" si="11"/>
        <v>2.6933080369437848E-5</v>
      </c>
      <c r="S126" s="2"/>
      <c r="T126" s="2"/>
      <c r="U126" s="2"/>
      <c r="V126" s="22">
        <f t="shared" si="12"/>
        <v>0</v>
      </c>
      <c r="W126" s="2"/>
      <c r="X126" s="2">
        <f t="shared" si="13"/>
        <v>94</v>
      </c>
      <c r="Y126" s="2"/>
      <c r="Z126" s="22">
        <f t="shared" si="14"/>
        <v>0</v>
      </c>
    </row>
    <row r="127" spans="1:26" s="24" customFormat="1" hidden="1" outlineLevel="1" x14ac:dyDescent="0.25">
      <c r="A127" s="51"/>
      <c r="B127" s="11" t="str">
        <f>CONCATENATE("          ", "5583", " - ", "FREIGHT-IN-COMPUTER EQUIPMENT")</f>
        <v xml:space="preserve">          5583 - FREIGHT-IN-COMPUTER EQUIPMENT</v>
      </c>
      <c r="C127" s="11"/>
      <c r="D127" s="2">
        <v>51.78</v>
      </c>
      <c r="E127" s="2"/>
      <c r="F127" s="22">
        <f t="shared" si="7"/>
        <v>1.5552079447878959E-4</v>
      </c>
      <c r="G127" s="2"/>
      <c r="H127" s="2"/>
      <c r="I127" s="2"/>
      <c r="J127" s="22">
        <f t="shared" si="8"/>
        <v>0</v>
      </c>
      <c r="K127" s="2"/>
      <c r="L127" s="2">
        <f t="shared" si="9"/>
        <v>51.78</v>
      </c>
      <c r="M127" s="2"/>
      <c r="N127" s="22">
        <f t="shared" si="10"/>
        <v>0</v>
      </c>
      <c r="O127" s="11"/>
      <c r="P127" s="2">
        <v>225.17</v>
      </c>
      <c r="Q127" s="2"/>
      <c r="R127" s="22">
        <f t="shared" si="11"/>
        <v>6.4516188370067229E-5</v>
      </c>
      <c r="S127" s="2"/>
      <c r="T127" s="2"/>
      <c r="U127" s="2"/>
      <c r="V127" s="22">
        <f t="shared" si="12"/>
        <v>0</v>
      </c>
      <c r="W127" s="2"/>
      <c r="X127" s="2">
        <f t="shared" si="13"/>
        <v>225.17</v>
      </c>
      <c r="Y127" s="2"/>
      <c r="Z127" s="22">
        <f t="shared" si="14"/>
        <v>0</v>
      </c>
    </row>
    <row r="128" spans="1:26" s="24" customFormat="1" hidden="1" outlineLevel="1" x14ac:dyDescent="0.25">
      <c r="A128" s="51"/>
      <c r="B128" s="11" t="str">
        <f>CONCATENATE("          ", "5586", " - ", "FREIGHT-IN-COMPUTER SUPPLIES")</f>
        <v xml:space="preserve">          5586 - FREIGHT-IN-COMPUTER SUPPLIES</v>
      </c>
      <c r="C128" s="11"/>
      <c r="D128" s="2"/>
      <c r="E128" s="2"/>
      <c r="F128" s="22">
        <f t="shared" si="7"/>
        <v>0</v>
      </c>
      <c r="G128" s="2"/>
      <c r="H128" s="2"/>
      <c r="I128" s="2"/>
      <c r="J128" s="22">
        <f t="shared" si="8"/>
        <v>0</v>
      </c>
      <c r="K128" s="2"/>
      <c r="L128" s="2">
        <f t="shared" si="9"/>
        <v>0</v>
      </c>
      <c r="M128" s="2"/>
      <c r="N128" s="22">
        <f t="shared" si="10"/>
        <v>0</v>
      </c>
      <c r="O128" s="11"/>
      <c r="P128" s="2">
        <v>24.12</v>
      </c>
      <c r="Q128" s="2"/>
      <c r="R128" s="22">
        <f t="shared" si="11"/>
        <v>6.9109138139451162E-6</v>
      </c>
      <c r="S128" s="2"/>
      <c r="T128" s="2"/>
      <c r="U128" s="2"/>
      <c r="V128" s="22">
        <f t="shared" si="12"/>
        <v>0</v>
      </c>
      <c r="W128" s="2"/>
      <c r="X128" s="2">
        <f t="shared" si="13"/>
        <v>24.12</v>
      </c>
      <c r="Y128" s="2"/>
      <c r="Z128" s="22">
        <f t="shared" si="14"/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6" t="s">
        <v>6</v>
      </c>
      <c r="C130" s="26"/>
      <c r="D130" s="20">
        <f>D12-D89</f>
        <v>89752.329999999871</v>
      </c>
      <c r="E130" s="13"/>
      <c r="F130" s="19">
        <f>IF(D$12=0,0,D130/D$12)</f>
        <v>0.2695703682487926</v>
      </c>
      <c r="G130" s="13"/>
      <c r="H130" s="20">
        <f>H12-H89</f>
        <v>240621</v>
      </c>
      <c r="I130" s="13"/>
      <c r="J130" s="19">
        <f>IF(H$12=0,0,H130/H$12)</f>
        <v>0.45015434119693937</v>
      </c>
      <c r="K130" s="15"/>
      <c r="L130" s="20">
        <f>+D130-H130</f>
        <v>-150868.67000000013</v>
      </c>
      <c r="M130" s="15"/>
      <c r="N130" s="19">
        <f>IF(H130=0,0,L130/H130)</f>
        <v>-0.62699710332847147</v>
      </c>
      <c r="O130" s="25"/>
      <c r="P130" s="20">
        <f>P12-P89</f>
        <v>868426.85999999987</v>
      </c>
      <c r="Q130" s="13"/>
      <c r="R130" s="19">
        <f>IF(P$12=0,0,P130/P$12)</f>
        <v>0.24882351505700581</v>
      </c>
      <c r="S130" s="13"/>
      <c r="T130" s="20">
        <f>T12-T89</f>
        <v>1777340</v>
      </c>
      <c r="U130" s="13"/>
      <c r="V130" s="19">
        <f>IF(T$12=0,0,T130/T$12)</f>
        <v>0.34239178386092423</v>
      </c>
      <c r="W130" s="15"/>
      <c r="X130" s="20">
        <f>+P130-T130</f>
        <v>-908913.14000000013</v>
      </c>
      <c r="Y130" s="15"/>
      <c r="Z130" s="19">
        <f>IF(T130=0,0,X130/T130)</f>
        <v>-0.51138957093184201</v>
      </c>
    </row>
    <row r="131" spans="1:26" x14ac:dyDescent="0.25">
      <c r="A131" s="9"/>
      <c r="B131" s="10"/>
      <c r="C131" s="9"/>
      <c r="D131" s="1"/>
      <c r="E131" s="1"/>
      <c r="F131" s="5"/>
      <c r="G131" s="1"/>
      <c r="H131" s="1"/>
      <c r="I131" s="1"/>
      <c r="J131" s="5"/>
      <c r="K131" s="1"/>
      <c r="L131" s="1"/>
      <c r="M131" s="1"/>
      <c r="N131" s="5"/>
      <c r="O131" s="36"/>
      <c r="P131" s="1"/>
      <c r="Q131" s="1"/>
      <c r="R131" s="5"/>
      <c r="S131" s="1"/>
      <c r="T131" s="1"/>
      <c r="U131" s="1"/>
      <c r="V131" s="5"/>
      <c r="W131" s="1"/>
      <c r="X131" s="1"/>
      <c r="Y131" s="1"/>
      <c r="Z131" s="5"/>
    </row>
    <row r="132" spans="1:26" s="23" customFormat="1" x14ac:dyDescent="0.25">
      <c r="A132" s="10"/>
      <c r="B132" s="25" t="s">
        <v>9</v>
      </c>
      <c r="C132" s="10"/>
      <c r="D132" s="21">
        <f>SUM(OSRRefD22x_0)</f>
        <v>335616.08000000007</v>
      </c>
      <c r="E132" s="21"/>
      <c r="F132" s="31">
        <f t="shared" ref="F132:F143" si="15">IF(D$12=0,0,D132/D$12)</f>
        <v>1.0080200734155469</v>
      </c>
      <c r="G132" s="21"/>
      <c r="H132" s="21">
        <f>SUM(OSRRefH22x_0)</f>
        <v>367696.27563270193</v>
      </c>
      <c r="I132" s="21"/>
      <c r="J132" s="31">
        <f t="shared" ref="J132:J143" si="16">IF(H$12=0,0,H132/H$12)</f>
        <v>0.68788707019756035</v>
      </c>
      <c r="K132" s="4"/>
      <c r="L132" s="21">
        <f t="shared" ref="L132:L143" si="17">+D132-H132</f>
        <v>-32080.195632701856</v>
      </c>
      <c r="M132" s="4"/>
      <c r="N132" s="31">
        <f t="shared" ref="N132:N143" si="18">IF(H132=0,0,L132/H132)</f>
        <v>-8.7246452462704058E-2</v>
      </c>
      <c r="O132" s="10"/>
      <c r="P132" s="21">
        <f>SUM(OSRRefP22x_0)</f>
        <v>1177145.92</v>
      </c>
      <c r="Q132" s="21"/>
      <c r="R132" s="31">
        <f t="shared" ref="R132:R143" si="19">IF(P$12=0,0,P132/P$12)</f>
        <v>0.33727835819059415</v>
      </c>
      <c r="S132" s="21"/>
      <c r="T132" s="21">
        <f>SUM(OSRRefT22x_0)</f>
        <v>1659915.2447103271</v>
      </c>
      <c r="U132" s="21"/>
      <c r="V132" s="31">
        <f t="shared" ref="V132:V143" si="20">IF(T$12=0,0,T132/T$12)</f>
        <v>0.31977074824980672</v>
      </c>
      <c r="W132" s="4"/>
      <c r="X132" s="21">
        <f t="shared" ref="X132:X143" si="21">+P132-T132</f>
        <v>-482769.3247103272</v>
      </c>
      <c r="Y132" s="4"/>
      <c r="Z132" s="31">
        <f t="shared" ref="Z132:Z143" si="22">IF(T132=0,0,X132/T132)</f>
        <v>-0.29083974392594703</v>
      </c>
    </row>
    <row r="133" spans="1:26" s="27" customFormat="1" outlineLevel="1" collapsed="1" x14ac:dyDescent="0.25">
      <c r="A133" s="29"/>
      <c r="B133" s="14" t="str">
        <f>CONCATENATE("     ","*Benefits                                         ")</f>
        <v xml:space="preserve">     *Benefits                                         </v>
      </c>
      <c r="C133" s="14"/>
      <c r="D133" s="1">
        <f>SUM(OSRRefD22_0x_0)</f>
        <v>51389.23000000001</v>
      </c>
      <c r="E133" s="1"/>
      <c r="F133" s="5">
        <f t="shared" si="15"/>
        <v>0.15434712007055329</v>
      </c>
      <c r="G133" s="1"/>
      <c r="H133" s="1">
        <f>SUM(OSRRefH22_0x_0)</f>
        <v>49659.637155009601</v>
      </c>
      <c r="I133" s="1"/>
      <c r="J133" s="5">
        <f t="shared" si="16"/>
        <v>9.2903367734289186E-2</v>
      </c>
      <c r="K133" s="1"/>
      <c r="L133" s="1">
        <f t="shared" si="17"/>
        <v>1729.5928449904095</v>
      </c>
      <c r="M133" s="1"/>
      <c r="N133" s="5">
        <f t="shared" si="18"/>
        <v>3.4828946486088662E-2</v>
      </c>
      <c r="O133" s="14"/>
      <c r="P133" s="1">
        <f>SUM(OSRRefP22_0x_0)</f>
        <v>192868.53999999998</v>
      </c>
      <c r="Q133" s="1"/>
      <c r="R133" s="5">
        <f t="shared" si="19"/>
        <v>5.5261105197405722E-2</v>
      </c>
      <c r="S133" s="1"/>
      <c r="T133" s="1">
        <f>SUM(OSRRefT22_0x_0)</f>
        <v>200073.10219063458</v>
      </c>
      <c r="U133" s="1"/>
      <c r="V133" s="5">
        <f t="shared" si="20"/>
        <v>3.8542645954989116E-2</v>
      </c>
      <c r="W133" s="1"/>
      <c r="X133" s="1">
        <f t="shared" si="21"/>
        <v>-7204.5621906346059</v>
      </c>
      <c r="Y133" s="1"/>
      <c r="Z133" s="5">
        <f t="shared" si="22"/>
        <v>-3.600964903203191E-2</v>
      </c>
    </row>
    <row r="134" spans="1:26" s="24" customFormat="1" hidden="1" outlineLevel="2" x14ac:dyDescent="0.25">
      <c r="A134" s="28"/>
      <c r="B134" s="11" t="str">
        <f>CONCATENATE("          ", "6111", " - ", "F.I.C.A.")</f>
        <v xml:space="preserve">          6111 - F.I.C.A.</v>
      </c>
      <c r="C134" s="11"/>
      <c r="D134" s="7">
        <v>13030.49</v>
      </c>
      <c r="E134" s="2"/>
      <c r="F134" s="6">
        <f t="shared" si="15"/>
        <v>3.9136967115641616E-2</v>
      </c>
      <c r="G134" s="2"/>
      <c r="H134" s="7">
        <v>8431.5728775288462</v>
      </c>
      <c r="I134" s="2"/>
      <c r="J134" s="6">
        <f t="shared" si="16"/>
        <v>1.5773806666658272E-2</v>
      </c>
      <c r="K134" s="2"/>
      <c r="L134" s="7">
        <f t="shared" si="17"/>
        <v>4598.9171224711536</v>
      </c>
      <c r="M134" s="2"/>
      <c r="N134" s="6">
        <f t="shared" si="18"/>
        <v>0.54544000144122806</v>
      </c>
      <c r="O134" s="11"/>
      <c r="P134" s="7">
        <v>44206.879999999997</v>
      </c>
      <c r="Q134" s="2"/>
      <c r="R134" s="6">
        <f t="shared" si="19"/>
        <v>1.266624948853292E-2</v>
      </c>
      <c r="S134" s="2"/>
      <c r="T134" s="7">
        <v>41248.255813903845</v>
      </c>
      <c r="U134" s="2"/>
      <c r="V134" s="6">
        <f t="shared" si="20"/>
        <v>7.946180184587235E-3</v>
      </c>
      <c r="W134" s="2"/>
      <c r="X134" s="7">
        <f t="shared" si="21"/>
        <v>2958.6241860961527</v>
      </c>
      <c r="Y134" s="2"/>
      <c r="Z134" s="6">
        <f t="shared" si="22"/>
        <v>7.1727255558254849E-2</v>
      </c>
    </row>
    <row r="135" spans="1:26" s="24" customFormat="1" hidden="1" outlineLevel="2" x14ac:dyDescent="0.25">
      <c r="A135" s="28"/>
      <c r="B135" s="11" t="str">
        <f>CONCATENATE("          ", "6112", " - ", "COMPENSATION INSURANCE")</f>
        <v xml:space="preserve">          6112 - COMPENSATION INSURANCE</v>
      </c>
      <c r="C135" s="11"/>
      <c r="D135" s="7">
        <v>1900.4</v>
      </c>
      <c r="E135" s="2"/>
      <c r="F135" s="6">
        <f t="shared" si="15"/>
        <v>5.7078354157491648E-3</v>
      </c>
      <c r="G135" s="2"/>
      <c r="H135" s="7">
        <v>3370.0636675961559</v>
      </c>
      <c r="I135" s="2"/>
      <c r="J135" s="6">
        <f t="shared" si="16"/>
        <v>6.3047231541656333E-3</v>
      </c>
      <c r="K135" s="2"/>
      <c r="L135" s="7">
        <f t="shared" si="17"/>
        <v>-1469.6636675961558</v>
      </c>
      <c r="M135" s="2"/>
      <c r="N135" s="6">
        <f t="shared" si="18"/>
        <v>-0.43609373963087683</v>
      </c>
      <c r="O135" s="11"/>
      <c r="P135" s="7">
        <v>10427.35</v>
      </c>
      <c r="Q135" s="2"/>
      <c r="R135" s="6">
        <f t="shared" si="19"/>
        <v>2.9876665488325293E-3</v>
      </c>
      <c r="S135" s="2"/>
      <c r="T135" s="7">
        <v>14096.70716634615</v>
      </c>
      <c r="U135" s="2"/>
      <c r="V135" s="6">
        <f t="shared" si="20"/>
        <v>2.7156293749368903E-3</v>
      </c>
      <c r="W135" s="2"/>
      <c r="X135" s="7">
        <f t="shared" si="21"/>
        <v>-3669.3571663461498</v>
      </c>
      <c r="Y135" s="2"/>
      <c r="Z135" s="6">
        <f t="shared" si="22"/>
        <v>-0.26029888562246717</v>
      </c>
    </row>
    <row r="136" spans="1:26" s="24" customFormat="1" hidden="1" outlineLevel="2" x14ac:dyDescent="0.25">
      <c r="A136" s="28"/>
      <c r="B136" s="11" t="str">
        <f>CONCATENATE("          ", "6113", " - ", "GROUP INSURANCE")</f>
        <v xml:space="preserve">          6113 - GROUP INSURANCE</v>
      </c>
      <c r="C136" s="11"/>
      <c r="D136" s="7">
        <v>15836.910000000002</v>
      </c>
      <c r="E136" s="2"/>
      <c r="F136" s="6">
        <f t="shared" si="15"/>
        <v>4.7566025980863035E-2</v>
      </c>
      <c r="G136" s="2"/>
      <c r="H136" s="7">
        <v>19167.307692307681</v>
      </c>
      <c r="I136" s="2"/>
      <c r="J136" s="6">
        <f t="shared" si="16"/>
        <v>3.5858244985889812E-2</v>
      </c>
      <c r="K136" s="2"/>
      <c r="L136" s="7">
        <f t="shared" si="17"/>
        <v>-3330.3976923076789</v>
      </c>
      <c r="M136" s="2"/>
      <c r="N136" s="6">
        <f t="shared" si="18"/>
        <v>-0.17375406842580457</v>
      </c>
      <c r="O136" s="11"/>
      <c r="P136" s="7">
        <v>62728.97</v>
      </c>
      <c r="Q136" s="2"/>
      <c r="R136" s="6">
        <f t="shared" si="19"/>
        <v>1.7973238196830381E-2</v>
      </c>
      <c r="S136" s="2"/>
      <c r="T136" s="7">
        <v>74802.307692307659</v>
      </c>
      <c r="U136" s="2"/>
      <c r="V136" s="6">
        <f t="shared" si="20"/>
        <v>1.4410127250657136E-2</v>
      </c>
      <c r="W136" s="2"/>
      <c r="X136" s="7">
        <f t="shared" si="21"/>
        <v>-12073.337692307658</v>
      </c>
      <c r="Y136" s="2"/>
      <c r="Z136" s="6">
        <f t="shared" si="22"/>
        <v>-0.16140327838507618</v>
      </c>
    </row>
    <row r="137" spans="1:26" s="24" customFormat="1" hidden="1" outlineLevel="2" x14ac:dyDescent="0.25">
      <c r="A137" s="28"/>
      <c r="B137" s="11" t="str">
        <f>CONCATENATE("          ", "6114", " - ", "STATE UNEMPLOYMENT INSURANCE")</f>
        <v xml:space="preserve">          6114 - STATE UNEMPLOYMENT INSURANCE</v>
      </c>
      <c r="C137" s="11"/>
      <c r="D137" s="7">
        <v>324.23</v>
      </c>
      <c r="E137" s="2"/>
      <c r="F137" s="6">
        <f t="shared" si="15"/>
        <v>9.7382207790378428E-4</v>
      </c>
      <c r="G137" s="2"/>
      <c r="H137" s="7">
        <v>478.32876950000008</v>
      </c>
      <c r="I137" s="2"/>
      <c r="J137" s="6">
        <f t="shared" si="16"/>
        <v>8.9485860382017865E-4</v>
      </c>
      <c r="K137" s="2"/>
      <c r="L137" s="7">
        <f t="shared" si="17"/>
        <v>-154.09876950000006</v>
      </c>
      <c r="M137" s="2"/>
      <c r="N137" s="6">
        <f t="shared" si="18"/>
        <v>-0.32216078004482235</v>
      </c>
      <c r="O137" s="11"/>
      <c r="P137" s="7">
        <v>1518.69</v>
      </c>
      <c r="Q137" s="2"/>
      <c r="R137" s="6">
        <f t="shared" si="19"/>
        <v>4.3513829602405922E-4</v>
      </c>
      <c r="S137" s="2"/>
      <c r="T137" s="7">
        <v>1993.6986449999999</v>
      </c>
      <c r="U137" s="2"/>
      <c r="V137" s="6">
        <f t="shared" si="20"/>
        <v>3.8407172265444848E-4</v>
      </c>
      <c r="W137" s="2"/>
      <c r="X137" s="7">
        <f t="shared" si="21"/>
        <v>-475.00864499999989</v>
      </c>
      <c r="Y137" s="2"/>
      <c r="Z137" s="6">
        <f t="shared" si="22"/>
        <v>-0.23825498712720442</v>
      </c>
    </row>
    <row r="138" spans="1:26" s="24" customFormat="1" hidden="1" outlineLevel="2" x14ac:dyDescent="0.25">
      <c r="A138" s="28"/>
      <c r="B138" s="11" t="str">
        <f>CONCATENATE("          ", "6115", " - ", "P.E.R.S.")</f>
        <v xml:space="preserve">          6115 - P.E.R.S.</v>
      </c>
      <c r="C138" s="11"/>
      <c r="D138" s="7">
        <v>5115.0600000000004</v>
      </c>
      <c r="E138" s="2"/>
      <c r="F138" s="6">
        <f t="shared" si="15"/>
        <v>1.536303968726685E-2</v>
      </c>
      <c r="G138" s="2"/>
      <c r="H138" s="7">
        <v>6111.2918942307688</v>
      </c>
      <c r="I138" s="2"/>
      <c r="J138" s="6">
        <f t="shared" si="16"/>
        <v>1.1433019464259758E-2</v>
      </c>
      <c r="K138" s="2"/>
      <c r="L138" s="7">
        <f t="shared" si="17"/>
        <v>-996.23189423076838</v>
      </c>
      <c r="M138" s="2"/>
      <c r="N138" s="6">
        <f t="shared" si="18"/>
        <v>-0.16301494208961598</v>
      </c>
      <c r="O138" s="11"/>
      <c r="P138" s="7">
        <v>25977.06</v>
      </c>
      <c r="Q138" s="2"/>
      <c r="R138" s="6">
        <f t="shared" si="19"/>
        <v>7.4430026036352041E-3</v>
      </c>
      <c r="S138" s="2"/>
      <c r="T138" s="7">
        <v>22000.65081923077</v>
      </c>
      <c r="U138" s="2"/>
      <c r="V138" s="6">
        <f t="shared" si="20"/>
        <v>4.2382673433882809E-3</v>
      </c>
      <c r="W138" s="2"/>
      <c r="X138" s="7">
        <f t="shared" si="21"/>
        <v>3976.4091807692312</v>
      </c>
      <c r="Y138" s="2"/>
      <c r="Z138" s="6">
        <f t="shared" si="22"/>
        <v>0.18074052506180643</v>
      </c>
    </row>
    <row r="139" spans="1:26" s="24" customFormat="1" hidden="1" outlineLevel="2" x14ac:dyDescent="0.25">
      <c r="A139" s="28"/>
      <c r="B139" s="11" t="str">
        <f>CONCATENATE("          ", "6116", " - ", "EDUCATIONAL BENEFITS")</f>
        <v xml:space="preserve">          6116 - EDUCATIONAL BENEFITS</v>
      </c>
      <c r="C139" s="11"/>
      <c r="D139" s="7"/>
      <c r="E139" s="2"/>
      <c r="F139" s="6">
        <f t="shared" si="15"/>
        <v>0</v>
      </c>
      <c r="G139" s="2"/>
      <c r="H139" s="7">
        <v>0</v>
      </c>
      <c r="I139" s="2"/>
      <c r="J139" s="6">
        <f t="shared" si="16"/>
        <v>0</v>
      </c>
      <c r="K139" s="2"/>
      <c r="L139" s="7">
        <f t="shared" si="17"/>
        <v>0</v>
      </c>
      <c r="M139" s="2"/>
      <c r="N139" s="6">
        <f t="shared" si="18"/>
        <v>0</v>
      </c>
      <c r="O139" s="11"/>
      <c r="P139" s="7">
        <v>0</v>
      </c>
      <c r="Q139" s="2"/>
      <c r="R139" s="6">
        <f t="shared" si="19"/>
        <v>0</v>
      </c>
      <c r="S139" s="2"/>
      <c r="T139" s="7">
        <v>0</v>
      </c>
      <c r="U139" s="2"/>
      <c r="V139" s="6">
        <f t="shared" si="20"/>
        <v>0</v>
      </c>
      <c r="W139" s="2"/>
      <c r="X139" s="7">
        <f t="shared" si="21"/>
        <v>0</v>
      </c>
      <c r="Y139" s="2"/>
      <c r="Z139" s="6">
        <f t="shared" si="22"/>
        <v>0</v>
      </c>
    </row>
    <row r="140" spans="1:26" s="24" customFormat="1" hidden="1" outlineLevel="2" x14ac:dyDescent="0.25">
      <c r="A140" s="28"/>
      <c r="B140" s="11" t="str">
        <f>CONCATENATE("          ", "6117", " - ", "RETIREMENT STAFF HOURLY")</f>
        <v xml:space="preserve">          6117 - RETIREMENT STAFF HOURLY</v>
      </c>
      <c r="C140" s="11"/>
      <c r="D140" s="7">
        <v>378.72</v>
      </c>
      <c r="E140" s="2"/>
      <c r="F140" s="6">
        <f t="shared" si="15"/>
        <v>1.1374823345887833E-3</v>
      </c>
      <c r="G140" s="2"/>
      <c r="H140" s="7"/>
      <c r="I140" s="2"/>
      <c r="J140" s="6">
        <f t="shared" si="16"/>
        <v>0</v>
      </c>
      <c r="K140" s="2"/>
      <c r="L140" s="7">
        <f t="shared" si="17"/>
        <v>378.72</v>
      </c>
      <c r="M140" s="2"/>
      <c r="N140" s="6">
        <f t="shared" si="18"/>
        <v>0</v>
      </c>
      <c r="O140" s="11"/>
      <c r="P140" s="7">
        <v>1840.3</v>
      </c>
      <c r="Q140" s="2"/>
      <c r="R140" s="6">
        <f t="shared" si="19"/>
        <v>5.2728667876464331E-4</v>
      </c>
      <c r="S140" s="2"/>
      <c r="T140" s="7"/>
      <c r="U140" s="2"/>
      <c r="V140" s="6">
        <f t="shared" si="20"/>
        <v>0</v>
      </c>
      <c r="W140" s="2"/>
      <c r="X140" s="7">
        <f t="shared" si="21"/>
        <v>1840.3</v>
      </c>
      <c r="Y140" s="2"/>
      <c r="Z140" s="6">
        <f t="shared" si="22"/>
        <v>0</v>
      </c>
    </row>
    <row r="141" spans="1:26" s="24" customFormat="1" hidden="1" outlineLevel="2" x14ac:dyDescent="0.25">
      <c r="A141" s="28"/>
      <c r="B141" s="11" t="str">
        <f>CONCATENATE("          ", "6118", " - ", "VACATION")</f>
        <v xml:space="preserve">          6118 - VACATION</v>
      </c>
      <c r="C141" s="11"/>
      <c r="D141" s="7">
        <v>7230.84</v>
      </c>
      <c r="E141" s="2"/>
      <c r="F141" s="6">
        <f t="shared" si="15"/>
        <v>2.1717767121456372E-2</v>
      </c>
      <c r="G141" s="2"/>
      <c r="H141" s="7">
        <v>5175.6155249999965</v>
      </c>
      <c r="I141" s="2"/>
      <c r="J141" s="6">
        <f t="shared" si="16"/>
        <v>9.6825538791087424E-3</v>
      </c>
      <c r="K141" s="2"/>
      <c r="L141" s="7">
        <f t="shared" si="17"/>
        <v>2055.2244750000036</v>
      </c>
      <c r="M141" s="2"/>
      <c r="N141" s="6">
        <f t="shared" si="18"/>
        <v>0.39709759449336318</v>
      </c>
      <c r="O141" s="11"/>
      <c r="P141" s="7">
        <v>22433.809999999998</v>
      </c>
      <c r="Q141" s="2"/>
      <c r="R141" s="6">
        <f t="shared" si="19"/>
        <v>6.4277830608797703E-3</v>
      </c>
      <c r="S141" s="2"/>
      <c r="T141" s="7">
        <v>18632.215889999992</v>
      </c>
      <c r="U141" s="2"/>
      <c r="V141" s="6">
        <f t="shared" si="20"/>
        <v>3.5893625506987718E-3</v>
      </c>
      <c r="W141" s="2"/>
      <c r="X141" s="7">
        <f t="shared" si="21"/>
        <v>3801.5941100000055</v>
      </c>
      <c r="Y141" s="2"/>
      <c r="Z141" s="6">
        <f t="shared" si="22"/>
        <v>0.20403338671276028</v>
      </c>
    </row>
    <row r="142" spans="1:26" s="24" customFormat="1" hidden="1" outlineLevel="2" x14ac:dyDescent="0.25">
      <c r="A142" s="28"/>
      <c r="B142" s="11" t="str">
        <f>CONCATENATE("          ", "6119", " - ", "SICK LEAVE")</f>
        <v xml:space="preserve">          6119 - SICK LEAVE</v>
      </c>
      <c r="C142" s="11"/>
      <c r="D142" s="7">
        <v>5525.85</v>
      </c>
      <c r="E142" s="2"/>
      <c r="F142" s="6">
        <f t="shared" si="15"/>
        <v>1.6596843997115092E-2</v>
      </c>
      <c r="G142" s="2"/>
      <c r="H142" s="7">
        <v>5125.4567288461521</v>
      </c>
      <c r="I142" s="2"/>
      <c r="J142" s="6">
        <f t="shared" si="16"/>
        <v>9.5887166835278703E-3</v>
      </c>
      <c r="K142" s="2"/>
      <c r="L142" s="7">
        <f t="shared" si="17"/>
        <v>400.39327115384822</v>
      </c>
      <c r="M142" s="2"/>
      <c r="N142" s="6">
        <f t="shared" si="18"/>
        <v>7.8118554567133208E-2</v>
      </c>
      <c r="O142" s="11"/>
      <c r="P142" s="7">
        <v>16774.02</v>
      </c>
      <c r="Q142" s="2"/>
      <c r="R142" s="6">
        <f t="shared" si="19"/>
        <v>4.8061279657293388E-3</v>
      </c>
      <c r="S142" s="2"/>
      <c r="T142" s="7">
        <v>20099.266163846143</v>
      </c>
      <c r="U142" s="2"/>
      <c r="V142" s="6">
        <f t="shared" si="20"/>
        <v>3.8719792477155727E-3</v>
      </c>
      <c r="W142" s="2"/>
      <c r="X142" s="7">
        <f t="shared" si="21"/>
        <v>-3325.2461638461427</v>
      </c>
      <c r="Y142" s="2"/>
      <c r="Z142" s="6">
        <f t="shared" si="22"/>
        <v>-0.16544117266467565</v>
      </c>
    </row>
    <row r="143" spans="1:26" s="24" customFormat="1" hidden="1" outlineLevel="2" x14ac:dyDescent="0.25">
      <c r="A143" s="28"/>
      <c r="B143" s="11" t="str">
        <f>CONCATENATE("          ", "6156", " - ", "EMPLOYEE MEALS")</f>
        <v xml:space="preserve">          6156 - EMPLOYEE MEALS</v>
      </c>
      <c r="C143" s="11"/>
      <c r="D143" s="7">
        <v>2046.73</v>
      </c>
      <c r="E143" s="2"/>
      <c r="F143" s="6">
        <f t="shared" si="15"/>
        <v>6.1473363399685791E-3</v>
      </c>
      <c r="G143" s="2"/>
      <c r="H143" s="7">
        <v>1800</v>
      </c>
      <c r="I143" s="2"/>
      <c r="J143" s="6">
        <f t="shared" si="16"/>
        <v>3.3674442968589227E-3</v>
      </c>
      <c r="K143" s="2"/>
      <c r="L143" s="7">
        <f t="shared" si="17"/>
        <v>246.73000000000002</v>
      </c>
      <c r="M143" s="2"/>
      <c r="N143" s="6">
        <f t="shared" si="18"/>
        <v>0.13707222222222223</v>
      </c>
      <c r="O143" s="11"/>
      <c r="P143" s="7">
        <v>6961.46</v>
      </c>
      <c r="Q143" s="2"/>
      <c r="R143" s="6">
        <f t="shared" si="19"/>
        <v>1.9946123581768807E-3</v>
      </c>
      <c r="S143" s="2"/>
      <c r="T143" s="7">
        <v>7200</v>
      </c>
      <c r="U143" s="2"/>
      <c r="V143" s="6">
        <f t="shared" si="20"/>
        <v>1.3870282803507795E-3</v>
      </c>
      <c r="W143" s="2"/>
      <c r="X143" s="7">
        <f t="shared" si="21"/>
        <v>-238.53999999999996</v>
      </c>
      <c r="Y143" s="2"/>
      <c r="Z143" s="6">
        <f t="shared" si="22"/>
        <v>-3.3130555555555552E-2</v>
      </c>
    </row>
    <row r="144" spans="1:26" s="27" customFormat="1" outlineLevel="1" collapsed="1" x14ac:dyDescent="0.25">
      <c r="A144" s="29"/>
      <c r="B144" s="14" t="str">
        <f>CONCATENATE("     ","*Payroll                                          ")</f>
        <v xml:space="preserve">     *Payroll                                          </v>
      </c>
      <c r="C144" s="14"/>
      <c r="D144" s="1">
        <f>SUM(OSRRefD22_1x_0)</f>
        <v>126380.26</v>
      </c>
      <c r="E144" s="1"/>
      <c r="F144" s="5">
        <f t="shared" ref="F144:F154" si="23">IF(D$12=0,0,D144/D$12)</f>
        <v>0.37958204792653516</v>
      </c>
      <c r="G144" s="1"/>
      <c r="H144" s="1">
        <f>SUM(OSRRefH22_1x_0)</f>
        <v>168787.63847769238</v>
      </c>
      <c r="I144" s="1"/>
      <c r="J144" s="5">
        <f t="shared" ref="J144:J154" si="24">IF(H$12=0,0,H144/H$12)</f>
        <v>0.31576831698443936</v>
      </c>
      <c r="K144" s="1"/>
      <c r="L144" s="1">
        <f t="shared" ref="L144:L154" si="25">+D144-H144</f>
        <v>-42407.378477692386</v>
      </c>
      <c r="M144" s="1"/>
      <c r="N144" s="5">
        <f t="shared" ref="N144:N154" si="26">IF(H144=0,0,L144/H144)</f>
        <v>-0.25124694474173304</v>
      </c>
      <c r="O144" s="14"/>
      <c r="P144" s="1">
        <f>SUM(OSRRefP22_1x_0)</f>
        <v>550367.99999999988</v>
      </c>
      <c r="Q144" s="1"/>
      <c r="R144" s="5">
        <f t="shared" ref="R144:R154" si="27">IF(P$12=0,0,P144/P$12)</f>
        <v>0.15769261251879538</v>
      </c>
      <c r="S144" s="1"/>
      <c r="T144" s="1">
        <f>SUM(OSRRefT22_1x_0)</f>
        <v>715211.14251969242</v>
      </c>
      <c r="U144" s="1"/>
      <c r="V144" s="5">
        <f t="shared" ref="V144:V154" si="28">IF(T$12=0,0,T144/T$12)</f>
        <v>0.13778028904122294</v>
      </c>
      <c r="W144" s="1"/>
      <c r="X144" s="1">
        <f t="shared" ref="X144:X154" si="29">+P144-T144</f>
        <v>-164843.14251969254</v>
      </c>
      <c r="Y144" s="1"/>
      <c r="Z144" s="5">
        <f t="shared" ref="Z144:Z154" si="30">IF(T144=0,0,X144/T144)</f>
        <v>-0.23048178743265846</v>
      </c>
    </row>
    <row r="145" spans="1:26" s="24" customFormat="1" hidden="1" outlineLevel="2" x14ac:dyDescent="0.25">
      <c r="A145" s="28"/>
      <c r="B145" s="11" t="str">
        <f>CONCATENATE("          ", "6001", " - ", "ADMINISTRATIVE SALARIES")</f>
        <v xml:space="preserve">          6001 - ADMINISTRATIVE SALARIES</v>
      </c>
      <c r="C145" s="11"/>
      <c r="D145" s="7">
        <v>4205.17</v>
      </c>
      <c r="E145" s="2"/>
      <c r="F145" s="6">
        <f t="shared" si="23"/>
        <v>1.2630192725345145E-2</v>
      </c>
      <c r="G145" s="2"/>
      <c r="H145" s="7">
        <v>9699.6153846153902</v>
      </c>
      <c r="I145" s="2"/>
      <c r="J145" s="6">
        <f t="shared" si="24"/>
        <v>1.8146063615915645E-2</v>
      </c>
      <c r="K145" s="2"/>
      <c r="L145" s="7">
        <f t="shared" si="25"/>
        <v>-5494.4453846153901</v>
      </c>
      <c r="M145" s="2"/>
      <c r="N145" s="6">
        <f t="shared" si="26"/>
        <v>-0.56646012926761591</v>
      </c>
      <c r="O145" s="11"/>
      <c r="P145" s="7">
        <v>17142.5</v>
      </c>
      <c r="Q145" s="2"/>
      <c r="R145" s="6">
        <f t="shared" si="27"/>
        <v>4.9117056407775349E-3</v>
      </c>
      <c r="S145" s="2"/>
      <c r="T145" s="7">
        <v>34918.615384615397</v>
      </c>
      <c r="U145" s="2"/>
      <c r="V145" s="6">
        <f t="shared" si="28"/>
        <v>6.7268204234935229E-3</v>
      </c>
      <c r="W145" s="2"/>
      <c r="X145" s="7">
        <f t="shared" si="29"/>
        <v>-17776.115384615397</v>
      </c>
      <c r="Y145" s="2"/>
      <c r="Z145" s="6">
        <f t="shared" si="30"/>
        <v>-0.50907274497623067</v>
      </c>
    </row>
    <row r="146" spans="1:26" s="24" customFormat="1" hidden="1" outlineLevel="2" x14ac:dyDescent="0.25">
      <c r="A146" s="28"/>
      <c r="B146" s="11" t="str">
        <f>CONCATENATE("          ", "6002", " - ", "STAFF SALARIES")</f>
        <v xml:space="preserve">          6002 - STAFF SALARIES</v>
      </c>
      <c r="C146" s="11"/>
      <c r="D146" s="7">
        <v>57436.28</v>
      </c>
      <c r="E146" s="2"/>
      <c r="F146" s="6">
        <f t="shared" si="23"/>
        <v>0.17250938388385886</v>
      </c>
      <c r="G146" s="2"/>
      <c r="H146" s="7">
        <v>54219.325493076991</v>
      </c>
      <c r="I146" s="2"/>
      <c r="J146" s="6">
        <f t="shared" si="24"/>
        <v>0.10143364356177761</v>
      </c>
      <c r="K146" s="2"/>
      <c r="L146" s="7">
        <f t="shared" si="25"/>
        <v>3216.954506923008</v>
      </c>
      <c r="M146" s="2"/>
      <c r="N146" s="6">
        <f t="shared" si="26"/>
        <v>5.9332248744661455E-2</v>
      </c>
      <c r="O146" s="11"/>
      <c r="P146" s="7">
        <v>236331.59999999998</v>
      </c>
      <c r="Q146" s="2"/>
      <c r="R146" s="6">
        <f t="shared" si="27"/>
        <v>6.7714233794019543E-2</v>
      </c>
      <c r="S146" s="2"/>
      <c r="T146" s="7">
        <v>195189.57177507709</v>
      </c>
      <c r="U146" s="2"/>
      <c r="V146" s="6">
        <f t="shared" si="28"/>
        <v>3.760186890022086E-2</v>
      </c>
      <c r="W146" s="2"/>
      <c r="X146" s="7">
        <f t="shared" si="29"/>
        <v>41142.028224922891</v>
      </c>
      <c r="Y146" s="2"/>
      <c r="Z146" s="6">
        <f t="shared" si="30"/>
        <v>0.21077984776938857</v>
      </c>
    </row>
    <row r="147" spans="1:26" s="24" customFormat="1" hidden="1" outlineLevel="2" x14ac:dyDescent="0.25">
      <c r="A147" s="28"/>
      <c r="B147" s="11" t="str">
        <f>CONCATENATE("          ", "6003", " - ", "STAFF HOURLY-9 MONTH")</f>
        <v xml:space="preserve">          6003 - STAFF HOURLY-9 MONTH</v>
      </c>
      <c r="C147" s="11"/>
      <c r="D147" s="7"/>
      <c r="E147" s="2"/>
      <c r="F147" s="6">
        <f t="shared" si="23"/>
        <v>0</v>
      </c>
      <c r="G147" s="2"/>
      <c r="H147" s="7">
        <v>0</v>
      </c>
      <c r="I147" s="2"/>
      <c r="J147" s="6">
        <f t="shared" si="24"/>
        <v>0</v>
      </c>
      <c r="K147" s="2"/>
      <c r="L147" s="7">
        <f t="shared" si="25"/>
        <v>0</v>
      </c>
      <c r="M147" s="2"/>
      <c r="N147" s="6">
        <f t="shared" si="26"/>
        <v>0</v>
      </c>
      <c r="O147" s="11"/>
      <c r="P147" s="7"/>
      <c r="Q147" s="2"/>
      <c r="R147" s="6">
        <f t="shared" si="27"/>
        <v>0</v>
      </c>
      <c r="S147" s="2"/>
      <c r="T147" s="7">
        <v>0</v>
      </c>
      <c r="U147" s="2"/>
      <c r="V147" s="6">
        <f t="shared" si="28"/>
        <v>0</v>
      </c>
      <c r="W147" s="2"/>
      <c r="X147" s="7">
        <f t="shared" si="29"/>
        <v>0</v>
      </c>
      <c r="Y147" s="2"/>
      <c r="Z147" s="6">
        <f t="shared" si="30"/>
        <v>0</v>
      </c>
    </row>
    <row r="148" spans="1:26" s="24" customFormat="1" hidden="1" outlineLevel="2" x14ac:dyDescent="0.25">
      <c r="A148" s="28"/>
      <c r="B148" s="11" t="str">
        <f>CONCATENATE("          ", "6004", " - ", "STAFF HOURLY")</f>
        <v xml:space="preserve">          6004 - STAFF HOURLY</v>
      </c>
      <c r="C148" s="11"/>
      <c r="D148" s="7">
        <v>21970.18</v>
      </c>
      <c r="E148" s="2"/>
      <c r="F148" s="6">
        <f t="shared" si="23"/>
        <v>6.5987250838972833E-2</v>
      </c>
      <c r="G148" s="2"/>
      <c r="H148" s="7">
        <v>34852.4876</v>
      </c>
      <c r="I148" s="2"/>
      <c r="J148" s="6">
        <f t="shared" si="24"/>
        <v>6.5202116999981297E-2</v>
      </c>
      <c r="K148" s="2"/>
      <c r="L148" s="7">
        <f t="shared" si="25"/>
        <v>-12882.3076</v>
      </c>
      <c r="M148" s="2"/>
      <c r="N148" s="6">
        <f t="shared" si="26"/>
        <v>-0.36962376252305157</v>
      </c>
      <c r="O148" s="11"/>
      <c r="P148" s="7">
        <v>77997.440000000002</v>
      </c>
      <c r="Q148" s="2"/>
      <c r="R148" s="6">
        <f t="shared" si="27"/>
        <v>2.2347992767344747E-2</v>
      </c>
      <c r="S148" s="2"/>
      <c r="T148" s="7">
        <v>124508.11536000001</v>
      </c>
      <c r="U148" s="2"/>
      <c r="V148" s="6">
        <f t="shared" si="28"/>
        <v>2.3985594046874621E-2</v>
      </c>
      <c r="W148" s="2"/>
      <c r="X148" s="7">
        <f t="shared" si="29"/>
        <v>-46510.675360000008</v>
      </c>
      <c r="Y148" s="2"/>
      <c r="Z148" s="6">
        <f t="shared" si="30"/>
        <v>-0.37355537207771616</v>
      </c>
    </row>
    <row r="149" spans="1:26" s="24" customFormat="1" hidden="1" outlineLevel="2" x14ac:dyDescent="0.25">
      <c r="A149" s="28"/>
      <c r="B149" s="11" t="str">
        <f>CONCATENATE("          ", "6005", " - ", "TEMPORARY WAGES-HOURLY")</f>
        <v xml:space="preserve">          6005 - TEMPORARY WAGES-HOURLY</v>
      </c>
      <c r="C149" s="11"/>
      <c r="D149" s="7">
        <v>19636.400000000001</v>
      </c>
      <c r="E149" s="2"/>
      <c r="F149" s="6">
        <f t="shared" si="23"/>
        <v>5.8977762238379763E-2</v>
      </c>
      <c r="G149" s="2"/>
      <c r="H149" s="7">
        <v>3562.5</v>
      </c>
      <c r="I149" s="2"/>
      <c r="J149" s="6">
        <f t="shared" si="24"/>
        <v>6.6647335041999517E-3</v>
      </c>
      <c r="K149" s="2"/>
      <c r="L149" s="7">
        <f t="shared" si="25"/>
        <v>16073.900000000001</v>
      </c>
      <c r="M149" s="2"/>
      <c r="N149" s="6">
        <f t="shared" si="26"/>
        <v>4.5119719298245622</v>
      </c>
      <c r="O149" s="11"/>
      <c r="P149" s="7">
        <v>80368.899999999994</v>
      </c>
      <c r="Q149" s="2"/>
      <c r="R149" s="6">
        <f t="shared" si="27"/>
        <v>2.3027468541524609E-2</v>
      </c>
      <c r="S149" s="2"/>
      <c r="T149" s="7">
        <v>14250</v>
      </c>
      <c r="U149" s="2"/>
      <c r="V149" s="6">
        <f t="shared" si="28"/>
        <v>2.7451601381942511E-3</v>
      </c>
      <c r="W149" s="2"/>
      <c r="X149" s="7">
        <f t="shared" si="29"/>
        <v>66118.899999999994</v>
      </c>
      <c r="Y149" s="2"/>
      <c r="Z149" s="6">
        <f t="shared" si="30"/>
        <v>4.6399228070175438</v>
      </c>
    </row>
    <row r="150" spans="1:26" s="24" customFormat="1" hidden="1" outlineLevel="2" x14ac:dyDescent="0.25">
      <c r="A150" s="28"/>
      <c r="B150" s="11" t="str">
        <f>CONCATENATE("          ", "6006", " - ", "TEMPORARY PART TIME")</f>
        <v xml:space="preserve">          6006 - TEMPORARY PART TIME</v>
      </c>
      <c r="C150" s="11"/>
      <c r="D150" s="7">
        <v>1802.76</v>
      </c>
      <c r="E150" s="2"/>
      <c r="F150" s="6">
        <f t="shared" si="23"/>
        <v>5.4145744969985076E-3</v>
      </c>
      <c r="G150" s="2"/>
      <c r="H150" s="7">
        <v>0</v>
      </c>
      <c r="I150" s="2"/>
      <c r="J150" s="6">
        <f t="shared" si="24"/>
        <v>0</v>
      </c>
      <c r="K150" s="2"/>
      <c r="L150" s="7">
        <f t="shared" si="25"/>
        <v>1802.76</v>
      </c>
      <c r="M150" s="2"/>
      <c r="N150" s="6">
        <f t="shared" si="26"/>
        <v>0</v>
      </c>
      <c r="O150" s="11"/>
      <c r="P150" s="7">
        <v>7507.17</v>
      </c>
      <c r="Q150" s="2"/>
      <c r="R150" s="6">
        <f t="shared" si="27"/>
        <v>2.150970350606731E-3</v>
      </c>
      <c r="S150" s="2"/>
      <c r="T150" s="7">
        <v>0</v>
      </c>
      <c r="U150" s="2"/>
      <c r="V150" s="6">
        <f t="shared" si="28"/>
        <v>0</v>
      </c>
      <c r="W150" s="2"/>
      <c r="X150" s="7">
        <f t="shared" si="29"/>
        <v>7507.17</v>
      </c>
      <c r="Y150" s="2"/>
      <c r="Z150" s="6">
        <f t="shared" si="30"/>
        <v>0</v>
      </c>
    </row>
    <row r="151" spans="1:26" s="24" customFormat="1" hidden="1" outlineLevel="2" x14ac:dyDescent="0.25">
      <c r="A151" s="28"/>
      <c r="B151" s="11" t="str">
        <f>CONCATENATE("          ", "6007", " - ", "STUDENT HOURLY")</f>
        <v xml:space="preserve">          6007 - STUDENT HOURLY</v>
      </c>
      <c r="C151" s="11"/>
      <c r="D151" s="7">
        <v>19853.449999999997</v>
      </c>
      <c r="E151" s="2"/>
      <c r="F151" s="6">
        <f t="shared" si="23"/>
        <v>5.9629670087773749E-2</v>
      </c>
      <c r="G151" s="2"/>
      <c r="H151" s="7">
        <v>0</v>
      </c>
      <c r="I151" s="2"/>
      <c r="J151" s="6">
        <f t="shared" si="24"/>
        <v>0</v>
      </c>
      <c r="K151" s="2"/>
      <c r="L151" s="7">
        <f t="shared" si="25"/>
        <v>19853.449999999997</v>
      </c>
      <c r="M151" s="2"/>
      <c r="N151" s="6">
        <f t="shared" si="26"/>
        <v>0</v>
      </c>
      <c r="O151" s="11"/>
      <c r="P151" s="7">
        <v>128055.66999999998</v>
      </c>
      <c r="Q151" s="2"/>
      <c r="R151" s="6">
        <f t="shared" si="27"/>
        <v>3.6690783530555431E-2</v>
      </c>
      <c r="S151" s="2"/>
      <c r="T151" s="7">
        <v>142161.47999999998</v>
      </c>
      <c r="U151" s="2"/>
      <c r="V151" s="6">
        <f t="shared" si="28"/>
        <v>2.7386387935628014E-2</v>
      </c>
      <c r="W151" s="2"/>
      <c r="X151" s="7">
        <f t="shared" si="29"/>
        <v>-14105.809999999998</v>
      </c>
      <c r="Y151" s="2"/>
      <c r="Z151" s="6">
        <f t="shared" si="30"/>
        <v>-9.9223854450586749E-2</v>
      </c>
    </row>
    <row r="152" spans="1:26" s="24" customFormat="1" hidden="1" outlineLevel="2" x14ac:dyDescent="0.25">
      <c r="A152" s="28"/>
      <c r="B152" s="11" t="str">
        <f>CONCATENATE("          ", "6008", " - ", "STUDENT HOURLY-FICA EXEMPT")</f>
        <v xml:space="preserve">          6008 - STUDENT HOURLY-FICA EXEMPT</v>
      </c>
      <c r="C152" s="11"/>
      <c r="D152" s="7">
        <v>1476.02</v>
      </c>
      <c r="E152" s="2"/>
      <c r="F152" s="6">
        <f t="shared" si="23"/>
        <v>4.4332136552063155E-3</v>
      </c>
      <c r="G152" s="2"/>
      <c r="H152" s="7">
        <v>66453.709999999992</v>
      </c>
      <c r="I152" s="2"/>
      <c r="J152" s="6">
        <f t="shared" si="24"/>
        <v>0.12432175930256485</v>
      </c>
      <c r="K152" s="2"/>
      <c r="L152" s="7">
        <f t="shared" si="25"/>
        <v>-64977.689999999995</v>
      </c>
      <c r="M152" s="2"/>
      <c r="N152" s="6">
        <f t="shared" si="26"/>
        <v>-0.97778874949193961</v>
      </c>
      <c r="O152" s="11"/>
      <c r="P152" s="7">
        <v>2964.72</v>
      </c>
      <c r="Q152" s="2"/>
      <c r="R152" s="6">
        <f t="shared" si="27"/>
        <v>8.4945789396680604E-4</v>
      </c>
      <c r="S152" s="2"/>
      <c r="T152" s="7">
        <v>204183.36</v>
      </c>
      <c r="U152" s="2"/>
      <c r="V152" s="6">
        <f t="shared" si="28"/>
        <v>3.933445759681168E-2</v>
      </c>
      <c r="W152" s="2"/>
      <c r="X152" s="7">
        <f t="shared" si="29"/>
        <v>-201218.63999999998</v>
      </c>
      <c r="Y152" s="2"/>
      <c r="Z152" s="6">
        <f t="shared" si="30"/>
        <v>-0.98548010964262711</v>
      </c>
    </row>
    <row r="153" spans="1:26" s="24" customFormat="1" hidden="1" outlineLevel="2" x14ac:dyDescent="0.25">
      <c r="A153" s="28"/>
      <c r="B153" s="11" t="str">
        <f>CONCATENATE("          ", "6009", " - ", "TEMPORARY-SEASONAL")</f>
        <v xml:space="preserve">          6009 - TEMPORARY-SEASONAL</v>
      </c>
      <c r="C153" s="11"/>
      <c r="D153" s="7"/>
      <c r="E153" s="2"/>
      <c r="F153" s="6">
        <f t="shared" si="23"/>
        <v>0</v>
      </c>
      <c r="G153" s="2"/>
      <c r="H153" s="7">
        <v>0</v>
      </c>
      <c r="I153" s="2"/>
      <c r="J153" s="6">
        <f t="shared" si="24"/>
        <v>0</v>
      </c>
      <c r="K153" s="2"/>
      <c r="L153" s="7">
        <f t="shared" si="25"/>
        <v>0</v>
      </c>
      <c r="M153" s="2"/>
      <c r="N153" s="6">
        <f t="shared" si="26"/>
        <v>0</v>
      </c>
      <c r="O153" s="11"/>
      <c r="P153" s="7"/>
      <c r="Q153" s="2"/>
      <c r="R153" s="6">
        <f t="shared" si="27"/>
        <v>0</v>
      </c>
      <c r="S153" s="2"/>
      <c r="T153" s="7">
        <v>0</v>
      </c>
      <c r="U153" s="2"/>
      <c r="V153" s="6">
        <f t="shared" si="28"/>
        <v>0</v>
      </c>
      <c r="W153" s="2"/>
      <c r="X153" s="7">
        <f t="shared" si="29"/>
        <v>0</v>
      </c>
      <c r="Y153" s="2"/>
      <c r="Z153" s="6">
        <f t="shared" si="30"/>
        <v>0</v>
      </c>
    </row>
    <row r="154" spans="1:26" s="24" customFormat="1" hidden="1" outlineLevel="2" x14ac:dyDescent="0.25">
      <c r="A154" s="28"/>
      <c r="B154" s="11" t="str">
        <f>CONCATENATE("          ", "6010", " - ", "GRATUITY")</f>
        <v xml:space="preserve">          6010 - GRATUITY</v>
      </c>
      <c r="C154" s="11"/>
      <c r="D154" s="7"/>
      <c r="E154" s="2"/>
      <c r="F154" s="6">
        <f t="shared" si="23"/>
        <v>0</v>
      </c>
      <c r="G154" s="2"/>
      <c r="H154" s="7">
        <v>0</v>
      </c>
      <c r="I154" s="2"/>
      <c r="J154" s="6">
        <f t="shared" si="24"/>
        <v>0</v>
      </c>
      <c r="K154" s="2"/>
      <c r="L154" s="7">
        <f t="shared" si="25"/>
        <v>0</v>
      </c>
      <c r="M154" s="2"/>
      <c r="N154" s="6">
        <f t="shared" si="26"/>
        <v>0</v>
      </c>
      <c r="O154" s="11"/>
      <c r="P154" s="7"/>
      <c r="Q154" s="2"/>
      <c r="R154" s="6">
        <f t="shared" si="27"/>
        <v>0</v>
      </c>
      <c r="S154" s="2"/>
      <c r="T154" s="7">
        <v>0</v>
      </c>
      <c r="U154" s="2"/>
      <c r="V154" s="6">
        <f t="shared" si="28"/>
        <v>0</v>
      </c>
      <c r="W154" s="2"/>
      <c r="X154" s="7">
        <f t="shared" si="29"/>
        <v>0</v>
      </c>
      <c r="Y154" s="2"/>
      <c r="Z154" s="6">
        <f t="shared" si="30"/>
        <v>0</v>
      </c>
    </row>
    <row r="155" spans="1:26" s="27" customFormat="1" outlineLevel="1" collapsed="1" x14ac:dyDescent="0.25">
      <c r="A155" s="29"/>
      <c r="B155" s="14" t="str">
        <f>CONCATENATE("     ","Advertising/Promo                                 ")</f>
        <v xml:space="preserve">     Advertising/Promo                                 </v>
      </c>
      <c r="C155" s="14"/>
      <c r="D155" s="1">
        <f>SUM(OSRRefD22_2x_0)</f>
        <v>1316.16</v>
      </c>
      <c r="E155" s="1"/>
      <c r="F155" s="5">
        <f t="shared" ref="F155:F159" si="31">IF(D$12=0,0,D155/D$12)</f>
        <v>3.9530754897876344E-3</v>
      </c>
      <c r="G155" s="1"/>
      <c r="H155" s="1">
        <f>SUM(OSRRefH22_2x_0)</f>
        <v>1580</v>
      </c>
      <c r="I155" s="1"/>
      <c r="J155" s="5">
        <f t="shared" ref="J155:J159" si="32">IF(H$12=0,0,H155/H$12)</f>
        <v>2.9558677716872766E-3</v>
      </c>
      <c r="K155" s="1"/>
      <c r="L155" s="1">
        <f t="shared" ref="L155:L159" si="33">+D155-H155</f>
        <v>-263.83999999999992</v>
      </c>
      <c r="M155" s="1"/>
      <c r="N155" s="5">
        <f t="shared" ref="N155:N159" si="34">IF(H155=0,0,L155/H155)</f>
        <v>-0.16698734177215185</v>
      </c>
      <c r="O155" s="14"/>
      <c r="P155" s="1">
        <f>SUM(OSRRefP22_2x_0)</f>
        <v>13958.63</v>
      </c>
      <c r="Q155" s="1"/>
      <c r="R155" s="5">
        <f t="shared" ref="R155:R159" si="35">IF(P$12=0,0,P155/P$12)</f>
        <v>3.9994564216728314E-3</v>
      </c>
      <c r="S155" s="1"/>
      <c r="T155" s="1">
        <f>SUM(OSRRefT22_2x_0)</f>
        <v>5570</v>
      </c>
      <c r="U155" s="1"/>
      <c r="V155" s="5">
        <f t="shared" ref="V155:V159" si="36">IF(T$12=0,0,T155/T$12)</f>
        <v>1.0730204891047002E-3</v>
      </c>
      <c r="W155" s="1"/>
      <c r="X155" s="1">
        <f t="shared" ref="X155:X159" si="37">+P155-T155</f>
        <v>8388.6299999999992</v>
      </c>
      <c r="Y155" s="1"/>
      <c r="Z155" s="5">
        <f t="shared" ref="Z155:Z159" si="38">IF(T155=0,0,X155/T155)</f>
        <v>1.5060377019748652</v>
      </c>
    </row>
    <row r="156" spans="1:26" s="24" customFormat="1" hidden="1" outlineLevel="2" x14ac:dyDescent="0.25">
      <c r="A156" s="28"/>
      <c r="B156" s="11" t="str">
        <f>CONCATENATE("          ", "6362", " - ", "ADVERTISING EXPENSE")</f>
        <v xml:space="preserve">          6362 - ADVERTISING EXPENSE</v>
      </c>
      <c r="C156" s="11"/>
      <c r="D156" s="7">
        <v>1316.16</v>
      </c>
      <c r="E156" s="2"/>
      <c r="F156" s="6">
        <f t="shared" si="31"/>
        <v>3.9530754897876344E-3</v>
      </c>
      <c r="G156" s="2"/>
      <c r="H156" s="7">
        <v>1580</v>
      </c>
      <c r="I156" s="2"/>
      <c r="J156" s="6">
        <f t="shared" si="32"/>
        <v>2.9558677716872766E-3</v>
      </c>
      <c r="K156" s="2"/>
      <c r="L156" s="7">
        <f t="shared" si="33"/>
        <v>-263.83999999999992</v>
      </c>
      <c r="M156" s="2"/>
      <c r="N156" s="6">
        <f t="shared" si="34"/>
        <v>-0.16698734177215185</v>
      </c>
      <c r="O156" s="11"/>
      <c r="P156" s="7">
        <v>13958.63</v>
      </c>
      <c r="Q156" s="2"/>
      <c r="R156" s="6">
        <f t="shared" si="35"/>
        <v>3.9994564216728314E-3</v>
      </c>
      <c r="S156" s="2"/>
      <c r="T156" s="7">
        <v>5570</v>
      </c>
      <c r="U156" s="2"/>
      <c r="V156" s="6">
        <f t="shared" si="36"/>
        <v>1.0730204891047002E-3</v>
      </c>
      <c r="W156" s="2"/>
      <c r="X156" s="7">
        <f t="shared" si="37"/>
        <v>8388.6299999999992</v>
      </c>
      <c r="Y156" s="2"/>
      <c r="Z156" s="6">
        <f t="shared" si="38"/>
        <v>1.5060377019748652</v>
      </c>
    </row>
    <row r="157" spans="1:26" s="27" customFormat="1" outlineLevel="1" collapsed="1" x14ac:dyDescent="0.25">
      <c r="A157" s="29"/>
      <c r="B157" s="14" t="str">
        <f>CONCATENATE("     ","Bad Debts/Over/Short                              ")</f>
        <v xml:space="preserve">     Bad Debts/Over/Short                              </v>
      </c>
      <c r="C157" s="14"/>
      <c r="D157" s="1">
        <f>SUM(OSRRefD22_3x_0)</f>
        <v>-29.45</v>
      </c>
      <c r="E157" s="1"/>
      <c r="F157" s="5">
        <f t="shared" si="31"/>
        <v>-8.8452827296260197E-5</v>
      </c>
      <c r="G157" s="1"/>
      <c r="H157" s="1">
        <f>SUM(OSRRefH22_3x_0)</f>
        <v>110</v>
      </c>
      <c r="I157" s="1"/>
      <c r="J157" s="5">
        <f t="shared" si="32"/>
        <v>2.0578826258582306E-4</v>
      </c>
      <c r="K157" s="1"/>
      <c r="L157" s="1">
        <f t="shared" si="33"/>
        <v>-139.44999999999999</v>
      </c>
      <c r="M157" s="1"/>
      <c r="N157" s="5">
        <f t="shared" si="34"/>
        <v>-1.2677272727272726</v>
      </c>
      <c r="O157" s="14"/>
      <c r="P157" s="1">
        <f>SUM(OSRRefP22_3x_0)</f>
        <v>50.56</v>
      </c>
      <c r="Q157" s="1"/>
      <c r="R157" s="5">
        <f t="shared" si="35"/>
        <v>1.4486558973178486E-5</v>
      </c>
      <c r="S157" s="1"/>
      <c r="T157" s="1">
        <f>SUM(OSRRefT22_3x_0)</f>
        <v>440</v>
      </c>
      <c r="U157" s="1"/>
      <c r="V157" s="5">
        <f t="shared" si="36"/>
        <v>8.4762839354769851E-5</v>
      </c>
      <c r="W157" s="1"/>
      <c r="X157" s="1">
        <f t="shared" si="37"/>
        <v>-389.44</v>
      </c>
      <c r="Y157" s="1"/>
      <c r="Z157" s="5">
        <f t="shared" si="38"/>
        <v>-0.88509090909090904</v>
      </c>
    </row>
    <row r="158" spans="1:26" s="24" customFormat="1" hidden="1" outlineLevel="2" x14ac:dyDescent="0.25">
      <c r="A158" s="28"/>
      <c r="B158" s="11" t="str">
        <f>CONCATENATE("          ", "6272", " - ", "CASH (OVER/SHORT)")</f>
        <v xml:space="preserve">          6272 - CASH (OVER/SHORT)</v>
      </c>
      <c r="C158" s="11"/>
      <c r="D158" s="7">
        <v>-29.45</v>
      </c>
      <c r="E158" s="2"/>
      <c r="F158" s="6">
        <f t="shared" si="31"/>
        <v>-8.8452827296260197E-5</v>
      </c>
      <c r="G158" s="2"/>
      <c r="H158" s="7">
        <v>60</v>
      </c>
      <c r="I158" s="2"/>
      <c r="J158" s="6">
        <f t="shared" si="32"/>
        <v>1.1224814322863077E-4</v>
      </c>
      <c r="K158" s="2"/>
      <c r="L158" s="7">
        <f t="shared" si="33"/>
        <v>-89.45</v>
      </c>
      <c r="M158" s="2"/>
      <c r="N158" s="6">
        <f t="shared" si="34"/>
        <v>-1.4908333333333335</v>
      </c>
      <c r="O158" s="11"/>
      <c r="P158" s="7">
        <v>50.56</v>
      </c>
      <c r="Q158" s="2"/>
      <c r="R158" s="6">
        <f t="shared" si="35"/>
        <v>1.4486558973178486E-5</v>
      </c>
      <c r="S158" s="2"/>
      <c r="T158" s="7">
        <v>240</v>
      </c>
      <c r="U158" s="2"/>
      <c r="V158" s="6">
        <f t="shared" si="36"/>
        <v>4.6234276011692646E-5</v>
      </c>
      <c r="W158" s="2"/>
      <c r="X158" s="7">
        <f t="shared" si="37"/>
        <v>-189.44</v>
      </c>
      <c r="Y158" s="2"/>
      <c r="Z158" s="6">
        <f t="shared" si="38"/>
        <v>-0.78933333333333333</v>
      </c>
    </row>
    <row r="159" spans="1:26" s="24" customFormat="1" hidden="1" outlineLevel="2" x14ac:dyDescent="0.25">
      <c r="A159" s="28"/>
      <c r="B159" s="11" t="str">
        <f>CONCATENATE("          ", "6342", " - ", "BAD DEBT")</f>
        <v xml:space="preserve">          6342 - BAD DEBT</v>
      </c>
      <c r="C159" s="11"/>
      <c r="D159" s="7"/>
      <c r="E159" s="2"/>
      <c r="F159" s="6">
        <f t="shared" si="31"/>
        <v>0</v>
      </c>
      <c r="G159" s="2"/>
      <c r="H159" s="7">
        <v>50</v>
      </c>
      <c r="I159" s="2"/>
      <c r="J159" s="6">
        <f t="shared" si="32"/>
        <v>9.3540119357192304E-5</v>
      </c>
      <c r="K159" s="2"/>
      <c r="L159" s="7">
        <f t="shared" si="33"/>
        <v>-50</v>
      </c>
      <c r="M159" s="2"/>
      <c r="N159" s="6">
        <f t="shared" si="34"/>
        <v>-1</v>
      </c>
      <c r="O159" s="11"/>
      <c r="P159" s="7"/>
      <c r="Q159" s="2"/>
      <c r="R159" s="6">
        <f t="shared" si="35"/>
        <v>0</v>
      </c>
      <c r="S159" s="2"/>
      <c r="T159" s="7">
        <v>200</v>
      </c>
      <c r="U159" s="2"/>
      <c r="V159" s="6">
        <f t="shared" si="36"/>
        <v>3.8528563343077205E-5</v>
      </c>
      <c r="W159" s="2"/>
      <c r="X159" s="7">
        <f t="shared" si="37"/>
        <v>-200</v>
      </c>
      <c r="Y159" s="2"/>
      <c r="Z159" s="6">
        <f t="shared" si="38"/>
        <v>-1</v>
      </c>
    </row>
    <row r="160" spans="1:26" s="27" customFormat="1" outlineLevel="1" collapsed="1" x14ac:dyDescent="0.25">
      <c r="A160" s="29"/>
      <c r="B160" s="14" t="str">
        <f>CONCATENATE("     ","Bank/card Fees                                    ")</f>
        <v xml:space="preserve">     Bank/card Fees                                    </v>
      </c>
      <c r="C160" s="14"/>
      <c r="D160" s="1">
        <f>SUM(OSRRefD22_4x_0)</f>
        <v>4891.9799999999996</v>
      </c>
      <c r="E160" s="1"/>
      <c r="F160" s="5">
        <f t="shared" ref="F160:F164" si="39">IF(D$12=0,0,D160/D$12)</f>
        <v>1.4693020783591136E-2</v>
      </c>
      <c r="G160" s="1"/>
      <c r="H160" s="1">
        <f>SUM(OSRRefH22_4x_0)</f>
        <v>9552</v>
      </c>
      <c r="I160" s="1"/>
      <c r="J160" s="5">
        <f t="shared" ref="J160:J164" si="40">IF(H$12=0,0,H160/H$12)</f>
        <v>1.7869904401998017E-2</v>
      </c>
      <c r="K160" s="1"/>
      <c r="L160" s="1">
        <f t="shared" ref="L160:L164" si="41">+D160-H160</f>
        <v>-4660.0200000000004</v>
      </c>
      <c r="M160" s="1"/>
      <c r="N160" s="5">
        <f t="shared" ref="N160:N164" si="42">IF(H160=0,0,L160/H160)</f>
        <v>-0.48785804020100509</v>
      </c>
      <c r="O160" s="14"/>
      <c r="P160" s="1">
        <f>SUM(OSRRefP22_4x_0)</f>
        <v>39139.75</v>
      </c>
      <c r="Q160" s="1"/>
      <c r="R160" s="5">
        <f t="shared" ref="R160:R164" si="43">IF(P$12=0,0,P160/P$12)</f>
        <v>1.1214404599890478E-2</v>
      </c>
      <c r="S160" s="1"/>
      <c r="T160" s="1">
        <f>SUM(OSRRefT22_4x_0)</f>
        <v>80409</v>
      </c>
      <c r="U160" s="1"/>
      <c r="V160" s="5">
        <f t="shared" ref="V160:V164" si="44">IF(T$12=0,0,T160/T$12)</f>
        <v>1.5490216249267476E-2</v>
      </c>
      <c r="W160" s="1"/>
      <c r="X160" s="1">
        <f t="shared" ref="X160:X164" si="45">+P160-T160</f>
        <v>-41269.25</v>
      </c>
      <c r="Y160" s="1"/>
      <c r="Z160" s="5">
        <f t="shared" ref="Z160:Z164" si="46">IF(T160=0,0,X160/T160)</f>
        <v>-0.51324167692671219</v>
      </c>
    </row>
    <row r="161" spans="1:26" s="24" customFormat="1" hidden="1" outlineLevel="2" x14ac:dyDescent="0.25">
      <c r="A161" s="28"/>
      <c r="B161" s="11" t="str">
        <f>CONCATENATE("          ", "6381", " - ", "BANK/CREDIT CARD FEES")</f>
        <v xml:space="preserve">          6381 - BANK/CREDIT CARD FEES</v>
      </c>
      <c r="C161" s="11"/>
      <c r="D161" s="7">
        <v>4891.9799999999996</v>
      </c>
      <c r="E161" s="2"/>
      <c r="F161" s="6">
        <f t="shared" si="39"/>
        <v>1.4693020783591136E-2</v>
      </c>
      <c r="G161" s="2"/>
      <c r="H161" s="7">
        <v>9552</v>
      </c>
      <c r="I161" s="2"/>
      <c r="J161" s="6">
        <f t="shared" si="40"/>
        <v>1.7869904401998017E-2</v>
      </c>
      <c r="K161" s="2"/>
      <c r="L161" s="7">
        <f t="shared" si="41"/>
        <v>-4660.0200000000004</v>
      </c>
      <c r="M161" s="2"/>
      <c r="N161" s="6">
        <f t="shared" si="42"/>
        <v>-0.48785804020100509</v>
      </c>
      <c r="O161" s="11"/>
      <c r="P161" s="7">
        <v>39139.75</v>
      </c>
      <c r="Q161" s="2"/>
      <c r="R161" s="6">
        <f t="shared" si="43"/>
        <v>1.1214404599890478E-2</v>
      </c>
      <c r="S161" s="2"/>
      <c r="T161" s="7">
        <v>80409</v>
      </c>
      <c r="U161" s="2"/>
      <c r="V161" s="6">
        <f t="shared" si="44"/>
        <v>1.5490216249267476E-2</v>
      </c>
      <c r="W161" s="2"/>
      <c r="X161" s="7">
        <f t="shared" si="45"/>
        <v>-41269.25</v>
      </c>
      <c r="Y161" s="2"/>
      <c r="Z161" s="6">
        <f t="shared" si="46"/>
        <v>-0.51324167692671219</v>
      </c>
    </row>
    <row r="162" spans="1:26" s="27" customFormat="1" outlineLevel="1" collapsed="1" x14ac:dyDescent="0.25">
      <c r="A162" s="29"/>
      <c r="B162" s="14" t="str">
        <f>CONCATENATE("     ","Depreciation                                      ")</f>
        <v xml:space="preserve">     Depreciation                                      </v>
      </c>
      <c r="C162" s="14"/>
      <c r="D162" s="1">
        <f>SUM(OSRRefD22_5x_0)</f>
        <v>31016.300000000003</v>
      </c>
      <c r="E162" s="1"/>
      <c r="F162" s="5">
        <f t="shared" si="39"/>
        <v>9.3157196172122092E-2</v>
      </c>
      <c r="G162" s="1"/>
      <c r="H162" s="1">
        <f>SUM(OSRRefH22_5x_0)</f>
        <v>30594</v>
      </c>
      <c r="I162" s="1"/>
      <c r="J162" s="5">
        <f t="shared" si="40"/>
        <v>5.7235328232278823E-2</v>
      </c>
      <c r="K162" s="1"/>
      <c r="L162" s="1">
        <f t="shared" si="41"/>
        <v>422.30000000000291</v>
      </c>
      <c r="M162" s="1"/>
      <c r="N162" s="5">
        <f t="shared" si="42"/>
        <v>1.3803360135974468E-2</v>
      </c>
      <c r="O162" s="14"/>
      <c r="P162" s="1">
        <f>SUM(OSRRefP22_5x_0)</f>
        <v>124360.65</v>
      </c>
      <c r="Q162" s="1"/>
      <c r="R162" s="5">
        <f t="shared" si="43"/>
        <v>3.5632078523888625E-2</v>
      </c>
      <c r="S162" s="1"/>
      <c r="T162" s="1">
        <f>SUM(OSRRefT22_5x_0)</f>
        <v>123384</v>
      </c>
      <c r="U162" s="1"/>
      <c r="V162" s="5">
        <f t="shared" si="44"/>
        <v>2.376904129761119E-2</v>
      </c>
      <c r="W162" s="1"/>
      <c r="X162" s="1">
        <f t="shared" si="45"/>
        <v>976.64999999999418</v>
      </c>
      <c r="Y162" s="1"/>
      <c r="Z162" s="5">
        <f t="shared" si="46"/>
        <v>7.9155319976657763E-3</v>
      </c>
    </row>
    <row r="163" spans="1:26" s="24" customFormat="1" hidden="1" outlineLevel="2" x14ac:dyDescent="0.25">
      <c r="A163" s="28"/>
      <c r="B163" s="11" t="str">
        <f>CONCATENATE("          ", "6321", " - ", "BUILDING DEPRECIATION")</f>
        <v xml:space="preserve">          6321 - BUILDING DEPRECIATION</v>
      </c>
      <c r="C163" s="11"/>
      <c r="D163" s="7">
        <v>16396.52</v>
      </c>
      <c r="E163" s="2"/>
      <c r="F163" s="6">
        <f t="shared" si="39"/>
        <v>4.9246809908987312E-2</v>
      </c>
      <c r="G163" s="2"/>
      <c r="H163" s="7"/>
      <c r="I163" s="2"/>
      <c r="J163" s="6">
        <f t="shared" si="40"/>
        <v>0</v>
      </c>
      <c r="K163" s="2"/>
      <c r="L163" s="7">
        <f t="shared" si="41"/>
        <v>16396.52</v>
      </c>
      <c r="M163" s="2"/>
      <c r="N163" s="6">
        <f t="shared" si="42"/>
        <v>0</v>
      </c>
      <c r="O163" s="11"/>
      <c r="P163" s="7">
        <v>65586.080000000002</v>
      </c>
      <c r="Q163" s="2"/>
      <c r="R163" s="6">
        <f t="shared" si="43"/>
        <v>1.8791863444216812E-2</v>
      </c>
      <c r="S163" s="2"/>
      <c r="T163" s="7"/>
      <c r="U163" s="2"/>
      <c r="V163" s="6">
        <f t="shared" si="44"/>
        <v>0</v>
      </c>
      <c r="W163" s="2"/>
      <c r="X163" s="7">
        <f t="shared" si="45"/>
        <v>65586.080000000002</v>
      </c>
      <c r="Y163" s="2"/>
      <c r="Z163" s="6">
        <f t="shared" si="46"/>
        <v>0</v>
      </c>
    </row>
    <row r="164" spans="1:26" s="24" customFormat="1" hidden="1" outlineLevel="2" x14ac:dyDescent="0.25">
      <c r="A164" s="28"/>
      <c r="B164" s="11" t="str">
        <f>CONCATENATE("          ", "6322", " - ", "EQUIPMENT DEPRECIATION EXPENSE")</f>
        <v xml:space="preserve">          6322 - EQUIPMENT DEPRECIATION EXPENSE</v>
      </c>
      <c r="C164" s="11"/>
      <c r="D164" s="7">
        <v>14619.78</v>
      </c>
      <c r="E164" s="2"/>
      <c r="F164" s="6">
        <f t="shared" si="39"/>
        <v>4.3910386263134774E-2</v>
      </c>
      <c r="G164" s="2"/>
      <c r="H164" s="7">
        <v>30594</v>
      </c>
      <c r="I164" s="2"/>
      <c r="J164" s="6">
        <f t="shared" si="40"/>
        <v>5.7235328232278823E-2</v>
      </c>
      <c r="K164" s="2"/>
      <c r="L164" s="7">
        <f t="shared" si="41"/>
        <v>-15974.22</v>
      </c>
      <c r="M164" s="2"/>
      <c r="N164" s="6">
        <f t="shared" si="42"/>
        <v>-0.52213571288487937</v>
      </c>
      <c r="O164" s="11"/>
      <c r="P164" s="7">
        <v>58774.57</v>
      </c>
      <c r="Q164" s="2"/>
      <c r="R164" s="6">
        <f t="shared" si="43"/>
        <v>1.6840215079671816E-2</v>
      </c>
      <c r="S164" s="2"/>
      <c r="T164" s="7">
        <v>123384</v>
      </c>
      <c r="U164" s="2"/>
      <c r="V164" s="6">
        <f t="shared" si="44"/>
        <v>2.376904129761119E-2</v>
      </c>
      <c r="W164" s="2"/>
      <c r="X164" s="7">
        <f t="shared" si="45"/>
        <v>-64609.43</v>
      </c>
      <c r="Y164" s="2"/>
      <c r="Z164" s="6">
        <f t="shared" si="46"/>
        <v>-0.52364512416520781</v>
      </c>
    </row>
    <row r="165" spans="1:26" s="27" customFormat="1" outlineLevel="1" collapsed="1" x14ac:dyDescent="0.25">
      <c r="A165" s="29"/>
      <c r="B165" s="14" t="str">
        <f>CONCATENATE("     ","Discounts and Markdowns                           ")</f>
        <v xml:space="preserve">     Discounts and Markdowns                           </v>
      </c>
      <c r="C165" s="14"/>
      <c r="D165" s="1">
        <f>SUM(OSRRefD22_6x_0)</f>
        <v>-1249.8000000000002</v>
      </c>
      <c r="E165" s="1"/>
      <c r="F165" s="5">
        <f t="shared" ref="F165:F167" si="47">IF(D$12=0,0,D165/D$12)</f>
        <v>-3.753763787941121E-3</v>
      </c>
      <c r="G165" s="1"/>
      <c r="H165" s="1">
        <f>SUM(OSRRefH22_6x_0)</f>
        <v>29013</v>
      </c>
      <c r="I165" s="1"/>
      <c r="J165" s="5">
        <f t="shared" ref="J165:J167" si="48">IF(H$12=0,0,H165/H$12)</f>
        <v>5.4277589658204402E-2</v>
      </c>
      <c r="K165" s="1"/>
      <c r="L165" s="1">
        <f t="shared" ref="L165:L167" si="49">+D165-H165</f>
        <v>-30262.799999999999</v>
      </c>
      <c r="M165" s="1"/>
      <c r="N165" s="5">
        <f t="shared" ref="N165:N167" si="50">IF(H165=0,0,L165/H165)</f>
        <v>-1.0430772412366869</v>
      </c>
      <c r="O165" s="14"/>
      <c r="P165" s="1">
        <f>SUM(OSRRefP22_6x_0)</f>
        <v>-418.85</v>
      </c>
      <c r="Q165" s="1"/>
      <c r="R165" s="5">
        <f t="shared" ref="R165:R167" si="51">IF(P$12=0,0,P165/P$12)</f>
        <v>-1.200097948163728E-4</v>
      </c>
      <c r="S165" s="1"/>
      <c r="T165" s="1">
        <f>SUM(OSRRefT22_6x_0)</f>
        <v>127737</v>
      </c>
      <c r="U165" s="1"/>
      <c r="V165" s="5">
        <f t="shared" ref="V165:V167" si="52">IF(T$12=0,0,T165/T$12)</f>
        <v>2.4607615478773267E-2</v>
      </c>
      <c r="W165" s="1"/>
      <c r="X165" s="1">
        <f t="shared" ref="X165:X167" si="53">+P165-T165</f>
        <v>-128155.85</v>
      </c>
      <c r="Y165" s="1"/>
      <c r="Z165" s="5">
        <f t="shared" ref="Z165:Z167" si="54">IF(T165=0,0,X165/T165)</f>
        <v>-1.0032790029513767</v>
      </c>
    </row>
    <row r="166" spans="1:26" s="24" customFormat="1" hidden="1" outlineLevel="2" x14ac:dyDescent="0.25">
      <c r="A166" s="28"/>
      <c r="B166" s="11" t="str">
        <f>CONCATENATE("          ", "6382", " - ", "DISCOUNTS/MARK DOWNS")</f>
        <v xml:space="preserve">          6382 - DISCOUNTS/MARK DOWNS</v>
      </c>
      <c r="C166" s="11"/>
      <c r="D166" s="7">
        <v>-830.95</v>
      </c>
      <c r="E166" s="2"/>
      <c r="F166" s="6">
        <f t="shared" si="47"/>
        <v>-2.4957513358854809E-3</v>
      </c>
      <c r="G166" s="2"/>
      <c r="H166" s="7">
        <v>29013</v>
      </c>
      <c r="I166" s="2"/>
      <c r="J166" s="6">
        <f t="shared" si="48"/>
        <v>5.4277589658204402E-2</v>
      </c>
      <c r="K166" s="2"/>
      <c r="L166" s="7">
        <f t="shared" si="49"/>
        <v>-29843.95</v>
      </c>
      <c r="M166" s="2"/>
      <c r="N166" s="6">
        <f t="shared" si="50"/>
        <v>-1.0286406093820013</v>
      </c>
      <c r="O166" s="11"/>
      <c r="P166" s="7">
        <v>0</v>
      </c>
      <c r="Q166" s="2"/>
      <c r="R166" s="6">
        <f t="shared" si="51"/>
        <v>0</v>
      </c>
      <c r="S166" s="2"/>
      <c r="T166" s="7">
        <v>127737</v>
      </c>
      <c r="U166" s="2"/>
      <c r="V166" s="6">
        <f t="shared" si="52"/>
        <v>2.4607615478773267E-2</v>
      </c>
      <c r="W166" s="2"/>
      <c r="X166" s="7">
        <f t="shared" si="53"/>
        <v>-127737</v>
      </c>
      <c r="Y166" s="2"/>
      <c r="Z166" s="6">
        <f t="shared" si="54"/>
        <v>-1</v>
      </c>
    </row>
    <row r="167" spans="1:26" s="24" customFormat="1" hidden="1" outlineLevel="2" x14ac:dyDescent="0.25">
      <c r="A167" s="28"/>
      <c r="B167" s="11" t="str">
        <f>CONCATENATE("          ", "9175", " - ", "EARNED DISCOUNTS")</f>
        <v xml:space="preserve">          9175 - EARNED DISCOUNTS</v>
      </c>
      <c r="C167" s="11"/>
      <c r="D167" s="7">
        <v>-418.85</v>
      </c>
      <c r="E167" s="2"/>
      <c r="F167" s="6">
        <f t="shared" si="47"/>
        <v>-1.2580124520556396E-3</v>
      </c>
      <c r="G167" s="2"/>
      <c r="H167" s="7"/>
      <c r="I167" s="2"/>
      <c r="J167" s="6">
        <f t="shared" si="48"/>
        <v>0</v>
      </c>
      <c r="K167" s="2"/>
      <c r="L167" s="7">
        <f t="shared" si="49"/>
        <v>-418.85</v>
      </c>
      <c r="M167" s="2"/>
      <c r="N167" s="6">
        <f t="shared" si="50"/>
        <v>0</v>
      </c>
      <c r="O167" s="11"/>
      <c r="P167" s="7">
        <v>-418.85</v>
      </c>
      <c r="Q167" s="2"/>
      <c r="R167" s="6">
        <f t="shared" si="51"/>
        <v>-1.200097948163728E-4</v>
      </c>
      <c r="S167" s="2"/>
      <c r="T167" s="7"/>
      <c r="U167" s="2"/>
      <c r="V167" s="6">
        <f t="shared" si="52"/>
        <v>0</v>
      </c>
      <c r="W167" s="2"/>
      <c r="X167" s="7">
        <f t="shared" si="53"/>
        <v>-418.85</v>
      </c>
      <c r="Y167" s="2"/>
      <c r="Z167" s="6">
        <f t="shared" si="54"/>
        <v>0</v>
      </c>
    </row>
    <row r="168" spans="1:26" s="27" customFormat="1" outlineLevel="1" collapsed="1" x14ac:dyDescent="0.25">
      <c r="A168" s="29"/>
      <c r="B168" s="14" t="str">
        <f>CONCATENATE("     ","Donations                                         ")</f>
        <v xml:space="preserve">     Donations                                         </v>
      </c>
      <c r="C168" s="14"/>
      <c r="D168" s="1">
        <f>SUM(OSRRefD22_7x_0)</f>
        <v>0</v>
      </c>
      <c r="E168" s="1"/>
      <c r="F168" s="5">
        <f t="shared" ref="F168:F170" si="55">IF(D$12=0,0,D168/D$12)</f>
        <v>0</v>
      </c>
      <c r="G168" s="1"/>
      <c r="H168" s="1">
        <f>SUM(OSRRefH22_7x_0)</f>
        <v>1000</v>
      </c>
      <c r="I168" s="1"/>
      <c r="J168" s="5">
        <f t="shared" ref="J168:J170" si="56">IF(H$12=0,0,H168/H$12)</f>
        <v>1.870802387143846E-3</v>
      </c>
      <c r="K168" s="1"/>
      <c r="L168" s="1">
        <f t="shared" ref="L168:L170" si="57">+D168-H168</f>
        <v>-1000</v>
      </c>
      <c r="M168" s="1"/>
      <c r="N168" s="5">
        <f t="shared" ref="N168:N170" si="58">IF(H168=0,0,L168/H168)</f>
        <v>-1</v>
      </c>
      <c r="O168" s="14"/>
      <c r="P168" s="1">
        <f>SUM(OSRRefP22_7x_0)</f>
        <v>0</v>
      </c>
      <c r="Q168" s="1"/>
      <c r="R168" s="5">
        <f t="shared" ref="R168:R170" si="59">IF(P$12=0,0,P168/P$12)</f>
        <v>0</v>
      </c>
      <c r="S168" s="1"/>
      <c r="T168" s="1">
        <f>SUM(OSRRefT22_7x_0)</f>
        <v>4000</v>
      </c>
      <c r="U168" s="1"/>
      <c r="V168" s="5">
        <f t="shared" ref="V168:V170" si="60">IF(T$12=0,0,T168/T$12)</f>
        <v>7.705712668615441E-4</v>
      </c>
      <c r="W168" s="1"/>
      <c r="X168" s="1">
        <f t="shared" ref="X168:X170" si="61">+P168-T168</f>
        <v>-4000</v>
      </c>
      <c r="Y168" s="1"/>
      <c r="Z168" s="5">
        <f t="shared" ref="Z168:Z170" si="62">IF(T168=0,0,X168/T168)</f>
        <v>-1</v>
      </c>
    </row>
    <row r="169" spans="1:26" s="24" customFormat="1" hidden="1" outlineLevel="2" x14ac:dyDescent="0.25">
      <c r="A169" s="28"/>
      <c r="B169" s="11" t="str">
        <f>CONCATENATE("          ", "6395", " - ", "DONATION-OFF CAMPUS")</f>
        <v xml:space="preserve">          6395 - DONATION-OFF CAMPUS</v>
      </c>
      <c r="C169" s="11"/>
      <c r="D169" s="7"/>
      <c r="E169" s="2"/>
      <c r="F169" s="6">
        <f t="shared" si="55"/>
        <v>0</v>
      </c>
      <c r="G169" s="2"/>
      <c r="H169" s="7"/>
      <c r="I169" s="2"/>
      <c r="J169" s="6">
        <f t="shared" si="56"/>
        <v>0</v>
      </c>
      <c r="K169" s="2"/>
      <c r="L169" s="7">
        <f t="shared" si="57"/>
        <v>0</v>
      </c>
      <c r="M169" s="2"/>
      <c r="N169" s="6">
        <f t="shared" si="58"/>
        <v>0</v>
      </c>
      <c r="O169" s="11"/>
      <c r="P169" s="7"/>
      <c r="Q169" s="2"/>
      <c r="R169" s="6">
        <f t="shared" si="59"/>
        <v>0</v>
      </c>
      <c r="S169" s="2"/>
      <c r="T169" s="7">
        <v>0</v>
      </c>
      <c r="U169" s="2"/>
      <c r="V169" s="6">
        <f t="shared" si="60"/>
        <v>0</v>
      </c>
      <c r="W169" s="2"/>
      <c r="X169" s="7">
        <f t="shared" si="61"/>
        <v>0</v>
      </c>
      <c r="Y169" s="2"/>
      <c r="Z169" s="6">
        <f t="shared" si="62"/>
        <v>0</v>
      </c>
    </row>
    <row r="170" spans="1:26" s="24" customFormat="1" hidden="1" outlineLevel="2" x14ac:dyDescent="0.25">
      <c r="A170" s="28"/>
      <c r="B170" s="11" t="str">
        <f>CONCATENATE("          ", "6399", " - ", "DONATION-ON CAMPUS")</f>
        <v xml:space="preserve">          6399 - DONATION-ON CAMPUS</v>
      </c>
      <c r="C170" s="11"/>
      <c r="D170" s="7"/>
      <c r="E170" s="2"/>
      <c r="F170" s="6">
        <f t="shared" si="55"/>
        <v>0</v>
      </c>
      <c r="G170" s="2"/>
      <c r="H170" s="7">
        <v>1000</v>
      </c>
      <c r="I170" s="2"/>
      <c r="J170" s="6">
        <f t="shared" si="56"/>
        <v>1.870802387143846E-3</v>
      </c>
      <c r="K170" s="2"/>
      <c r="L170" s="7">
        <f t="shared" si="57"/>
        <v>-1000</v>
      </c>
      <c r="M170" s="2"/>
      <c r="N170" s="6">
        <f t="shared" si="58"/>
        <v>-1</v>
      </c>
      <c r="O170" s="11"/>
      <c r="P170" s="7"/>
      <c r="Q170" s="2"/>
      <c r="R170" s="6">
        <f t="shared" si="59"/>
        <v>0</v>
      </c>
      <c r="S170" s="2"/>
      <c r="T170" s="7">
        <v>4000</v>
      </c>
      <c r="U170" s="2"/>
      <c r="V170" s="6">
        <f t="shared" si="60"/>
        <v>7.705712668615441E-4</v>
      </c>
      <c r="W170" s="2"/>
      <c r="X170" s="7">
        <f t="shared" si="61"/>
        <v>-4000</v>
      </c>
      <c r="Y170" s="2"/>
      <c r="Z170" s="6">
        <f t="shared" si="62"/>
        <v>-1</v>
      </c>
    </row>
    <row r="171" spans="1:26" s="27" customFormat="1" outlineLevel="1" collapsed="1" x14ac:dyDescent="0.25">
      <c r="A171" s="29"/>
      <c r="B171" s="14" t="str">
        <f>CONCATENATE("     ","Employees' Appreciation                           ")</f>
        <v xml:space="preserve">     Employees' Appreciation                           </v>
      </c>
      <c r="C171" s="14"/>
      <c r="D171" s="1">
        <f>SUM(OSRRefD22_8x_0)</f>
        <v>0</v>
      </c>
      <c r="E171" s="1"/>
      <c r="F171" s="5">
        <f t="shared" ref="F171:F177" si="63">IF(D$12=0,0,D171/D$12)</f>
        <v>0</v>
      </c>
      <c r="G171" s="1"/>
      <c r="H171" s="1">
        <f>SUM(OSRRefH22_8x_0)</f>
        <v>420</v>
      </c>
      <c r="I171" s="1"/>
      <c r="J171" s="5">
        <f t="shared" ref="J171:J177" si="64">IF(H$12=0,0,H171/H$12)</f>
        <v>7.8573700260041533E-4</v>
      </c>
      <c r="K171" s="1"/>
      <c r="L171" s="1">
        <f t="shared" ref="L171:L177" si="65">+D171-H171</f>
        <v>-420</v>
      </c>
      <c r="M171" s="1"/>
      <c r="N171" s="5">
        <f t="shared" ref="N171:N177" si="66">IF(H171=0,0,L171/H171)</f>
        <v>-1</v>
      </c>
      <c r="O171" s="14"/>
      <c r="P171" s="1">
        <f>SUM(OSRRefP22_8x_0)</f>
        <v>107.7</v>
      </c>
      <c r="Q171" s="1"/>
      <c r="R171" s="5">
        <f t="shared" ref="R171:R177" si="67">IF(P$12=0,0,P171/P$12)</f>
        <v>3.085843357221762E-5</v>
      </c>
      <c r="S171" s="1"/>
      <c r="T171" s="1">
        <f>SUM(OSRRefT22_8x_0)</f>
        <v>1730</v>
      </c>
      <c r="U171" s="1"/>
      <c r="V171" s="5">
        <f t="shared" ref="V171:V177" si="68">IF(T$12=0,0,T171/T$12)</f>
        <v>3.3327207291761782E-4</v>
      </c>
      <c r="W171" s="1"/>
      <c r="X171" s="1">
        <f t="shared" ref="X171:X177" si="69">+P171-T171</f>
        <v>-1622.3</v>
      </c>
      <c r="Y171" s="1"/>
      <c r="Z171" s="5">
        <f t="shared" ref="Z171:Z177" si="70">IF(T171=0,0,X171/T171)</f>
        <v>-0.93774566473988441</v>
      </c>
    </row>
    <row r="172" spans="1:26" s="24" customFormat="1" hidden="1" outlineLevel="2" x14ac:dyDescent="0.25">
      <c r="A172" s="28"/>
      <c r="B172" s="11" t="str">
        <f>CONCATENATE("          ", "6277", " - ", "EMPLOYEE APPRECIATION")</f>
        <v xml:space="preserve">          6277 - EMPLOYEE APPRECIATION</v>
      </c>
      <c r="C172" s="11"/>
      <c r="D172" s="7"/>
      <c r="E172" s="2"/>
      <c r="F172" s="6">
        <f t="shared" si="63"/>
        <v>0</v>
      </c>
      <c r="G172" s="2"/>
      <c r="H172" s="7">
        <v>420</v>
      </c>
      <c r="I172" s="2"/>
      <c r="J172" s="6">
        <f t="shared" si="64"/>
        <v>7.8573700260041533E-4</v>
      </c>
      <c r="K172" s="2"/>
      <c r="L172" s="7">
        <f t="shared" si="65"/>
        <v>-420</v>
      </c>
      <c r="M172" s="2"/>
      <c r="N172" s="6">
        <f t="shared" si="66"/>
        <v>-1</v>
      </c>
      <c r="O172" s="11"/>
      <c r="P172" s="7">
        <v>107.7</v>
      </c>
      <c r="Q172" s="2"/>
      <c r="R172" s="6">
        <f t="shared" si="67"/>
        <v>3.085843357221762E-5</v>
      </c>
      <c r="S172" s="2"/>
      <c r="T172" s="7">
        <v>1730</v>
      </c>
      <c r="U172" s="2"/>
      <c r="V172" s="6">
        <f t="shared" si="68"/>
        <v>3.3327207291761782E-4</v>
      </c>
      <c r="W172" s="2"/>
      <c r="X172" s="7">
        <f t="shared" si="69"/>
        <v>-1622.3</v>
      </c>
      <c r="Y172" s="2"/>
      <c r="Z172" s="6">
        <f t="shared" si="70"/>
        <v>-0.93774566473988441</v>
      </c>
    </row>
    <row r="173" spans="1:26" s="27" customFormat="1" outlineLevel="1" collapsed="1" x14ac:dyDescent="0.25">
      <c r="A173" s="29"/>
      <c r="B173" s="14" t="str">
        <f>CONCATENATE("     ","Equipment Rental                                  ")</f>
        <v xml:space="preserve">     Equipment Rental                                  </v>
      </c>
      <c r="C173" s="14"/>
      <c r="D173" s="1">
        <f>SUM(OSRRefD22_9x_0)</f>
        <v>1479.42</v>
      </c>
      <c r="E173" s="1"/>
      <c r="F173" s="5">
        <f t="shared" si="63"/>
        <v>4.4434255266089396E-3</v>
      </c>
      <c r="G173" s="1"/>
      <c r="H173" s="1">
        <f>SUM(OSRRefH22_9x_0)</f>
        <v>3006</v>
      </c>
      <c r="I173" s="1"/>
      <c r="J173" s="5">
        <f t="shared" si="64"/>
        <v>5.6236319757544014E-3</v>
      </c>
      <c r="K173" s="1"/>
      <c r="L173" s="1">
        <f t="shared" si="65"/>
        <v>-1526.58</v>
      </c>
      <c r="M173" s="1"/>
      <c r="N173" s="5">
        <f t="shared" si="66"/>
        <v>-0.50784431137724551</v>
      </c>
      <c r="O173" s="14"/>
      <c r="P173" s="1">
        <f>SUM(OSRRefP22_9x_0)</f>
        <v>5967.79</v>
      </c>
      <c r="Q173" s="1"/>
      <c r="R173" s="5">
        <f t="shared" si="67"/>
        <v>1.7099039116800796E-3</v>
      </c>
      <c r="S173" s="1"/>
      <c r="T173" s="1">
        <f>SUM(OSRRefT22_9x_0)</f>
        <v>12024</v>
      </c>
      <c r="U173" s="1"/>
      <c r="V173" s="5">
        <f t="shared" si="68"/>
        <v>2.3163372281858018E-3</v>
      </c>
      <c r="W173" s="1"/>
      <c r="X173" s="1">
        <f t="shared" si="69"/>
        <v>-6056.21</v>
      </c>
      <c r="Y173" s="1"/>
      <c r="Z173" s="5">
        <f t="shared" si="70"/>
        <v>-0.50367681304058554</v>
      </c>
    </row>
    <row r="174" spans="1:26" s="24" customFormat="1" hidden="1" outlineLevel="2" x14ac:dyDescent="0.25">
      <c r="A174" s="28"/>
      <c r="B174" s="11" t="str">
        <f>CONCATENATE("          ", "6351", " - ", "EQUIPMENT RENTAL")</f>
        <v xml:space="preserve">          6351 - EQUIPMENT RENTAL</v>
      </c>
      <c r="C174" s="11"/>
      <c r="D174" s="7">
        <v>1479.42</v>
      </c>
      <c r="E174" s="2"/>
      <c r="F174" s="6">
        <f t="shared" si="63"/>
        <v>4.4434255266089396E-3</v>
      </c>
      <c r="G174" s="2"/>
      <c r="H174" s="7">
        <v>3006</v>
      </c>
      <c r="I174" s="2"/>
      <c r="J174" s="6">
        <f t="shared" si="64"/>
        <v>5.6236319757544014E-3</v>
      </c>
      <c r="K174" s="2"/>
      <c r="L174" s="7">
        <f t="shared" si="65"/>
        <v>-1526.58</v>
      </c>
      <c r="M174" s="2"/>
      <c r="N174" s="6">
        <f t="shared" si="66"/>
        <v>-0.50784431137724551</v>
      </c>
      <c r="O174" s="11"/>
      <c r="P174" s="7">
        <v>5967.79</v>
      </c>
      <c r="Q174" s="2"/>
      <c r="R174" s="6">
        <f t="shared" si="67"/>
        <v>1.7099039116800796E-3</v>
      </c>
      <c r="S174" s="2"/>
      <c r="T174" s="7">
        <v>12024</v>
      </c>
      <c r="U174" s="2"/>
      <c r="V174" s="6">
        <f t="shared" si="68"/>
        <v>2.3163372281858018E-3</v>
      </c>
      <c r="W174" s="2"/>
      <c r="X174" s="7">
        <f t="shared" si="69"/>
        <v>-6056.21</v>
      </c>
      <c r="Y174" s="2"/>
      <c r="Z174" s="6">
        <f t="shared" si="70"/>
        <v>-0.50367681304058554</v>
      </c>
    </row>
    <row r="175" spans="1:26" s="27" customFormat="1" outlineLevel="1" collapsed="1" x14ac:dyDescent="0.25">
      <c r="A175" s="29"/>
      <c r="B175" s="14" t="str">
        <f>CONCATENATE("     ","Freight out/Postage                               ")</f>
        <v xml:space="preserve">     Freight out/Postage                               </v>
      </c>
      <c r="C175" s="14"/>
      <c r="D175" s="1">
        <f>SUM(OSRRefD22_10x_0)</f>
        <v>49181.37000000001</v>
      </c>
      <c r="E175" s="1"/>
      <c r="F175" s="5">
        <f t="shared" si="63"/>
        <v>0.14771583113084799</v>
      </c>
      <c r="G175" s="1"/>
      <c r="H175" s="1">
        <f>SUM(OSRRefH22_10x_0)</f>
        <v>7933</v>
      </c>
      <c r="I175" s="1"/>
      <c r="J175" s="5">
        <f t="shared" si="64"/>
        <v>1.484107533721213E-2</v>
      </c>
      <c r="K175" s="1"/>
      <c r="L175" s="1">
        <f t="shared" si="65"/>
        <v>41248.37000000001</v>
      </c>
      <c r="M175" s="1"/>
      <c r="N175" s="5">
        <f t="shared" si="66"/>
        <v>5.1995928400352964</v>
      </c>
      <c r="O175" s="14"/>
      <c r="P175" s="1">
        <f>SUM(OSRRefP22_10x_0)</f>
        <v>-31292.87999999999</v>
      </c>
      <c r="Q175" s="1"/>
      <c r="R175" s="5">
        <f t="shared" si="67"/>
        <v>-8.9661026811827024E-3</v>
      </c>
      <c r="S175" s="1"/>
      <c r="T175" s="1">
        <f>SUM(OSRRefT22_10x_0)</f>
        <v>34936</v>
      </c>
      <c r="U175" s="1"/>
      <c r="V175" s="5">
        <f t="shared" si="68"/>
        <v>6.7301694447687264E-3</v>
      </c>
      <c r="W175" s="1"/>
      <c r="X175" s="1">
        <f t="shared" si="69"/>
        <v>-66228.87999999999</v>
      </c>
      <c r="Y175" s="1"/>
      <c r="Z175" s="5">
        <f t="shared" si="70"/>
        <v>-1.8957201740325162</v>
      </c>
    </row>
    <row r="176" spans="1:26" s="24" customFormat="1" hidden="1" outlineLevel="2" x14ac:dyDescent="0.25">
      <c r="A176" s="28"/>
      <c r="B176" s="11" t="str">
        <f>CONCATENATE("          ", "6305", " - ", "FREIGHT OUT")</f>
        <v xml:space="preserve">          6305 - FREIGHT OUT</v>
      </c>
      <c r="C176" s="11"/>
      <c r="D176" s="7">
        <v>60867.890000000007</v>
      </c>
      <c r="E176" s="2"/>
      <c r="F176" s="6">
        <f t="shared" si="63"/>
        <v>0.18281619565561169</v>
      </c>
      <c r="G176" s="2"/>
      <c r="H176" s="7">
        <v>5413</v>
      </c>
      <c r="I176" s="2"/>
      <c r="J176" s="6">
        <f t="shared" si="64"/>
        <v>1.0126653321609638E-2</v>
      </c>
      <c r="K176" s="2"/>
      <c r="L176" s="7">
        <f t="shared" si="65"/>
        <v>55454.890000000007</v>
      </c>
      <c r="M176" s="2"/>
      <c r="N176" s="6">
        <f t="shared" si="66"/>
        <v>10.244760761130612</v>
      </c>
      <c r="O176" s="11"/>
      <c r="P176" s="7">
        <v>86790.61</v>
      </c>
      <c r="Q176" s="2"/>
      <c r="R176" s="6">
        <f t="shared" si="67"/>
        <v>2.4867430579175915E-2</v>
      </c>
      <c r="S176" s="2"/>
      <c r="T176" s="7">
        <v>20106</v>
      </c>
      <c r="U176" s="2"/>
      <c r="V176" s="6">
        <f t="shared" si="68"/>
        <v>3.8732764728795516E-3</v>
      </c>
      <c r="W176" s="2"/>
      <c r="X176" s="7">
        <f t="shared" si="69"/>
        <v>66684.61</v>
      </c>
      <c r="Y176" s="2"/>
      <c r="Z176" s="6">
        <f t="shared" si="70"/>
        <v>3.3166522431115091</v>
      </c>
    </row>
    <row r="177" spans="1:26" s="24" customFormat="1" hidden="1" outlineLevel="2" x14ac:dyDescent="0.25">
      <c r="A177" s="28"/>
      <c r="B177" s="11" t="str">
        <f>CONCATENATE("          ", "6307", " - ", "POSTAGE")</f>
        <v xml:space="preserve">          6307 - POSTAGE</v>
      </c>
      <c r="C177" s="11"/>
      <c r="D177" s="7">
        <v>-11686.52</v>
      </c>
      <c r="E177" s="2"/>
      <c r="F177" s="6">
        <f t="shared" si="63"/>
        <v>-3.5100364524763693E-2</v>
      </c>
      <c r="G177" s="2"/>
      <c r="H177" s="7">
        <v>2520</v>
      </c>
      <c r="I177" s="2"/>
      <c r="J177" s="6">
        <f t="shared" si="64"/>
        <v>4.7144220156024918E-3</v>
      </c>
      <c r="K177" s="2"/>
      <c r="L177" s="7">
        <f t="shared" si="65"/>
        <v>-14206.52</v>
      </c>
      <c r="M177" s="2"/>
      <c r="N177" s="6">
        <f t="shared" si="66"/>
        <v>-5.6375079365079364</v>
      </c>
      <c r="O177" s="11"/>
      <c r="P177" s="7">
        <v>-118083.48999999999</v>
      </c>
      <c r="Q177" s="2"/>
      <c r="R177" s="6">
        <f t="shared" si="67"/>
        <v>-3.3833533260358616E-2</v>
      </c>
      <c r="S177" s="2"/>
      <c r="T177" s="7">
        <v>14830</v>
      </c>
      <c r="U177" s="2"/>
      <c r="V177" s="6">
        <f t="shared" si="68"/>
        <v>2.8568929718891748E-3</v>
      </c>
      <c r="W177" s="2"/>
      <c r="X177" s="7">
        <f t="shared" si="69"/>
        <v>-132913.49</v>
      </c>
      <c r="Y177" s="2"/>
      <c r="Z177" s="6">
        <f t="shared" si="70"/>
        <v>-8.962474039109912</v>
      </c>
    </row>
    <row r="178" spans="1:26" s="27" customFormat="1" outlineLevel="1" collapsed="1" x14ac:dyDescent="0.25">
      <c r="A178" s="29"/>
      <c r="B178" s="14" t="str">
        <f>CONCATENATE("     ","General                                           ")</f>
        <v xml:space="preserve">     General                                           </v>
      </c>
      <c r="C178" s="14"/>
      <c r="D178" s="1">
        <f>SUM(OSRRefD22_11x_0)</f>
        <v>-40</v>
      </c>
      <c r="E178" s="1"/>
      <c r="F178" s="5">
        <f t="shared" ref="F178:F181" si="71">IF(D$12=0,0,D178/D$12)</f>
        <v>-1.201396635602855E-4</v>
      </c>
      <c r="G178" s="1"/>
      <c r="H178" s="1">
        <f>SUM(OSRRefH22_11x_0)</f>
        <v>580</v>
      </c>
      <c r="I178" s="1"/>
      <c r="J178" s="5">
        <f t="shared" ref="J178:J181" si="72">IF(H$12=0,0,H178/H$12)</f>
        <v>1.0850653845434306E-3</v>
      </c>
      <c r="K178" s="1"/>
      <c r="L178" s="1">
        <f t="shared" ref="L178:L181" si="73">+D178-H178</f>
        <v>-620</v>
      </c>
      <c r="M178" s="1"/>
      <c r="N178" s="5">
        <f t="shared" ref="N178:N181" si="74">IF(H178=0,0,L178/H178)</f>
        <v>-1.0689655172413792</v>
      </c>
      <c r="O178" s="14"/>
      <c r="P178" s="1">
        <f>SUM(OSRRefP22_11x_0)</f>
        <v>-3276.98</v>
      </c>
      <c r="Q178" s="1"/>
      <c r="R178" s="5">
        <f t="shared" ref="R178:R181" si="75">IF(P$12=0,0,P178/P$12)</f>
        <v>-9.3892729477702591E-4</v>
      </c>
      <c r="S178" s="1"/>
      <c r="T178" s="1">
        <f>SUM(OSRRefT22_11x_0)</f>
        <v>3445</v>
      </c>
      <c r="U178" s="1"/>
      <c r="V178" s="5">
        <f t="shared" ref="V178:V181" si="76">IF(T$12=0,0,T178/T$12)</f>
        <v>6.6365450358450489E-4</v>
      </c>
      <c r="W178" s="1"/>
      <c r="X178" s="1">
        <f t="shared" ref="X178:X181" si="77">+P178-T178</f>
        <v>-6721.98</v>
      </c>
      <c r="Y178" s="1"/>
      <c r="Z178" s="5">
        <f t="shared" ref="Z178:Z181" si="78">IF(T178=0,0,X178/T178)</f>
        <v>-1.9512278664731493</v>
      </c>
    </row>
    <row r="179" spans="1:26" s="24" customFormat="1" hidden="1" outlineLevel="2" x14ac:dyDescent="0.25">
      <c r="A179" s="28"/>
      <c r="B179" s="11" t="str">
        <f>CONCATENATE("          ", "6269", " - ", "ENTERTAINMENT")</f>
        <v xml:space="preserve">          6269 - ENTERTAINMENT</v>
      </c>
      <c r="C179" s="11"/>
      <c r="D179" s="7"/>
      <c r="E179" s="2"/>
      <c r="F179" s="6">
        <f t="shared" si="71"/>
        <v>0</v>
      </c>
      <c r="G179" s="2"/>
      <c r="H179" s="7"/>
      <c r="I179" s="2"/>
      <c r="J179" s="6">
        <f t="shared" si="72"/>
        <v>0</v>
      </c>
      <c r="K179" s="2"/>
      <c r="L179" s="7">
        <f t="shared" si="73"/>
        <v>0</v>
      </c>
      <c r="M179" s="2"/>
      <c r="N179" s="6">
        <f t="shared" si="74"/>
        <v>0</v>
      </c>
      <c r="O179" s="11"/>
      <c r="P179" s="7"/>
      <c r="Q179" s="2"/>
      <c r="R179" s="6">
        <f t="shared" si="75"/>
        <v>0</v>
      </c>
      <c r="S179" s="2"/>
      <c r="T179" s="7">
        <v>125</v>
      </c>
      <c r="U179" s="2"/>
      <c r="V179" s="6">
        <f t="shared" si="76"/>
        <v>2.4080352089423253E-5</v>
      </c>
      <c r="W179" s="2"/>
      <c r="X179" s="7">
        <f t="shared" si="77"/>
        <v>-125</v>
      </c>
      <c r="Y179" s="2"/>
      <c r="Z179" s="6">
        <f t="shared" si="78"/>
        <v>-1</v>
      </c>
    </row>
    <row r="180" spans="1:26" s="24" customFormat="1" hidden="1" outlineLevel="2" x14ac:dyDescent="0.25">
      <c r="A180" s="28"/>
      <c r="B180" s="11" t="str">
        <f>CONCATENATE("          ", "6276", " - ", "PROPERTY TAX")</f>
        <v xml:space="preserve">          6276 - PROPERTY TAX</v>
      </c>
      <c r="C180" s="11"/>
      <c r="D180" s="7"/>
      <c r="E180" s="2"/>
      <c r="F180" s="6">
        <f t="shared" si="71"/>
        <v>0</v>
      </c>
      <c r="G180" s="2"/>
      <c r="H180" s="7"/>
      <c r="I180" s="2"/>
      <c r="J180" s="6">
        <f t="shared" si="72"/>
        <v>0</v>
      </c>
      <c r="K180" s="2"/>
      <c r="L180" s="7">
        <f t="shared" si="73"/>
        <v>0</v>
      </c>
      <c r="M180" s="2"/>
      <c r="N180" s="6">
        <f t="shared" si="74"/>
        <v>0</v>
      </c>
      <c r="O180" s="11"/>
      <c r="P180" s="7"/>
      <c r="Q180" s="2"/>
      <c r="R180" s="6">
        <f t="shared" si="75"/>
        <v>0</v>
      </c>
      <c r="S180" s="2"/>
      <c r="T180" s="7">
        <v>150</v>
      </c>
      <c r="U180" s="2"/>
      <c r="V180" s="6">
        <f t="shared" si="76"/>
        <v>2.8896422507307904E-5</v>
      </c>
      <c r="W180" s="2"/>
      <c r="X180" s="7">
        <f t="shared" si="77"/>
        <v>-150</v>
      </c>
      <c r="Y180" s="2"/>
      <c r="Z180" s="6">
        <f t="shared" si="78"/>
        <v>-1</v>
      </c>
    </row>
    <row r="181" spans="1:26" s="24" customFormat="1" hidden="1" outlineLevel="2" x14ac:dyDescent="0.25">
      <c r="A181" s="28"/>
      <c r="B181" s="11" t="str">
        <f>CONCATENATE("          ", "6279", " - ", "GENERAL EXPENSE")</f>
        <v xml:space="preserve">          6279 - GENERAL EXPENSE</v>
      </c>
      <c r="C181" s="11"/>
      <c r="D181" s="7">
        <v>-40</v>
      </c>
      <c r="E181" s="2"/>
      <c r="F181" s="6">
        <f t="shared" si="71"/>
        <v>-1.201396635602855E-4</v>
      </c>
      <c r="G181" s="2"/>
      <c r="H181" s="7">
        <v>580</v>
      </c>
      <c r="I181" s="2"/>
      <c r="J181" s="6">
        <f t="shared" si="72"/>
        <v>1.0850653845434306E-3</v>
      </c>
      <c r="K181" s="2"/>
      <c r="L181" s="7">
        <f t="shared" si="73"/>
        <v>-620</v>
      </c>
      <c r="M181" s="2"/>
      <c r="N181" s="6">
        <f t="shared" si="74"/>
        <v>-1.0689655172413792</v>
      </c>
      <c r="O181" s="11"/>
      <c r="P181" s="7">
        <v>-3276.98</v>
      </c>
      <c r="Q181" s="2"/>
      <c r="R181" s="6">
        <f t="shared" si="75"/>
        <v>-9.3892729477702591E-4</v>
      </c>
      <c r="S181" s="2"/>
      <c r="T181" s="7">
        <v>3170</v>
      </c>
      <c r="U181" s="2"/>
      <c r="V181" s="6">
        <f t="shared" si="76"/>
        <v>6.1067772898777369E-4</v>
      </c>
      <c r="W181" s="2"/>
      <c r="X181" s="7">
        <f t="shared" si="77"/>
        <v>-6446.98</v>
      </c>
      <c r="Y181" s="2"/>
      <c r="Z181" s="6">
        <f t="shared" si="78"/>
        <v>-2.0337476340694005</v>
      </c>
    </row>
    <row r="182" spans="1:26" s="27" customFormat="1" outlineLevel="1" collapsed="1" x14ac:dyDescent="0.25">
      <c r="A182" s="29"/>
      <c r="B182" s="14" t="str">
        <f>CONCATENATE("     ","Insurance                                         ")</f>
        <v xml:space="preserve">     Insurance                                         </v>
      </c>
      <c r="C182" s="14"/>
      <c r="D182" s="1">
        <f>SUM(OSRRefD22_12x_0)</f>
        <v>4044.74</v>
      </c>
      <c r="E182" s="1"/>
      <c r="F182" s="5">
        <f t="shared" ref="F182:F194" si="79">IF(D$12=0,0,D182/D$12)</f>
        <v>1.2148342569720728E-2</v>
      </c>
      <c r="G182" s="1"/>
      <c r="H182" s="1">
        <f>SUM(OSRRefH22_12x_0)</f>
        <v>4446</v>
      </c>
      <c r="I182" s="1"/>
      <c r="J182" s="5">
        <f t="shared" ref="J182:J194" si="80">IF(H$12=0,0,H182/H$12)</f>
        <v>8.3175874132415395E-3</v>
      </c>
      <c r="K182" s="1"/>
      <c r="L182" s="1">
        <f t="shared" ref="L182:L194" si="81">+D182-H182</f>
        <v>-401.26000000000022</v>
      </c>
      <c r="M182" s="1"/>
      <c r="N182" s="5">
        <f t="shared" ref="N182:N194" si="82">IF(H182=0,0,L182/H182)</f>
        <v>-9.0251911830859247E-2</v>
      </c>
      <c r="O182" s="14"/>
      <c r="P182" s="1">
        <f>SUM(OSRRefP22_12x_0)</f>
        <v>16178.96</v>
      </c>
      <c r="Q182" s="1"/>
      <c r="R182" s="5">
        <f t="shared" ref="R182:R194" si="83">IF(P$12=0,0,P182/P$12)</f>
        <v>4.6356301061055332E-3</v>
      </c>
      <c r="S182" s="1"/>
      <c r="T182" s="1">
        <f>SUM(OSRRefT22_12x_0)</f>
        <v>17784</v>
      </c>
      <c r="U182" s="1"/>
      <c r="V182" s="5">
        <f t="shared" ref="V182:V194" si="84">IF(T$12=0,0,T182/T$12)</f>
        <v>3.4259598524664253E-3</v>
      </c>
      <c r="W182" s="1"/>
      <c r="X182" s="1">
        <f t="shared" ref="X182:X194" si="85">+P182-T182</f>
        <v>-1605.0400000000009</v>
      </c>
      <c r="Y182" s="1"/>
      <c r="Z182" s="5">
        <f t="shared" ref="Z182:Z194" si="86">IF(T182=0,0,X182/T182)</f>
        <v>-9.0251911830859247E-2</v>
      </c>
    </row>
    <row r="183" spans="1:26" s="24" customFormat="1" hidden="1" outlineLevel="2" x14ac:dyDescent="0.25">
      <c r="A183" s="28"/>
      <c r="B183" s="11" t="str">
        <f>CONCATENATE("          ", "6314", " - ", "LIABILITY INSURANCE")</f>
        <v xml:space="preserve">          6314 - LIABILITY INSURANCE</v>
      </c>
      <c r="C183" s="11"/>
      <c r="D183" s="7">
        <v>4044.74</v>
      </c>
      <c r="E183" s="2"/>
      <c r="F183" s="6">
        <f t="shared" si="79"/>
        <v>1.2148342569720728E-2</v>
      </c>
      <c r="G183" s="2"/>
      <c r="H183" s="7">
        <v>4446</v>
      </c>
      <c r="I183" s="2"/>
      <c r="J183" s="6">
        <f t="shared" si="80"/>
        <v>8.3175874132415395E-3</v>
      </c>
      <c r="K183" s="2"/>
      <c r="L183" s="7">
        <f t="shared" si="81"/>
        <v>-401.26000000000022</v>
      </c>
      <c r="M183" s="2"/>
      <c r="N183" s="6">
        <f t="shared" si="82"/>
        <v>-9.0251911830859247E-2</v>
      </c>
      <c r="O183" s="11"/>
      <c r="P183" s="7">
        <v>16178.96</v>
      </c>
      <c r="Q183" s="2"/>
      <c r="R183" s="6">
        <f t="shared" si="83"/>
        <v>4.6356301061055332E-3</v>
      </c>
      <c r="S183" s="2"/>
      <c r="T183" s="7">
        <v>17784</v>
      </c>
      <c r="U183" s="2"/>
      <c r="V183" s="6">
        <f t="shared" si="84"/>
        <v>3.4259598524664253E-3</v>
      </c>
      <c r="W183" s="2"/>
      <c r="X183" s="7">
        <f t="shared" si="85"/>
        <v>-1605.0400000000009</v>
      </c>
      <c r="Y183" s="2"/>
      <c r="Z183" s="6">
        <f t="shared" si="86"/>
        <v>-9.0251911830859247E-2</v>
      </c>
    </row>
    <row r="184" spans="1:26" s="27" customFormat="1" outlineLevel="1" collapsed="1" x14ac:dyDescent="0.25">
      <c r="A184" s="29"/>
      <c r="B184" s="14" t="str">
        <f>CONCATENATE("     ","Inventory Adjustment                              ")</f>
        <v xml:space="preserve">     Inventory Adjustment                              </v>
      </c>
      <c r="C184" s="14"/>
      <c r="D184" s="1">
        <f>SUM(OSRRefD22_13x_0)</f>
        <v>3350</v>
      </c>
      <c r="E184" s="1"/>
      <c r="F184" s="5">
        <f t="shared" si="79"/>
        <v>1.0061696823173911E-2</v>
      </c>
      <c r="G184" s="1"/>
      <c r="H184" s="1">
        <f>SUM(OSRRefH22_13x_0)</f>
        <v>4350</v>
      </c>
      <c r="I184" s="1"/>
      <c r="J184" s="5">
        <f t="shared" si="80"/>
        <v>8.1379903840757307E-3</v>
      </c>
      <c r="K184" s="1"/>
      <c r="L184" s="1">
        <f t="shared" si="81"/>
        <v>-1000</v>
      </c>
      <c r="M184" s="1"/>
      <c r="N184" s="5">
        <f t="shared" si="82"/>
        <v>-0.22988505747126436</v>
      </c>
      <c r="O184" s="14"/>
      <c r="P184" s="1">
        <f>SUM(OSRRefP22_13x_0)</f>
        <v>13400</v>
      </c>
      <c r="Q184" s="1"/>
      <c r="R184" s="5">
        <f t="shared" si="83"/>
        <v>3.839396563302842E-3</v>
      </c>
      <c r="S184" s="1"/>
      <c r="T184" s="1">
        <f>SUM(OSRRefT22_13x_0)</f>
        <v>17400</v>
      </c>
      <c r="U184" s="1"/>
      <c r="V184" s="5">
        <f t="shared" si="84"/>
        <v>3.3519850108477169E-3</v>
      </c>
      <c r="W184" s="1"/>
      <c r="X184" s="1">
        <f t="shared" si="85"/>
        <v>-4000</v>
      </c>
      <c r="Y184" s="1"/>
      <c r="Z184" s="5">
        <f t="shared" si="86"/>
        <v>-0.22988505747126436</v>
      </c>
    </row>
    <row r="185" spans="1:26" s="24" customFormat="1" hidden="1" outlineLevel="2" x14ac:dyDescent="0.25">
      <c r="A185" s="28"/>
      <c r="B185" s="11" t="str">
        <f>CONCATENATE("          ", "6408", " - ", "INVENTORY ADJUSTMENT")</f>
        <v xml:space="preserve">          6408 - INVENTORY ADJUSTMENT</v>
      </c>
      <c r="C185" s="11"/>
      <c r="D185" s="7">
        <v>3350</v>
      </c>
      <c r="E185" s="2"/>
      <c r="F185" s="6">
        <f t="shared" si="79"/>
        <v>1.0061696823173911E-2</v>
      </c>
      <c r="G185" s="2"/>
      <c r="H185" s="7">
        <v>4350</v>
      </c>
      <c r="I185" s="2"/>
      <c r="J185" s="6">
        <f t="shared" si="80"/>
        <v>8.1379903840757307E-3</v>
      </c>
      <c r="K185" s="2"/>
      <c r="L185" s="7">
        <f t="shared" si="81"/>
        <v>-1000</v>
      </c>
      <c r="M185" s="2"/>
      <c r="N185" s="6">
        <f t="shared" si="82"/>
        <v>-0.22988505747126436</v>
      </c>
      <c r="O185" s="11"/>
      <c r="P185" s="7">
        <v>13400</v>
      </c>
      <c r="Q185" s="2"/>
      <c r="R185" s="6">
        <f t="shared" si="83"/>
        <v>3.839396563302842E-3</v>
      </c>
      <c r="S185" s="2"/>
      <c r="T185" s="7">
        <v>17400</v>
      </c>
      <c r="U185" s="2"/>
      <c r="V185" s="6">
        <f t="shared" si="84"/>
        <v>3.3519850108477169E-3</v>
      </c>
      <c r="W185" s="2"/>
      <c r="X185" s="7">
        <f t="shared" si="85"/>
        <v>-4000</v>
      </c>
      <c r="Y185" s="2"/>
      <c r="Z185" s="6">
        <f t="shared" si="86"/>
        <v>-0.22988505747126436</v>
      </c>
    </row>
    <row r="186" spans="1:26" s="27" customFormat="1" outlineLevel="1" collapsed="1" x14ac:dyDescent="0.25">
      <c r="A186" s="29"/>
      <c r="B186" s="14" t="str">
        <f>CONCATENATE("     ","Professional Services                             ")</f>
        <v xml:space="preserve">     Professional Services                             </v>
      </c>
      <c r="C186" s="14"/>
      <c r="D186" s="1">
        <f>SUM(OSRRefD22_14x_0)</f>
        <v>0</v>
      </c>
      <c r="E186" s="1"/>
      <c r="F186" s="5">
        <f t="shared" si="79"/>
        <v>0</v>
      </c>
      <c r="G186" s="1"/>
      <c r="H186" s="1">
        <f>SUM(OSRRefH22_14x_0)</f>
        <v>250</v>
      </c>
      <c r="I186" s="1"/>
      <c r="J186" s="5">
        <f t="shared" si="80"/>
        <v>4.6770059678596151E-4</v>
      </c>
      <c r="K186" s="1"/>
      <c r="L186" s="1">
        <f t="shared" si="81"/>
        <v>-250</v>
      </c>
      <c r="M186" s="1"/>
      <c r="N186" s="5">
        <f t="shared" si="82"/>
        <v>-1</v>
      </c>
      <c r="O186" s="14"/>
      <c r="P186" s="1">
        <f>SUM(OSRRefP22_14x_0)</f>
        <v>0</v>
      </c>
      <c r="Q186" s="1"/>
      <c r="R186" s="5">
        <f t="shared" si="83"/>
        <v>0</v>
      </c>
      <c r="S186" s="1"/>
      <c r="T186" s="1">
        <f>SUM(OSRRefT22_14x_0)</f>
        <v>6800</v>
      </c>
      <c r="U186" s="1"/>
      <c r="V186" s="5">
        <f t="shared" si="84"/>
        <v>1.3099711536646251E-3</v>
      </c>
      <c r="W186" s="1"/>
      <c r="X186" s="1">
        <f t="shared" si="85"/>
        <v>-6800</v>
      </c>
      <c r="Y186" s="1"/>
      <c r="Z186" s="5">
        <f t="shared" si="86"/>
        <v>-1</v>
      </c>
    </row>
    <row r="187" spans="1:26" s="24" customFormat="1" hidden="1" outlineLevel="2" x14ac:dyDescent="0.25">
      <c r="A187" s="28"/>
      <c r="B187" s="11" t="str">
        <f>CONCATENATE("          ", "6336", " - ", "PROFESSIONAL SERVICES")</f>
        <v xml:space="preserve">          6336 - PROFESSIONAL SERVICES</v>
      </c>
      <c r="C187" s="11"/>
      <c r="D187" s="7"/>
      <c r="E187" s="2"/>
      <c r="F187" s="6">
        <f t="shared" si="79"/>
        <v>0</v>
      </c>
      <c r="G187" s="2"/>
      <c r="H187" s="7">
        <v>250</v>
      </c>
      <c r="I187" s="2"/>
      <c r="J187" s="6">
        <f t="shared" si="80"/>
        <v>4.6770059678596151E-4</v>
      </c>
      <c r="K187" s="2"/>
      <c r="L187" s="7">
        <f t="shared" si="81"/>
        <v>-250</v>
      </c>
      <c r="M187" s="2"/>
      <c r="N187" s="6">
        <f t="shared" si="82"/>
        <v>-1</v>
      </c>
      <c r="O187" s="11"/>
      <c r="P187" s="7"/>
      <c r="Q187" s="2"/>
      <c r="R187" s="6">
        <f t="shared" si="83"/>
        <v>0</v>
      </c>
      <c r="S187" s="2"/>
      <c r="T187" s="7">
        <v>6800</v>
      </c>
      <c r="U187" s="2"/>
      <c r="V187" s="6">
        <f t="shared" si="84"/>
        <v>1.3099711536646251E-3</v>
      </c>
      <c r="W187" s="2"/>
      <c r="X187" s="7">
        <f t="shared" si="85"/>
        <v>-6800</v>
      </c>
      <c r="Y187" s="2"/>
      <c r="Z187" s="6">
        <f t="shared" si="86"/>
        <v>-1</v>
      </c>
    </row>
    <row r="188" spans="1:26" s="27" customFormat="1" outlineLevel="1" collapsed="1" x14ac:dyDescent="0.25">
      <c r="A188" s="29"/>
      <c r="B188" s="14" t="str">
        <f>CONCATENATE("     ","Rent                                              ")</f>
        <v xml:space="preserve">     Rent                                              </v>
      </c>
      <c r="C188" s="14"/>
      <c r="D188" s="1">
        <f>SUM(OSRRefD22_15x_0)</f>
        <v>6100</v>
      </c>
      <c r="E188" s="1"/>
      <c r="F188" s="5">
        <f t="shared" si="79"/>
        <v>1.8321298692943539E-2</v>
      </c>
      <c r="G188" s="1"/>
      <c r="H188" s="1">
        <f>SUM(OSRRefH22_15x_0)</f>
        <v>6100</v>
      </c>
      <c r="I188" s="1"/>
      <c r="J188" s="5">
        <f t="shared" si="80"/>
        <v>1.141189456157746E-2</v>
      </c>
      <c r="K188" s="1"/>
      <c r="L188" s="1">
        <f t="shared" si="81"/>
        <v>0</v>
      </c>
      <c r="M188" s="1"/>
      <c r="N188" s="5">
        <f t="shared" si="82"/>
        <v>0</v>
      </c>
      <c r="O188" s="14"/>
      <c r="P188" s="1">
        <f>SUM(OSRRefP22_15x_0)</f>
        <v>24400</v>
      </c>
      <c r="Q188" s="1"/>
      <c r="R188" s="5">
        <f t="shared" si="83"/>
        <v>6.9911400107902496E-3</v>
      </c>
      <c r="S188" s="1"/>
      <c r="T188" s="1">
        <f>SUM(OSRRefT22_15x_0)</f>
        <v>24401</v>
      </c>
      <c r="U188" s="1"/>
      <c r="V188" s="5">
        <f t="shared" si="84"/>
        <v>4.7006773706721348E-3</v>
      </c>
      <c r="W188" s="1"/>
      <c r="X188" s="1">
        <f t="shared" si="85"/>
        <v>-1</v>
      </c>
      <c r="Y188" s="1"/>
      <c r="Z188" s="5">
        <f t="shared" si="86"/>
        <v>-4.098192697020614E-5</v>
      </c>
    </row>
    <row r="189" spans="1:26" s="24" customFormat="1" hidden="1" outlineLevel="2" x14ac:dyDescent="0.25">
      <c r="A189" s="28"/>
      <c r="B189" s="11" t="str">
        <f>CONCATENATE("          ", "6273", " - ", "RENT")</f>
        <v xml:space="preserve">          6273 - RENT</v>
      </c>
      <c r="C189" s="11"/>
      <c r="D189" s="7">
        <v>6100</v>
      </c>
      <c r="E189" s="2"/>
      <c r="F189" s="6">
        <f t="shared" si="79"/>
        <v>1.8321298692943539E-2</v>
      </c>
      <c r="G189" s="2"/>
      <c r="H189" s="7">
        <v>6100</v>
      </c>
      <c r="I189" s="2"/>
      <c r="J189" s="6">
        <f t="shared" si="80"/>
        <v>1.141189456157746E-2</v>
      </c>
      <c r="K189" s="2"/>
      <c r="L189" s="7">
        <f t="shared" si="81"/>
        <v>0</v>
      </c>
      <c r="M189" s="2"/>
      <c r="N189" s="6">
        <f t="shared" si="82"/>
        <v>0</v>
      </c>
      <c r="O189" s="11"/>
      <c r="P189" s="7">
        <v>24400</v>
      </c>
      <c r="Q189" s="2"/>
      <c r="R189" s="6">
        <f t="shared" si="83"/>
        <v>6.9911400107902496E-3</v>
      </c>
      <c r="S189" s="2"/>
      <c r="T189" s="7">
        <v>24401</v>
      </c>
      <c r="U189" s="2"/>
      <c r="V189" s="6">
        <f t="shared" si="84"/>
        <v>4.7006773706721348E-3</v>
      </c>
      <c r="W189" s="2"/>
      <c r="X189" s="7">
        <f t="shared" si="85"/>
        <v>-1</v>
      </c>
      <c r="Y189" s="2"/>
      <c r="Z189" s="6">
        <f t="shared" si="86"/>
        <v>-4.098192697020614E-5</v>
      </c>
    </row>
    <row r="190" spans="1:26" s="27" customFormat="1" outlineLevel="1" collapsed="1" x14ac:dyDescent="0.25">
      <c r="A190" s="29"/>
      <c r="B190" s="14" t="str">
        <f>CONCATENATE("     ","Repair and Maintenance                            ")</f>
        <v xml:space="preserve">     Repair and Maintenance                            </v>
      </c>
      <c r="C190" s="14"/>
      <c r="D190" s="1">
        <f>SUM(OSRRefD22_16x_0)</f>
        <v>11552.1</v>
      </c>
      <c r="E190" s="1"/>
      <c r="F190" s="5">
        <f t="shared" si="79"/>
        <v>3.4696635185369355E-2</v>
      </c>
      <c r="G190" s="1"/>
      <c r="H190" s="1">
        <f>SUM(OSRRefH22_16x_0)</f>
        <v>18660</v>
      </c>
      <c r="I190" s="1"/>
      <c r="J190" s="5">
        <f t="shared" si="80"/>
        <v>3.4909172544104167E-2</v>
      </c>
      <c r="K190" s="1"/>
      <c r="L190" s="1">
        <f t="shared" si="81"/>
        <v>-7107.9</v>
      </c>
      <c r="M190" s="1"/>
      <c r="N190" s="5">
        <f t="shared" si="82"/>
        <v>-0.38091639871382632</v>
      </c>
      <c r="O190" s="14"/>
      <c r="P190" s="1">
        <f>SUM(OSRRefP22_16x_0)</f>
        <v>97944.37</v>
      </c>
      <c r="Q190" s="1"/>
      <c r="R190" s="5">
        <f t="shared" si="83"/>
        <v>2.8063229669616566E-2</v>
      </c>
      <c r="S190" s="1"/>
      <c r="T190" s="1">
        <f>SUM(OSRRefT22_16x_0)</f>
        <v>103445</v>
      </c>
      <c r="U190" s="1"/>
      <c r="V190" s="5">
        <f t="shared" si="84"/>
        <v>1.9927936175123107E-2</v>
      </c>
      <c r="W190" s="1"/>
      <c r="X190" s="1">
        <f t="shared" si="85"/>
        <v>-5500.6300000000047</v>
      </c>
      <c r="Y190" s="1"/>
      <c r="Z190" s="5">
        <f t="shared" si="86"/>
        <v>-5.317444052394997E-2</v>
      </c>
    </row>
    <row r="191" spans="1:26" s="24" customFormat="1" hidden="1" outlineLevel="2" x14ac:dyDescent="0.25">
      <c r="A191" s="28"/>
      <c r="B191" s="11" t="str">
        <f>CONCATENATE("          ", "6371", " - ", "COMPUTER SOFTWARE MAINTENANCE")</f>
        <v xml:space="preserve">          6371 - COMPUTER SOFTWARE MAINTENANCE</v>
      </c>
      <c r="C191" s="11"/>
      <c r="D191" s="7">
        <v>7.69</v>
      </c>
      <c r="E191" s="2"/>
      <c r="F191" s="6">
        <f t="shared" si="79"/>
        <v>2.3096850319464889E-5</v>
      </c>
      <c r="G191" s="2"/>
      <c r="H191" s="7"/>
      <c r="I191" s="2"/>
      <c r="J191" s="6">
        <f t="shared" si="80"/>
        <v>0</v>
      </c>
      <c r="K191" s="2"/>
      <c r="L191" s="7">
        <f t="shared" si="81"/>
        <v>7.69</v>
      </c>
      <c r="M191" s="2"/>
      <c r="N191" s="6">
        <f t="shared" si="82"/>
        <v>0</v>
      </c>
      <c r="O191" s="11"/>
      <c r="P191" s="7">
        <v>58436.47</v>
      </c>
      <c r="Q191" s="2"/>
      <c r="R191" s="6">
        <f t="shared" si="83"/>
        <v>1.6743341946981315E-2</v>
      </c>
      <c r="S191" s="2"/>
      <c r="T191" s="7">
        <v>45000</v>
      </c>
      <c r="U191" s="2"/>
      <c r="V191" s="6">
        <f t="shared" si="84"/>
        <v>8.6689267521923713E-3</v>
      </c>
      <c r="W191" s="2"/>
      <c r="X191" s="7">
        <f t="shared" si="85"/>
        <v>13436.470000000001</v>
      </c>
      <c r="Y191" s="2"/>
      <c r="Z191" s="6">
        <f t="shared" si="86"/>
        <v>0.29858822222222225</v>
      </c>
    </row>
    <row r="192" spans="1:26" s="24" customFormat="1" hidden="1" outlineLevel="2" x14ac:dyDescent="0.25">
      <c r="A192" s="28"/>
      <c r="B192" s="11" t="str">
        <f>CONCATENATE("          ", "6372", " - ", "COMPUTER HARDWARE MAINTENANCE")</f>
        <v xml:space="preserve">          6372 - COMPUTER HARDWARE MAINTENANCE</v>
      </c>
      <c r="C192" s="11"/>
      <c r="D192" s="7">
        <v>8.11</v>
      </c>
      <c r="E192" s="2"/>
      <c r="F192" s="6">
        <f t="shared" si="79"/>
        <v>2.4358316786847886E-5</v>
      </c>
      <c r="G192" s="2"/>
      <c r="H192" s="7"/>
      <c r="I192" s="2"/>
      <c r="J192" s="6">
        <f t="shared" si="80"/>
        <v>0</v>
      </c>
      <c r="K192" s="2"/>
      <c r="L192" s="7">
        <f t="shared" si="81"/>
        <v>8.11</v>
      </c>
      <c r="M192" s="2"/>
      <c r="N192" s="6">
        <f t="shared" si="82"/>
        <v>0</v>
      </c>
      <c r="O192" s="11"/>
      <c r="P192" s="7">
        <v>0</v>
      </c>
      <c r="Q192" s="2"/>
      <c r="R192" s="6">
        <f t="shared" si="83"/>
        <v>0</v>
      </c>
      <c r="S192" s="2"/>
      <c r="T192" s="7"/>
      <c r="U192" s="2"/>
      <c r="V192" s="6">
        <f t="shared" si="84"/>
        <v>0</v>
      </c>
      <c r="W192" s="2"/>
      <c r="X192" s="7">
        <f t="shared" si="85"/>
        <v>0</v>
      </c>
      <c r="Y192" s="2"/>
      <c r="Z192" s="6">
        <f t="shared" si="86"/>
        <v>0</v>
      </c>
    </row>
    <row r="193" spans="1:26" s="24" customFormat="1" hidden="1" outlineLevel="2" x14ac:dyDescent="0.25">
      <c r="A193" s="28"/>
      <c r="B193" s="11" t="str">
        <f>CONCATENATE("          ", "6373", " - ", "MAINTENANCE CONTRACTS")</f>
        <v xml:space="preserve">          6373 - MAINTENANCE CONTRACTS</v>
      </c>
      <c r="C193" s="11"/>
      <c r="D193" s="7">
        <v>5396.67</v>
      </c>
      <c r="E193" s="2"/>
      <c r="F193" s="6">
        <f t="shared" si="79"/>
        <v>1.620885295364715E-2</v>
      </c>
      <c r="G193" s="2"/>
      <c r="H193" s="7">
        <v>10040</v>
      </c>
      <c r="I193" s="2"/>
      <c r="J193" s="6">
        <f t="shared" si="80"/>
        <v>1.8782855966924215E-2</v>
      </c>
      <c r="K193" s="2"/>
      <c r="L193" s="7">
        <f t="shared" si="81"/>
        <v>-4643.33</v>
      </c>
      <c r="M193" s="2"/>
      <c r="N193" s="6">
        <f t="shared" si="82"/>
        <v>-0.46248306772908365</v>
      </c>
      <c r="O193" s="11"/>
      <c r="P193" s="7">
        <v>30585.72</v>
      </c>
      <c r="Q193" s="2"/>
      <c r="R193" s="6">
        <f t="shared" si="83"/>
        <v>8.763485690607687E-3</v>
      </c>
      <c r="S193" s="2"/>
      <c r="T193" s="7">
        <v>24460</v>
      </c>
      <c r="U193" s="2"/>
      <c r="V193" s="6">
        <f t="shared" si="84"/>
        <v>4.7120432968583426E-3</v>
      </c>
      <c r="W193" s="2"/>
      <c r="X193" s="7">
        <f t="shared" si="85"/>
        <v>6125.7200000000012</v>
      </c>
      <c r="Y193" s="2"/>
      <c r="Z193" s="6">
        <f t="shared" si="86"/>
        <v>0.25043826655764517</v>
      </c>
    </row>
    <row r="194" spans="1:26" s="24" customFormat="1" hidden="1" outlineLevel="2" x14ac:dyDescent="0.25">
      <c r="A194" s="28"/>
      <c r="B194" s="11" t="str">
        <f>CONCATENATE("          ", "6375", " - ", "OUTSIDE REPAIRS &amp; MAINTENANCE")</f>
        <v xml:space="preserve">          6375 - OUTSIDE REPAIRS &amp; MAINTENANCE</v>
      </c>
      <c r="C194" s="11"/>
      <c r="D194" s="7">
        <v>6139.63</v>
      </c>
      <c r="E194" s="2"/>
      <c r="F194" s="6">
        <f t="shared" si="79"/>
        <v>1.8440327064615892E-2</v>
      </c>
      <c r="G194" s="2"/>
      <c r="H194" s="7">
        <v>8620</v>
      </c>
      <c r="I194" s="2"/>
      <c r="J194" s="6">
        <f t="shared" si="80"/>
        <v>1.6126316577179951E-2</v>
      </c>
      <c r="K194" s="2"/>
      <c r="L194" s="7">
        <f t="shared" si="81"/>
        <v>-2480.37</v>
      </c>
      <c r="M194" s="2"/>
      <c r="N194" s="6">
        <f t="shared" si="82"/>
        <v>-0.28774593967517398</v>
      </c>
      <c r="O194" s="11"/>
      <c r="P194" s="7">
        <v>8922.18</v>
      </c>
      <c r="Q194" s="2"/>
      <c r="R194" s="6">
        <f t="shared" si="83"/>
        <v>2.5564020320275635E-3</v>
      </c>
      <c r="S194" s="2"/>
      <c r="T194" s="7">
        <v>33985</v>
      </c>
      <c r="U194" s="2"/>
      <c r="V194" s="6">
        <f t="shared" si="84"/>
        <v>6.5469661260723943E-3</v>
      </c>
      <c r="W194" s="2"/>
      <c r="X194" s="7">
        <f t="shared" si="85"/>
        <v>-25062.82</v>
      </c>
      <c r="Y194" s="2"/>
      <c r="Z194" s="6">
        <f t="shared" si="86"/>
        <v>-0.73746711784610852</v>
      </c>
    </row>
    <row r="195" spans="1:26" s="27" customFormat="1" outlineLevel="1" collapsed="1" x14ac:dyDescent="0.25">
      <c r="A195" s="29"/>
      <c r="B195" s="14" t="str">
        <f>CONCATENATE("     ","Royalty &amp; Commissions                             ")</f>
        <v xml:space="preserve">     Royalty &amp; Commissions                             </v>
      </c>
      <c r="C195" s="14"/>
      <c r="D195" s="1">
        <f>SUM(OSRRefD22_17x_0)</f>
        <v>10810</v>
      </c>
      <c r="E195" s="1"/>
      <c r="F195" s="5">
        <f t="shared" ref="F195:F199" si="87">IF(D$12=0,0,D195/D$12)</f>
        <v>3.2467744077167154E-2</v>
      </c>
      <c r="G195" s="1"/>
      <c r="H195" s="1">
        <f>SUM(OSRRefH22_17x_0)</f>
        <v>7171</v>
      </c>
      <c r="I195" s="1"/>
      <c r="J195" s="5">
        <f t="shared" ref="J195:J199" si="88">IF(H$12=0,0,H195/H$12)</f>
        <v>1.341552391820852E-2</v>
      </c>
      <c r="K195" s="1"/>
      <c r="L195" s="1">
        <f t="shared" ref="L195:L199" si="89">+D195-H195</f>
        <v>3639</v>
      </c>
      <c r="M195" s="1"/>
      <c r="N195" s="5">
        <f t="shared" ref="N195:N199" si="90">IF(H195=0,0,L195/H195)</f>
        <v>0.50746060521545111</v>
      </c>
      <c r="O195" s="14"/>
      <c r="P195" s="1">
        <f>SUM(OSRRefP22_17x_0)</f>
        <v>24117</v>
      </c>
      <c r="Q195" s="1"/>
      <c r="R195" s="5">
        <f t="shared" ref="R195:R199" si="91">IF(P$12=0,0,P195/P$12)</f>
        <v>6.9100542475503462E-3</v>
      </c>
      <c r="S195" s="1"/>
      <c r="T195" s="1">
        <f>SUM(OSRRefT22_17x_0)</f>
        <v>27634</v>
      </c>
      <c r="U195" s="1"/>
      <c r="V195" s="5">
        <f t="shared" ref="V195:V199" si="92">IF(T$12=0,0,T195/T$12)</f>
        <v>5.3234915971129776E-3</v>
      </c>
      <c r="W195" s="1"/>
      <c r="X195" s="1">
        <f t="shared" ref="X195:X199" si="93">+P195-T195</f>
        <v>-3517</v>
      </c>
      <c r="Y195" s="1"/>
      <c r="Z195" s="5">
        <f t="shared" ref="Z195:Z199" si="94">IF(T195=0,0,X195/T195)</f>
        <v>-0.12727075341970037</v>
      </c>
    </row>
    <row r="196" spans="1:26" s="24" customFormat="1" hidden="1" outlineLevel="2" x14ac:dyDescent="0.25">
      <c r="A196" s="28"/>
      <c r="B196" s="11" t="str">
        <f>CONCATENATE("          ", "6252", " - ", "ROYALTY DUE CSTV")</f>
        <v xml:space="preserve">          6252 - ROYALTY DUE CSTV</v>
      </c>
      <c r="C196" s="11"/>
      <c r="D196" s="7"/>
      <c r="E196" s="2"/>
      <c r="F196" s="6">
        <f t="shared" si="87"/>
        <v>0</v>
      </c>
      <c r="G196" s="2"/>
      <c r="H196" s="7">
        <v>1085</v>
      </c>
      <c r="I196" s="2"/>
      <c r="J196" s="6">
        <f t="shared" si="88"/>
        <v>2.029820590051073E-3</v>
      </c>
      <c r="K196" s="2"/>
      <c r="L196" s="7">
        <f t="shared" si="89"/>
        <v>-1085</v>
      </c>
      <c r="M196" s="2"/>
      <c r="N196" s="6">
        <f t="shared" si="90"/>
        <v>-1</v>
      </c>
      <c r="O196" s="11"/>
      <c r="P196" s="7"/>
      <c r="Q196" s="2"/>
      <c r="R196" s="6">
        <f t="shared" si="91"/>
        <v>0</v>
      </c>
      <c r="S196" s="2"/>
      <c r="T196" s="7">
        <v>4340</v>
      </c>
      <c r="U196" s="2"/>
      <c r="V196" s="6">
        <f t="shared" si="92"/>
        <v>8.3606982454477539E-4</v>
      </c>
      <c r="W196" s="2"/>
      <c r="X196" s="7">
        <f t="shared" si="93"/>
        <v>-4340</v>
      </c>
      <c r="Y196" s="2"/>
      <c r="Z196" s="6">
        <f t="shared" si="94"/>
        <v>-1</v>
      </c>
    </row>
    <row r="197" spans="1:26" s="24" customFormat="1" hidden="1" outlineLevel="2" x14ac:dyDescent="0.25">
      <c r="A197" s="28"/>
      <c r="B197" s="11" t="str">
        <f>CONCATENATE("          ", "6253", " - ", "ROYALTY DUE ATHLETICS-LRG")</f>
        <v xml:space="preserve">          6253 - ROYALTY DUE ATHLETICS-LRG</v>
      </c>
      <c r="C197" s="11"/>
      <c r="D197" s="7">
        <v>10489.6</v>
      </c>
      <c r="E197" s="2"/>
      <c r="F197" s="6">
        <f t="shared" si="87"/>
        <v>3.150542537204927E-2</v>
      </c>
      <c r="G197" s="2"/>
      <c r="H197" s="7">
        <v>4037</v>
      </c>
      <c r="I197" s="2"/>
      <c r="J197" s="6">
        <f t="shared" si="88"/>
        <v>7.5524292368997067E-3</v>
      </c>
      <c r="K197" s="2"/>
      <c r="L197" s="7">
        <f t="shared" si="89"/>
        <v>6452.6</v>
      </c>
      <c r="M197" s="2"/>
      <c r="N197" s="6">
        <f t="shared" si="90"/>
        <v>1.598365122615804</v>
      </c>
      <c r="O197" s="11"/>
      <c r="P197" s="7">
        <v>18411.8</v>
      </c>
      <c r="Q197" s="2"/>
      <c r="R197" s="6">
        <f t="shared" si="91"/>
        <v>5.2753881824044229E-3</v>
      </c>
      <c r="S197" s="2"/>
      <c r="T197" s="7">
        <v>16148</v>
      </c>
      <c r="U197" s="2"/>
      <c r="V197" s="6">
        <f t="shared" si="92"/>
        <v>3.1107962043200538E-3</v>
      </c>
      <c r="W197" s="2"/>
      <c r="X197" s="7">
        <f t="shared" si="93"/>
        <v>2263.7999999999993</v>
      </c>
      <c r="Y197" s="2"/>
      <c r="Z197" s="6">
        <f t="shared" si="94"/>
        <v>0.14019073569482285</v>
      </c>
    </row>
    <row r="198" spans="1:26" s="24" customFormat="1" hidden="1" outlineLevel="2" x14ac:dyDescent="0.25">
      <c r="A198" s="28"/>
      <c r="B198" s="11" t="str">
        <f>CONCATENATE("          ", "6254", " - ", "ROYALTY &amp; COMMISSIONS")</f>
        <v xml:space="preserve">          6254 - ROYALTY &amp; COMMISSIONS</v>
      </c>
      <c r="C198" s="11"/>
      <c r="D198" s="7"/>
      <c r="E198" s="2"/>
      <c r="F198" s="6">
        <f t="shared" si="87"/>
        <v>0</v>
      </c>
      <c r="G198" s="2"/>
      <c r="H198" s="7">
        <v>1149</v>
      </c>
      <c r="I198" s="2"/>
      <c r="J198" s="6">
        <f t="shared" si="88"/>
        <v>2.149551942828279E-3</v>
      </c>
      <c r="K198" s="2"/>
      <c r="L198" s="7">
        <f t="shared" si="89"/>
        <v>-1149</v>
      </c>
      <c r="M198" s="2"/>
      <c r="N198" s="6">
        <f t="shared" si="90"/>
        <v>-1</v>
      </c>
      <c r="O198" s="11"/>
      <c r="P198" s="7"/>
      <c r="Q198" s="2"/>
      <c r="R198" s="6">
        <f t="shared" si="91"/>
        <v>0</v>
      </c>
      <c r="S198" s="2"/>
      <c r="T198" s="7">
        <v>4596</v>
      </c>
      <c r="U198" s="2"/>
      <c r="V198" s="6">
        <f t="shared" si="92"/>
        <v>8.8538638562391425E-4</v>
      </c>
      <c r="W198" s="2"/>
      <c r="X198" s="7">
        <f t="shared" si="93"/>
        <v>-4596</v>
      </c>
      <c r="Y198" s="2"/>
      <c r="Z198" s="6">
        <f t="shared" si="94"/>
        <v>-1</v>
      </c>
    </row>
    <row r="199" spans="1:26" s="24" customFormat="1" hidden="1" outlineLevel="2" x14ac:dyDescent="0.25">
      <c r="A199" s="28"/>
      <c r="B199" s="11" t="str">
        <f>CONCATENATE("          ", "6259", " - ", "ROYALTY &amp; COMMISSIONS")</f>
        <v xml:space="preserve">          6259 - ROYALTY &amp; COMMISSIONS</v>
      </c>
      <c r="C199" s="11"/>
      <c r="D199" s="7">
        <v>320.39999999999998</v>
      </c>
      <c r="E199" s="2"/>
      <c r="F199" s="6">
        <f t="shared" si="87"/>
        <v>9.6231870511788681E-4</v>
      </c>
      <c r="G199" s="2"/>
      <c r="H199" s="7">
        <v>900</v>
      </c>
      <c r="I199" s="2"/>
      <c r="J199" s="6">
        <f t="shared" si="88"/>
        <v>1.6837221484294613E-3</v>
      </c>
      <c r="K199" s="2"/>
      <c r="L199" s="7">
        <f t="shared" si="89"/>
        <v>-579.6</v>
      </c>
      <c r="M199" s="2"/>
      <c r="N199" s="6">
        <f t="shared" si="90"/>
        <v>-0.64400000000000002</v>
      </c>
      <c r="O199" s="11"/>
      <c r="P199" s="7">
        <v>5705.2</v>
      </c>
      <c r="Q199" s="2"/>
      <c r="R199" s="6">
        <f t="shared" si="91"/>
        <v>1.6346660651459235E-3</v>
      </c>
      <c r="S199" s="2"/>
      <c r="T199" s="7">
        <v>2550</v>
      </c>
      <c r="U199" s="2"/>
      <c r="V199" s="6">
        <f t="shared" si="92"/>
        <v>4.912391826242344E-4</v>
      </c>
      <c r="W199" s="2"/>
      <c r="X199" s="7">
        <f t="shared" si="93"/>
        <v>3155.2</v>
      </c>
      <c r="Y199" s="2"/>
      <c r="Z199" s="6">
        <f t="shared" si="94"/>
        <v>1.2373333333333332</v>
      </c>
    </row>
    <row r="200" spans="1:26" s="27" customFormat="1" outlineLevel="1" collapsed="1" x14ac:dyDescent="0.25">
      <c r="A200" s="29"/>
      <c r="B200" s="14" t="str">
        <f>CONCATENATE("     ","Services                                          ")</f>
        <v xml:space="preserve">     Services                                          </v>
      </c>
      <c r="C200" s="14"/>
      <c r="D200" s="1">
        <f>SUM(OSRRefD22_18x_0)</f>
        <v>3968.4200000000005</v>
      </c>
      <c r="E200" s="1"/>
      <c r="F200" s="5">
        <f t="shared" ref="F200:F204" si="95">IF(D$12=0,0,D200/D$12)</f>
        <v>1.1919116091647707E-2</v>
      </c>
      <c r="G200" s="1"/>
      <c r="H200" s="1">
        <f>SUM(OSRRefH22_18x_0)</f>
        <v>4729</v>
      </c>
      <c r="I200" s="1"/>
      <c r="J200" s="5">
        <f t="shared" ref="J200:J204" si="96">IF(H$12=0,0,H200/H$12)</f>
        <v>8.8470244888032481E-3</v>
      </c>
      <c r="K200" s="1"/>
      <c r="L200" s="1">
        <f t="shared" ref="L200:L204" si="97">+D200-H200</f>
        <v>-760.57999999999947</v>
      </c>
      <c r="M200" s="1"/>
      <c r="N200" s="5">
        <f t="shared" ref="N200:N204" si="98">IF(H200=0,0,L200/H200)</f>
        <v>-0.16083315711566917</v>
      </c>
      <c r="O200" s="14"/>
      <c r="P200" s="1">
        <f>SUM(OSRRefP22_18x_0)</f>
        <v>12791.19</v>
      </c>
      <c r="Q200" s="1"/>
      <c r="R200" s="5">
        <f t="shared" ref="R200:R204" si="99">IF(P$12=0,0,P200/P$12)</f>
        <v>3.6649590243696779E-3</v>
      </c>
      <c r="S200" s="1"/>
      <c r="T200" s="1">
        <f>SUM(OSRRefT22_18x_0)</f>
        <v>18697</v>
      </c>
      <c r="U200" s="1"/>
      <c r="V200" s="5">
        <f t="shared" ref="V200:V204" si="100">IF(T$12=0,0,T200/T$12)</f>
        <v>3.6018427441275726E-3</v>
      </c>
      <c r="W200" s="1"/>
      <c r="X200" s="1">
        <f t="shared" ref="X200:X204" si="101">+P200-T200</f>
        <v>-5905.8099999999995</v>
      </c>
      <c r="Y200" s="1"/>
      <c r="Z200" s="5">
        <f t="shared" ref="Z200:Z204" si="102">IF(T200=0,0,X200/T200)</f>
        <v>-0.31586939081136006</v>
      </c>
    </row>
    <row r="201" spans="1:26" s="24" customFormat="1" hidden="1" outlineLevel="2" x14ac:dyDescent="0.25">
      <c r="A201" s="28"/>
      <c r="B201" s="11" t="str">
        <f>CONCATENATE("          ", "6282", " - ", "JANITORIAL/EXTERMINATOR EXPENS")</f>
        <v xml:space="preserve">          6282 - JANITORIAL/EXTERMINATOR EXPENS</v>
      </c>
      <c r="C201" s="11"/>
      <c r="D201" s="7">
        <v>4330.68</v>
      </c>
      <c r="E201" s="2"/>
      <c r="F201" s="6">
        <f t="shared" si="95"/>
        <v>1.3007160954681431E-2</v>
      </c>
      <c r="G201" s="2"/>
      <c r="H201" s="7">
        <v>4000</v>
      </c>
      <c r="I201" s="2"/>
      <c r="J201" s="6">
        <f t="shared" si="96"/>
        <v>7.4832095485753841E-3</v>
      </c>
      <c r="K201" s="2"/>
      <c r="L201" s="7">
        <f t="shared" si="97"/>
        <v>330.68000000000029</v>
      </c>
      <c r="M201" s="2"/>
      <c r="N201" s="6">
        <f t="shared" si="98"/>
        <v>8.2670000000000077E-2</v>
      </c>
      <c r="O201" s="11"/>
      <c r="P201" s="7">
        <v>5073.62</v>
      </c>
      <c r="Q201" s="2"/>
      <c r="R201" s="6">
        <f t="shared" si="99"/>
        <v>1.45370441727646E-3</v>
      </c>
      <c r="S201" s="2"/>
      <c r="T201" s="7">
        <v>16000</v>
      </c>
      <c r="U201" s="2"/>
      <c r="V201" s="6">
        <f t="shared" si="100"/>
        <v>3.0822850674461764E-3</v>
      </c>
      <c r="W201" s="2"/>
      <c r="X201" s="7">
        <f t="shared" si="101"/>
        <v>-10926.380000000001</v>
      </c>
      <c r="Y201" s="2"/>
      <c r="Z201" s="6">
        <f t="shared" si="102"/>
        <v>-0.68289875000000011</v>
      </c>
    </row>
    <row r="202" spans="1:26" s="24" customFormat="1" hidden="1" outlineLevel="2" x14ac:dyDescent="0.25">
      <c r="A202" s="28"/>
      <c r="B202" s="11" t="str">
        <f>CONCATENATE("          ", "6283", " - ", "PLANT SERVICE")</f>
        <v xml:space="preserve">          6283 - PLANT SERVICE</v>
      </c>
      <c r="C202" s="11"/>
      <c r="D202" s="7"/>
      <c r="E202" s="2"/>
      <c r="F202" s="6">
        <f t="shared" si="95"/>
        <v>0</v>
      </c>
      <c r="G202" s="2"/>
      <c r="H202" s="7">
        <v>0</v>
      </c>
      <c r="I202" s="2"/>
      <c r="J202" s="6">
        <f t="shared" si="96"/>
        <v>0</v>
      </c>
      <c r="K202" s="2"/>
      <c r="L202" s="7">
        <f t="shared" si="97"/>
        <v>0</v>
      </c>
      <c r="M202" s="2"/>
      <c r="N202" s="6">
        <f t="shared" si="98"/>
        <v>0</v>
      </c>
      <c r="O202" s="11"/>
      <c r="P202" s="7">
        <v>130</v>
      </c>
      <c r="Q202" s="2"/>
      <c r="R202" s="6">
        <f t="shared" si="99"/>
        <v>3.7247877106669363E-5</v>
      </c>
      <c r="S202" s="2"/>
      <c r="T202" s="7">
        <v>0</v>
      </c>
      <c r="U202" s="2"/>
      <c r="V202" s="6">
        <f t="shared" si="100"/>
        <v>0</v>
      </c>
      <c r="W202" s="2"/>
      <c r="X202" s="7">
        <f t="shared" si="101"/>
        <v>130</v>
      </c>
      <c r="Y202" s="2"/>
      <c r="Z202" s="6">
        <f t="shared" si="102"/>
        <v>0</v>
      </c>
    </row>
    <row r="203" spans="1:26" s="24" customFormat="1" hidden="1" outlineLevel="2" x14ac:dyDescent="0.25">
      <c r="A203" s="28"/>
      <c r="B203" s="11" t="str">
        <f>CONCATENATE("          ", "6284", " - ", "TRASH REMOVAL EXPENSE")</f>
        <v xml:space="preserve">          6284 - TRASH REMOVAL EXPENSE</v>
      </c>
      <c r="C203" s="11"/>
      <c r="D203" s="7">
        <v>157.59</v>
      </c>
      <c r="E203" s="2"/>
      <c r="F203" s="6">
        <f t="shared" si="95"/>
        <v>4.7332023951163481E-4</v>
      </c>
      <c r="G203" s="2"/>
      <c r="H203" s="7">
        <v>55</v>
      </c>
      <c r="I203" s="2"/>
      <c r="J203" s="6">
        <f t="shared" si="96"/>
        <v>1.0289413129291153E-4</v>
      </c>
      <c r="K203" s="2"/>
      <c r="L203" s="7">
        <f t="shared" si="97"/>
        <v>102.59</v>
      </c>
      <c r="M203" s="2"/>
      <c r="N203" s="6">
        <f t="shared" si="98"/>
        <v>1.8652727272727274</v>
      </c>
      <c r="O203" s="11"/>
      <c r="P203" s="7">
        <v>585.29999999999995</v>
      </c>
      <c r="Q203" s="2"/>
      <c r="R203" s="6">
        <f t="shared" si="99"/>
        <v>1.6770140361948904E-4</v>
      </c>
      <c r="S203" s="2"/>
      <c r="T203" s="7">
        <v>275</v>
      </c>
      <c r="U203" s="2"/>
      <c r="V203" s="6">
        <f t="shared" si="100"/>
        <v>5.297677459673116E-5</v>
      </c>
      <c r="W203" s="2"/>
      <c r="X203" s="7">
        <f t="shared" si="101"/>
        <v>310.29999999999995</v>
      </c>
      <c r="Y203" s="2"/>
      <c r="Z203" s="6">
        <f t="shared" si="102"/>
        <v>1.1283636363636362</v>
      </c>
    </row>
    <row r="204" spans="1:26" s="24" customFormat="1" hidden="1" outlineLevel="2" x14ac:dyDescent="0.25">
      <c r="A204" s="28"/>
      <c r="B204" s="11" t="str">
        <f>CONCATENATE("          ", "6285", " - ", "JANITORIAL SERVICES")</f>
        <v xml:space="preserve">          6285 - JANITORIAL SERVICES</v>
      </c>
      <c r="C204" s="11"/>
      <c r="D204" s="7">
        <v>-519.85</v>
      </c>
      <c r="E204" s="2"/>
      <c r="F204" s="6">
        <f t="shared" si="95"/>
        <v>-1.5613651025453605E-3</v>
      </c>
      <c r="G204" s="2"/>
      <c r="H204" s="7">
        <v>674</v>
      </c>
      <c r="I204" s="2"/>
      <c r="J204" s="6">
        <f t="shared" si="96"/>
        <v>1.2609208089349522E-3</v>
      </c>
      <c r="K204" s="2"/>
      <c r="L204" s="7">
        <f t="shared" si="97"/>
        <v>-1193.8499999999999</v>
      </c>
      <c r="M204" s="2"/>
      <c r="N204" s="6">
        <f t="shared" si="98"/>
        <v>-1.7712908011869435</v>
      </c>
      <c r="O204" s="11"/>
      <c r="P204" s="7">
        <v>7002.27</v>
      </c>
      <c r="Q204" s="2"/>
      <c r="R204" s="6">
        <f t="shared" si="99"/>
        <v>2.0063053263670591E-3</v>
      </c>
      <c r="S204" s="2"/>
      <c r="T204" s="7">
        <v>2422</v>
      </c>
      <c r="U204" s="2"/>
      <c r="V204" s="6">
        <f t="shared" si="100"/>
        <v>4.6658090208466496E-4</v>
      </c>
      <c r="W204" s="2"/>
      <c r="X204" s="7">
        <f t="shared" si="101"/>
        <v>4580.2700000000004</v>
      </c>
      <c r="Y204" s="2"/>
      <c r="Z204" s="6">
        <f t="shared" si="102"/>
        <v>1.8911106523534271</v>
      </c>
    </row>
    <row r="205" spans="1:26" s="27" customFormat="1" outlineLevel="1" collapsed="1" x14ac:dyDescent="0.25">
      <c r="A205" s="29"/>
      <c r="B205" s="14" t="str">
        <f>CONCATENATE("     ","Subscriptions &amp; Dues                              ")</f>
        <v xml:space="preserve">     Subscriptions &amp; Dues                              </v>
      </c>
      <c r="C205" s="14"/>
      <c r="D205" s="1">
        <f>SUM(OSRRefD22_19x_0)</f>
        <v>865.32</v>
      </c>
      <c r="E205" s="1"/>
      <c r="F205" s="5">
        <f t="shared" ref="F205:F207" si="103">IF(D$12=0,0,D205/D$12)</f>
        <v>2.5989813417996565E-3</v>
      </c>
      <c r="G205" s="1"/>
      <c r="H205" s="1">
        <f>SUM(OSRRefH22_19x_0)</f>
        <v>1100</v>
      </c>
      <c r="I205" s="1"/>
      <c r="J205" s="5">
        <f t="shared" ref="J205:J207" si="104">IF(H$12=0,0,H205/H$12)</f>
        <v>2.0578826258582307E-3</v>
      </c>
      <c r="K205" s="1"/>
      <c r="L205" s="1">
        <f t="shared" ref="L205:L207" si="105">+D205-H205</f>
        <v>-234.67999999999995</v>
      </c>
      <c r="M205" s="1"/>
      <c r="N205" s="5">
        <f t="shared" ref="N205:N207" si="106">IF(H205=0,0,L205/H205)</f>
        <v>-0.2133454545454545</v>
      </c>
      <c r="O205" s="14"/>
      <c r="P205" s="1">
        <f>SUM(OSRRefP22_19x_0)</f>
        <v>1649.09</v>
      </c>
      <c r="Q205" s="1"/>
      <c r="R205" s="5">
        <f t="shared" ref="R205:R207" si="107">IF(P$12=0,0,P205/P$12)</f>
        <v>4.7250078198336445E-4</v>
      </c>
      <c r="S205" s="1"/>
      <c r="T205" s="1">
        <f>SUM(OSRRefT22_19x_0)</f>
        <v>5795</v>
      </c>
      <c r="U205" s="1"/>
      <c r="V205" s="5">
        <f t="shared" ref="V205:V207" si="108">IF(T$12=0,0,T205/T$12)</f>
        <v>1.1163651228656621E-3</v>
      </c>
      <c r="W205" s="1"/>
      <c r="X205" s="1">
        <f t="shared" ref="X205:X207" si="109">+P205-T205</f>
        <v>-4145.91</v>
      </c>
      <c r="Y205" s="1"/>
      <c r="Z205" s="5">
        <f t="shared" ref="Z205:Z207" si="110">IF(T205=0,0,X205/T205)</f>
        <v>-0.71542881794650559</v>
      </c>
    </row>
    <row r="206" spans="1:26" s="24" customFormat="1" hidden="1" outlineLevel="2" x14ac:dyDescent="0.25">
      <c r="A206" s="28"/>
      <c r="B206" s="11" t="str">
        <f>CONCATENATE("          ", "6258", " - ", "MEMBERSHIP DUES")</f>
        <v xml:space="preserve">          6258 - MEMBERSHIP DUES</v>
      </c>
      <c r="C206" s="11"/>
      <c r="D206" s="7">
        <v>790.32</v>
      </c>
      <c r="E206" s="2"/>
      <c r="F206" s="6">
        <f t="shared" si="103"/>
        <v>2.3737194726241211E-3</v>
      </c>
      <c r="G206" s="2"/>
      <c r="H206" s="7">
        <v>1100</v>
      </c>
      <c r="I206" s="2"/>
      <c r="J206" s="6">
        <f t="shared" si="104"/>
        <v>2.0578826258582307E-3</v>
      </c>
      <c r="K206" s="2"/>
      <c r="L206" s="7">
        <f t="shared" si="105"/>
        <v>-309.67999999999995</v>
      </c>
      <c r="M206" s="2"/>
      <c r="N206" s="6">
        <f t="shared" si="106"/>
        <v>-0.28152727272727268</v>
      </c>
      <c r="O206" s="11"/>
      <c r="P206" s="7">
        <v>1423.36</v>
      </c>
      <c r="Q206" s="2"/>
      <c r="R206" s="6">
        <f t="shared" si="107"/>
        <v>4.0782414121960691E-4</v>
      </c>
      <c r="S206" s="2"/>
      <c r="T206" s="7">
        <v>5795</v>
      </c>
      <c r="U206" s="2"/>
      <c r="V206" s="6">
        <f t="shared" si="108"/>
        <v>1.1163651228656621E-3</v>
      </c>
      <c r="W206" s="2"/>
      <c r="X206" s="7">
        <f t="shared" si="109"/>
        <v>-4371.6400000000003</v>
      </c>
      <c r="Y206" s="2"/>
      <c r="Z206" s="6">
        <f t="shared" si="110"/>
        <v>-0.75438136324417604</v>
      </c>
    </row>
    <row r="207" spans="1:26" s="24" customFormat="1" hidden="1" outlineLevel="2" x14ac:dyDescent="0.25">
      <c r="A207" s="28"/>
      <c r="B207" s="11" t="str">
        <f>CONCATENATE("          ", "6275", " - ", "SUBSCRIPTIONS")</f>
        <v xml:space="preserve">          6275 - SUBSCRIPTIONS</v>
      </c>
      <c r="C207" s="11"/>
      <c r="D207" s="7">
        <v>75</v>
      </c>
      <c r="E207" s="2"/>
      <c r="F207" s="6">
        <f t="shared" si="103"/>
        <v>2.2526186917553532E-4</v>
      </c>
      <c r="G207" s="2"/>
      <c r="H207" s="7">
        <v>0</v>
      </c>
      <c r="I207" s="2"/>
      <c r="J207" s="6">
        <f t="shared" si="104"/>
        <v>0</v>
      </c>
      <c r="K207" s="2"/>
      <c r="L207" s="7">
        <f t="shared" si="105"/>
        <v>75</v>
      </c>
      <c r="M207" s="2"/>
      <c r="N207" s="6">
        <f t="shared" si="106"/>
        <v>0</v>
      </c>
      <c r="O207" s="11"/>
      <c r="P207" s="7">
        <v>225.73</v>
      </c>
      <c r="Q207" s="2"/>
      <c r="R207" s="6">
        <f t="shared" si="107"/>
        <v>6.4676640763757499E-5</v>
      </c>
      <c r="S207" s="2"/>
      <c r="T207" s="7">
        <v>0</v>
      </c>
      <c r="U207" s="2"/>
      <c r="V207" s="6">
        <f t="shared" si="108"/>
        <v>0</v>
      </c>
      <c r="W207" s="2"/>
      <c r="X207" s="7">
        <f t="shared" si="109"/>
        <v>225.73</v>
      </c>
      <c r="Y207" s="2"/>
      <c r="Z207" s="6">
        <f t="shared" si="110"/>
        <v>0</v>
      </c>
    </row>
    <row r="208" spans="1:26" s="27" customFormat="1" outlineLevel="1" collapsed="1" x14ac:dyDescent="0.25">
      <c r="A208" s="29"/>
      <c r="B208" s="14" t="str">
        <f>CONCATENATE("     ","Supplies                                          ")</f>
        <v xml:space="preserve">     Supplies                                          </v>
      </c>
      <c r="C208" s="14"/>
      <c r="D208" s="1">
        <f>SUM(OSRRefD22_20x_0)</f>
        <v>23238.389999999996</v>
      </c>
      <c r="E208" s="1"/>
      <c r="F208" s="5">
        <f t="shared" ref="F208:F217" si="111">IF(D$12=0,0,D208/D$12)</f>
        <v>6.9796308907067561E-2</v>
      </c>
      <c r="G208" s="1"/>
      <c r="H208" s="1">
        <f>SUM(OSRRefH22_20x_0)</f>
        <v>7455</v>
      </c>
      <c r="I208" s="1"/>
      <c r="J208" s="5">
        <f t="shared" ref="J208:J217" si="112">IF(H$12=0,0,H208/H$12)</f>
        <v>1.3946831796157372E-2</v>
      </c>
      <c r="K208" s="1"/>
      <c r="L208" s="1">
        <f t="shared" ref="L208:L217" si="113">+D208-H208</f>
        <v>15783.389999999996</v>
      </c>
      <c r="M208" s="1"/>
      <c r="N208" s="5">
        <f t="shared" ref="N208:N217" si="114">IF(H208=0,0,L208/H208)</f>
        <v>2.1171549295774641</v>
      </c>
      <c r="O208" s="14"/>
      <c r="P208" s="1">
        <f>SUM(OSRRefP22_20x_0)</f>
        <v>58123.44</v>
      </c>
      <c r="Q208" s="1"/>
      <c r="R208" s="5">
        <f t="shared" ref="R208:R217" si="115">IF(P$12=0,0,P208/P$12)</f>
        <v>1.6653651924129771E-2</v>
      </c>
      <c r="S208" s="1"/>
      <c r="T208" s="1">
        <f>SUM(OSRRefT22_20x_0)</f>
        <v>90130</v>
      </c>
      <c r="U208" s="1"/>
      <c r="V208" s="5">
        <f t="shared" ref="V208:V217" si="116">IF(T$12=0,0,T208/T$12)</f>
        <v>1.7362897070557742E-2</v>
      </c>
      <c r="W208" s="1"/>
      <c r="X208" s="1">
        <f t="shared" ref="X208:X217" si="117">+P208-T208</f>
        <v>-32006.559999999998</v>
      </c>
      <c r="Y208" s="1"/>
      <c r="Z208" s="5">
        <f t="shared" ref="Z208:Z217" si="118">IF(T208=0,0,X208/T208)</f>
        <v>-0.35511549983357371</v>
      </c>
    </row>
    <row r="209" spans="1:26" s="24" customFormat="1" hidden="1" outlineLevel="2" x14ac:dyDescent="0.25">
      <c r="A209" s="28"/>
      <c r="B209" s="11" t="str">
        <f>CONCATENATE("          ", "6234", " - ", "EXPENDABLE SUPPLIES &amp; EQUIPMEN")</f>
        <v xml:space="preserve">          6234 - EXPENDABLE SUPPLIES &amp; EQUIPMEN</v>
      </c>
      <c r="C209" s="11"/>
      <c r="D209" s="7">
        <v>101.34</v>
      </c>
      <c r="E209" s="2"/>
      <c r="F209" s="6">
        <f t="shared" si="111"/>
        <v>3.0437383762998331E-4</v>
      </c>
      <c r="G209" s="2"/>
      <c r="H209" s="7">
        <v>150</v>
      </c>
      <c r="I209" s="2"/>
      <c r="J209" s="6">
        <f t="shared" si="112"/>
        <v>2.8062035807157693E-4</v>
      </c>
      <c r="K209" s="2"/>
      <c r="L209" s="7">
        <f t="shared" si="113"/>
        <v>-48.66</v>
      </c>
      <c r="M209" s="2"/>
      <c r="N209" s="6">
        <f t="shared" si="114"/>
        <v>-0.32439999999999997</v>
      </c>
      <c r="O209" s="11"/>
      <c r="P209" s="7">
        <v>101.34</v>
      </c>
      <c r="Q209" s="2"/>
      <c r="R209" s="6">
        <f t="shared" si="115"/>
        <v>2.9036152815306719E-5</v>
      </c>
      <c r="S209" s="2"/>
      <c r="T209" s="7">
        <v>600</v>
      </c>
      <c r="U209" s="2"/>
      <c r="V209" s="6">
        <f t="shared" si="116"/>
        <v>1.1558569002923161E-4</v>
      </c>
      <c r="W209" s="2"/>
      <c r="X209" s="7">
        <f t="shared" si="117"/>
        <v>-498.65999999999997</v>
      </c>
      <c r="Y209" s="2"/>
      <c r="Z209" s="6">
        <f t="shared" si="118"/>
        <v>-0.83109999999999995</v>
      </c>
    </row>
    <row r="210" spans="1:26" s="24" customFormat="1" hidden="1" outlineLevel="2" x14ac:dyDescent="0.25">
      <c r="A210" s="28"/>
      <c r="B210" s="11" t="str">
        <f>CONCATENATE("          ", "6235", " - ", "COVID-19 EXPENSES")</f>
        <v xml:space="preserve">          6235 - COVID-19 EXPENSES</v>
      </c>
      <c r="C210" s="11"/>
      <c r="D210" s="7">
        <v>16805.12</v>
      </c>
      <c r="E210" s="2"/>
      <c r="F210" s="6">
        <f t="shared" si="111"/>
        <v>5.0474036572255625E-2</v>
      </c>
      <c r="G210" s="2"/>
      <c r="H210" s="7">
        <v>500</v>
      </c>
      <c r="I210" s="2"/>
      <c r="J210" s="6">
        <f t="shared" si="112"/>
        <v>9.3540119357192301E-4</v>
      </c>
      <c r="K210" s="2"/>
      <c r="L210" s="7">
        <f t="shared" si="113"/>
        <v>16305.119999999999</v>
      </c>
      <c r="M210" s="2"/>
      <c r="N210" s="6">
        <f t="shared" si="114"/>
        <v>32.610239999999997</v>
      </c>
      <c r="O210" s="11"/>
      <c r="P210" s="7">
        <v>26567.91</v>
      </c>
      <c r="Q210" s="2"/>
      <c r="R210" s="6">
        <f t="shared" si="115"/>
        <v>7.6122942050850153E-3</v>
      </c>
      <c r="S210" s="2"/>
      <c r="T210" s="7">
        <v>61600</v>
      </c>
      <c r="U210" s="2"/>
      <c r="V210" s="6">
        <f t="shared" si="116"/>
        <v>1.186679750966778E-2</v>
      </c>
      <c r="W210" s="2"/>
      <c r="X210" s="7">
        <f t="shared" si="117"/>
        <v>-35032.089999999997</v>
      </c>
      <c r="Y210" s="2"/>
      <c r="Z210" s="6">
        <f t="shared" si="118"/>
        <v>-0.56870275974025963</v>
      </c>
    </row>
    <row r="211" spans="1:26" s="24" customFormat="1" hidden="1" outlineLevel="2" x14ac:dyDescent="0.25">
      <c r="A211" s="28"/>
      <c r="B211" s="11" t="str">
        <f>CONCATENATE("          ", "6237", " - ", "JANITORIAL SUPPLIES")</f>
        <v xml:space="preserve">          6237 - JANITORIAL SUPPLIES</v>
      </c>
      <c r="C211" s="11"/>
      <c r="D211" s="7">
        <v>1109.05</v>
      </c>
      <c r="E211" s="2"/>
      <c r="F211" s="6">
        <f t="shared" si="111"/>
        <v>3.3310223467883657E-3</v>
      </c>
      <c r="G211" s="2"/>
      <c r="H211" s="7">
        <v>270</v>
      </c>
      <c r="I211" s="2"/>
      <c r="J211" s="6">
        <f t="shared" si="112"/>
        <v>5.051166445288384E-4</v>
      </c>
      <c r="K211" s="2"/>
      <c r="L211" s="7">
        <f t="shared" si="113"/>
        <v>839.05</v>
      </c>
      <c r="M211" s="2"/>
      <c r="N211" s="6">
        <f t="shared" si="114"/>
        <v>3.1075925925925922</v>
      </c>
      <c r="O211" s="11"/>
      <c r="P211" s="7">
        <v>1248.3599999999999</v>
      </c>
      <c r="Q211" s="2"/>
      <c r="R211" s="6">
        <f t="shared" si="115"/>
        <v>3.5768276819139814E-4</v>
      </c>
      <c r="S211" s="2"/>
      <c r="T211" s="7">
        <v>1090</v>
      </c>
      <c r="U211" s="2"/>
      <c r="V211" s="6">
        <f t="shared" si="116"/>
        <v>2.0998067021977079E-4</v>
      </c>
      <c r="W211" s="2"/>
      <c r="X211" s="7">
        <f t="shared" si="117"/>
        <v>158.3599999999999</v>
      </c>
      <c r="Y211" s="2"/>
      <c r="Z211" s="6">
        <f t="shared" si="118"/>
        <v>0.14528440366972467</v>
      </c>
    </row>
    <row r="212" spans="1:26" s="24" customFormat="1" hidden="1" outlineLevel="2" x14ac:dyDescent="0.25">
      <c r="A212" s="28"/>
      <c r="B212" s="11" t="str">
        <f>CONCATENATE("          ", "6241", " - ", "OFFICE EXPENSE")</f>
        <v xml:space="preserve">          6241 - OFFICE EXPENSE</v>
      </c>
      <c r="C212" s="11"/>
      <c r="D212" s="7">
        <v>359.78</v>
      </c>
      <c r="E212" s="2"/>
      <c r="F212" s="6">
        <f t="shared" si="111"/>
        <v>1.0805962038929879E-3</v>
      </c>
      <c r="G212" s="2"/>
      <c r="H212" s="7">
        <v>535</v>
      </c>
      <c r="I212" s="2"/>
      <c r="J212" s="6">
        <f t="shared" si="112"/>
        <v>1.0008792771219576E-3</v>
      </c>
      <c r="K212" s="2"/>
      <c r="L212" s="7">
        <f t="shared" si="113"/>
        <v>-175.22000000000003</v>
      </c>
      <c r="M212" s="2"/>
      <c r="N212" s="6">
        <f t="shared" si="114"/>
        <v>-0.32751401869158886</v>
      </c>
      <c r="O212" s="11"/>
      <c r="P212" s="7">
        <v>8666.06</v>
      </c>
      <c r="Q212" s="2"/>
      <c r="R212" s="6">
        <f t="shared" si="115"/>
        <v>2.483017983684793E-3</v>
      </c>
      <c r="S212" s="2"/>
      <c r="T212" s="7">
        <v>2440</v>
      </c>
      <c r="U212" s="2"/>
      <c r="V212" s="6">
        <f t="shared" si="116"/>
        <v>4.7004847278554193E-4</v>
      </c>
      <c r="W212" s="2"/>
      <c r="X212" s="7">
        <f t="shared" si="117"/>
        <v>6226.0599999999995</v>
      </c>
      <c r="Y212" s="2"/>
      <c r="Z212" s="6">
        <f t="shared" si="118"/>
        <v>2.5516639344262293</v>
      </c>
    </row>
    <row r="213" spans="1:26" s="24" customFormat="1" hidden="1" outlineLevel="2" x14ac:dyDescent="0.25">
      <c r="A213" s="28"/>
      <c r="B213" s="11" t="str">
        <f>CONCATENATE("          ", "6243", " - ", "PAPER SUPPLIES")</f>
        <v xml:space="preserve">          6243 - PAPER SUPPLIES</v>
      </c>
      <c r="C213" s="11"/>
      <c r="D213" s="7">
        <v>449.01</v>
      </c>
      <c r="E213" s="2"/>
      <c r="F213" s="6">
        <f t="shared" si="111"/>
        <v>1.3485977583800948E-3</v>
      </c>
      <c r="G213" s="2"/>
      <c r="H213" s="7">
        <v>1450</v>
      </c>
      <c r="I213" s="2"/>
      <c r="J213" s="6">
        <f t="shared" si="112"/>
        <v>2.7126634613585765E-3</v>
      </c>
      <c r="K213" s="2"/>
      <c r="L213" s="7">
        <f t="shared" si="113"/>
        <v>-1000.99</v>
      </c>
      <c r="M213" s="2"/>
      <c r="N213" s="6">
        <f t="shared" si="114"/>
        <v>-0.69033793103448271</v>
      </c>
      <c r="O213" s="11"/>
      <c r="P213" s="7">
        <v>3573.7</v>
      </c>
      <c r="Q213" s="2"/>
      <c r="R213" s="6">
        <f t="shared" si="115"/>
        <v>1.0239441416623407E-3</v>
      </c>
      <c r="S213" s="2"/>
      <c r="T213" s="7">
        <v>4300</v>
      </c>
      <c r="U213" s="2"/>
      <c r="V213" s="6">
        <f t="shared" si="116"/>
        <v>8.2836411187615997E-4</v>
      </c>
      <c r="W213" s="2"/>
      <c r="X213" s="7">
        <f t="shared" si="117"/>
        <v>-726.30000000000018</v>
      </c>
      <c r="Y213" s="2"/>
      <c r="Z213" s="6">
        <f t="shared" si="118"/>
        <v>-0.16890697674418609</v>
      </c>
    </row>
    <row r="214" spans="1:26" s="24" customFormat="1" hidden="1" outlineLevel="2" x14ac:dyDescent="0.25">
      <c r="A214" s="28"/>
      <c r="B214" s="11" t="str">
        <f>CONCATENATE("          ", "6244", " - ", "SAFETY SUPPLY EXPENSE")</f>
        <v xml:space="preserve">          6244 - SAFETY SUPPLY EXPENSE</v>
      </c>
      <c r="C214" s="11"/>
      <c r="D214" s="7"/>
      <c r="E214" s="2"/>
      <c r="F214" s="6">
        <f t="shared" si="111"/>
        <v>0</v>
      </c>
      <c r="G214" s="2"/>
      <c r="H214" s="7">
        <v>25</v>
      </c>
      <c r="I214" s="2"/>
      <c r="J214" s="6">
        <f t="shared" si="112"/>
        <v>4.6770059678596152E-5</v>
      </c>
      <c r="K214" s="2"/>
      <c r="L214" s="7">
        <f t="shared" si="113"/>
        <v>-25</v>
      </c>
      <c r="M214" s="2"/>
      <c r="N214" s="6">
        <f t="shared" si="114"/>
        <v>-1</v>
      </c>
      <c r="O214" s="11"/>
      <c r="P214" s="7"/>
      <c r="Q214" s="2"/>
      <c r="R214" s="6">
        <f t="shared" si="115"/>
        <v>0</v>
      </c>
      <c r="S214" s="2"/>
      <c r="T214" s="7">
        <v>50</v>
      </c>
      <c r="U214" s="2"/>
      <c r="V214" s="6">
        <f t="shared" si="116"/>
        <v>9.6321408357693012E-6</v>
      </c>
      <c r="W214" s="2"/>
      <c r="X214" s="7">
        <f t="shared" si="117"/>
        <v>-50</v>
      </c>
      <c r="Y214" s="2"/>
      <c r="Z214" s="6">
        <f t="shared" si="118"/>
        <v>-1</v>
      </c>
    </row>
    <row r="215" spans="1:26" s="24" customFormat="1" hidden="1" outlineLevel="2" x14ac:dyDescent="0.25">
      <c r="A215" s="28"/>
      <c r="B215" s="11" t="str">
        <f>CONCATENATE("          ", "6245", " - ", "PRINTING")</f>
        <v xml:space="preserve">          6245 - PRINTING</v>
      </c>
      <c r="C215" s="11"/>
      <c r="D215" s="7">
        <v>353.09</v>
      </c>
      <c r="E215" s="2"/>
      <c r="F215" s="6">
        <f t="shared" si="111"/>
        <v>1.0605028451625301E-3</v>
      </c>
      <c r="G215" s="2"/>
      <c r="H215" s="7">
        <v>350</v>
      </c>
      <c r="I215" s="2"/>
      <c r="J215" s="6">
        <f t="shared" si="112"/>
        <v>6.5478083550034609E-4</v>
      </c>
      <c r="K215" s="2"/>
      <c r="L215" s="7">
        <f t="shared" si="113"/>
        <v>3.089999999999975</v>
      </c>
      <c r="M215" s="2"/>
      <c r="N215" s="6">
        <f t="shared" si="114"/>
        <v>8.8285714285713576E-3</v>
      </c>
      <c r="O215" s="11"/>
      <c r="P215" s="7">
        <v>414.55</v>
      </c>
      <c r="Q215" s="2"/>
      <c r="R215" s="6">
        <f t="shared" si="115"/>
        <v>1.187777496505368E-4</v>
      </c>
      <c r="S215" s="2"/>
      <c r="T215" s="7">
        <v>1800</v>
      </c>
      <c r="U215" s="2"/>
      <c r="V215" s="6">
        <f t="shared" si="116"/>
        <v>3.4675707008769487E-4</v>
      </c>
      <c r="W215" s="2"/>
      <c r="X215" s="7">
        <f t="shared" si="117"/>
        <v>-1385.45</v>
      </c>
      <c r="Y215" s="2"/>
      <c r="Z215" s="6">
        <f t="shared" si="118"/>
        <v>-0.76969444444444446</v>
      </c>
    </row>
    <row r="216" spans="1:26" s="24" customFormat="1" hidden="1" outlineLevel="2" x14ac:dyDescent="0.25">
      <c r="A216" s="28"/>
      <c r="B216" s="11" t="str">
        <f>CONCATENATE("          ", "6247", " - ", "STORE SUPPLIES")</f>
        <v xml:space="preserve">          6247 - STORE SUPPLIES</v>
      </c>
      <c r="C216" s="11"/>
      <c r="D216" s="7">
        <v>4061</v>
      </c>
      <c r="E216" s="2"/>
      <c r="F216" s="6">
        <f t="shared" si="111"/>
        <v>1.2197179342957986E-2</v>
      </c>
      <c r="G216" s="2"/>
      <c r="H216" s="7">
        <v>2675</v>
      </c>
      <c r="I216" s="2"/>
      <c r="J216" s="6">
        <f t="shared" si="112"/>
        <v>5.0043963856097884E-3</v>
      </c>
      <c r="K216" s="2"/>
      <c r="L216" s="7">
        <f t="shared" si="113"/>
        <v>1386</v>
      </c>
      <c r="M216" s="2"/>
      <c r="N216" s="6">
        <f t="shared" si="114"/>
        <v>0.51813084112149532</v>
      </c>
      <c r="O216" s="11"/>
      <c r="P216" s="7">
        <v>17551.52</v>
      </c>
      <c r="Q216" s="2"/>
      <c r="R216" s="6">
        <f t="shared" si="115"/>
        <v>5.0288989230403806E-3</v>
      </c>
      <c r="S216" s="2"/>
      <c r="T216" s="7">
        <v>12150</v>
      </c>
      <c r="U216" s="2"/>
      <c r="V216" s="6">
        <f t="shared" si="116"/>
        <v>2.3406102230919402E-3</v>
      </c>
      <c r="W216" s="2"/>
      <c r="X216" s="7">
        <f t="shared" si="117"/>
        <v>5401.52</v>
      </c>
      <c r="Y216" s="2"/>
      <c r="Z216" s="6">
        <f t="shared" si="118"/>
        <v>0.4445695473251029</v>
      </c>
    </row>
    <row r="217" spans="1:26" s="24" customFormat="1" hidden="1" outlineLevel="2" x14ac:dyDescent="0.25">
      <c r="A217" s="28"/>
      <c r="B217" s="11" t="str">
        <f>CONCATENATE("          ", "6248", " - ", "UNIFORMS")</f>
        <v xml:space="preserve">          6248 - UNIFORMS</v>
      </c>
      <c r="C217" s="11"/>
      <c r="D217" s="7"/>
      <c r="E217" s="2"/>
      <c r="F217" s="6">
        <f t="shared" si="111"/>
        <v>0</v>
      </c>
      <c r="G217" s="2"/>
      <c r="H217" s="7">
        <v>1500</v>
      </c>
      <c r="I217" s="2"/>
      <c r="J217" s="6">
        <f t="shared" si="112"/>
        <v>2.806203580715769E-3</v>
      </c>
      <c r="K217" s="2"/>
      <c r="L217" s="7">
        <f t="shared" si="113"/>
        <v>-1500</v>
      </c>
      <c r="M217" s="2"/>
      <c r="N217" s="6">
        <f t="shared" si="114"/>
        <v>-1</v>
      </c>
      <c r="O217" s="11"/>
      <c r="P217" s="7"/>
      <c r="Q217" s="2"/>
      <c r="R217" s="6">
        <f t="shared" si="115"/>
        <v>0</v>
      </c>
      <c r="S217" s="2"/>
      <c r="T217" s="7">
        <v>6100</v>
      </c>
      <c r="U217" s="2"/>
      <c r="V217" s="6">
        <f t="shared" si="116"/>
        <v>1.1751211819638549E-3</v>
      </c>
      <c r="W217" s="2"/>
      <c r="X217" s="7">
        <f t="shared" si="117"/>
        <v>-6100</v>
      </c>
      <c r="Y217" s="2"/>
      <c r="Z217" s="6">
        <f t="shared" si="118"/>
        <v>-1</v>
      </c>
    </row>
    <row r="218" spans="1:26" s="27" customFormat="1" outlineLevel="1" collapsed="1" x14ac:dyDescent="0.25">
      <c r="A218" s="29"/>
      <c r="B218" s="14" t="str">
        <f>CONCATENATE("     ","Telephone/Data Lines                              ")</f>
        <v xml:space="preserve">     Telephone/Data Lines                              </v>
      </c>
      <c r="C218" s="14"/>
      <c r="D218" s="1">
        <f>SUM(OSRRefD22_21x_0)</f>
        <v>1203.6300000000001</v>
      </c>
      <c r="E218" s="1"/>
      <c r="F218" s="5">
        <f t="shared" ref="F218:F220" si="119">IF(D$12=0,0,D218/D$12)</f>
        <v>3.6150925812766612E-3</v>
      </c>
      <c r="G218" s="1"/>
      <c r="H218" s="1">
        <f>SUM(OSRRefH22_21x_0)</f>
        <v>2545</v>
      </c>
      <c r="I218" s="1"/>
      <c r="J218" s="5">
        <f t="shared" ref="J218:J220" si="120">IF(H$12=0,0,H218/H$12)</f>
        <v>4.7611920752810878E-3</v>
      </c>
      <c r="K218" s="1"/>
      <c r="L218" s="1">
        <f t="shared" ref="L218:L220" si="121">+D218-H218</f>
        <v>-1341.37</v>
      </c>
      <c r="M218" s="1"/>
      <c r="N218" s="5">
        <f t="shared" ref="N218:N220" si="122">IF(H218=0,0,L218/H218)</f>
        <v>-0.52706090373280934</v>
      </c>
      <c r="O218" s="14"/>
      <c r="P218" s="1">
        <f>SUM(OSRRefP22_21x_0)</f>
        <v>11645.97</v>
      </c>
      <c r="Q218" s="1"/>
      <c r="R218" s="5">
        <f t="shared" ref="R218:R220" si="123">IF(P$12=0,0,P218/P$12)</f>
        <v>3.3368281488304475E-3</v>
      </c>
      <c r="S218" s="1"/>
      <c r="T218" s="1">
        <f>SUM(OSRRefT22_21x_0)</f>
        <v>11690</v>
      </c>
      <c r="U218" s="1"/>
      <c r="V218" s="5">
        <f t="shared" ref="V218:V220" si="124">IF(T$12=0,0,T218/T$12)</f>
        <v>2.2519945274028629E-3</v>
      </c>
      <c r="W218" s="1"/>
      <c r="X218" s="1">
        <f t="shared" ref="X218:X220" si="125">+P218-T218</f>
        <v>-44.030000000000655</v>
      </c>
      <c r="Y218" s="1"/>
      <c r="Z218" s="5">
        <f t="shared" ref="Z218:Z220" si="126">IF(T218=0,0,X218/T218)</f>
        <v>-3.7664670658683194E-3</v>
      </c>
    </row>
    <row r="219" spans="1:26" s="24" customFormat="1" hidden="1" outlineLevel="2" x14ac:dyDescent="0.25">
      <c r="A219" s="28"/>
      <c r="B219" s="11" t="str">
        <f>CONCATENATE("          ", "6303", " - ", "DATA PHONE LINES")</f>
        <v xml:space="preserve">          6303 - DATA PHONE LINES</v>
      </c>
      <c r="C219" s="11"/>
      <c r="D219" s="7"/>
      <c r="E219" s="2"/>
      <c r="F219" s="6">
        <f t="shared" si="119"/>
        <v>0</v>
      </c>
      <c r="G219" s="2"/>
      <c r="H219" s="7">
        <v>630</v>
      </c>
      <c r="I219" s="2"/>
      <c r="J219" s="6">
        <f t="shared" si="120"/>
        <v>1.1786055039006229E-3</v>
      </c>
      <c r="K219" s="2"/>
      <c r="L219" s="7">
        <f t="shared" si="121"/>
        <v>-630</v>
      </c>
      <c r="M219" s="2"/>
      <c r="N219" s="6">
        <f t="shared" si="122"/>
        <v>-1</v>
      </c>
      <c r="O219" s="11"/>
      <c r="P219" s="7">
        <v>1180</v>
      </c>
      <c r="Q219" s="2"/>
      <c r="R219" s="6">
        <f t="shared" si="123"/>
        <v>3.3809611527592192E-4</v>
      </c>
      <c r="S219" s="2"/>
      <c r="T219" s="7">
        <v>2520</v>
      </c>
      <c r="U219" s="2"/>
      <c r="V219" s="6">
        <f t="shared" si="124"/>
        <v>4.8545989812277281E-4</v>
      </c>
      <c r="W219" s="2"/>
      <c r="X219" s="7">
        <f t="shared" si="125"/>
        <v>-1340</v>
      </c>
      <c r="Y219" s="2"/>
      <c r="Z219" s="6">
        <f t="shared" si="126"/>
        <v>-0.53174603174603174</v>
      </c>
    </row>
    <row r="220" spans="1:26" s="24" customFormat="1" hidden="1" outlineLevel="2" x14ac:dyDescent="0.25">
      <c r="A220" s="28"/>
      <c r="B220" s="11" t="str">
        <f>CONCATENATE("          ", "6309", " - ", "TELEPHONE")</f>
        <v xml:space="preserve">          6309 - TELEPHONE</v>
      </c>
      <c r="C220" s="11"/>
      <c r="D220" s="7">
        <v>1203.6300000000001</v>
      </c>
      <c r="E220" s="2"/>
      <c r="F220" s="6">
        <f t="shared" si="119"/>
        <v>3.6150925812766612E-3</v>
      </c>
      <c r="G220" s="2"/>
      <c r="H220" s="7">
        <v>1915</v>
      </c>
      <c r="I220" s="2"/>
      <c r="J220" s="6">
        <f t="shared" si="120"/>
        <v>3.5825865713804651E-3</v>
      </c>
      <c r="K220" s="2"/>
      <c r="L220" s="7">
        <f t="shared" si="121"/>
        <v>-711.36999999999989</v>
      </c>
      <c r="M220" s="2"/>
      <c r="N220" s="6">
        <f t="shared" si="122"/>
        <v>-0.37147258485639684</v>
      </c>
      <c r="O220" s="11"/>
      <c r="P220" s="7">
        <v>10465.969999999999</v>
      </c>
      <c r="Q220" s="2"/>
      <c r="R220" s="6">
        <f t="shared" si="123"/>
        <v>2.9987320335545255E-3</v>
      </c>
      <c r="S220" s="2"/>
      <c r="T220" s="7">
        <v>9170</v>
      </c>
      <c r="U220" s="2"/>
      <c r="V220" s="6">
        <f t="shared" si="124"/>
        <v>1.76653462928009E-3</v>
      </c>
      <c r="W220" s="2"/>
      <c r="X220" s="7">
        <f t="shared" si="125"/>
        <v>1295.9699999999993</v>
      </c>
      <c r="Y220" s="2"/>
      <c r="Z220" s="6">
        <f t="shared" si="126"/>
        <v>0.1413271537622682</v>
      </c>
    </row>
    <row r="221" spans="1:26" s="27" customFormat="1" outlineLevel="1" collapsed="1" x14ac:dyDescent="0.25">
      <c r="A221" s="29"/>
      <c r="B221" s="14" t="str">
        <f>CONCATENATE("     ","Training                                          ")</f>
        <v xml:space="preserve">     Training                                          </v>
      </c>
      <c r="C221" s="14"/>
      <c r="D221" s="1">
        <f>SUM(OSRRefD22_22x_0)</f>
        <v>114</v>
      </c>
      <c r="E221" s="1"/>
      <c r="F221" s="5">
        <f t="shared" ref="F221:F226" si="127">IF(D$12=0,0,D221/D$12)</f>
        <v>3.4239804114681371E-4</v>
      </c>
      <c r="G221" s="1"/>
      <c r="H221" s="1">
        <f>SUM(OSRRefH22_22x_0)</f>
        <v>2500</v>
      </c>
      <c r="I221" s="1"/>
      <c r="J221" s="5">
        <f t="shared" ref="J221:J226" si="128">IF(H$12=0,0,H221/H$12)</f>
        <v>4.6770059678596151E-3</v>
      </c>
      <c r="K221" s="1"/>
      <c r="L221" s="1">
        <f t="shared" ref="L221:L226" si="129">+D221-H221</f>
        <v>-2386</v>
      </c>
      <c r="M221" s="1"/>
      <c r="N221" s="5">
        <f t="shared" ref="N221:N226" si="130">IF(H221=0,0,L221/H221)</f>
        <v>-0.95440000000000003</v>
      </c>
      <c r="O221" s="14"/>
      <c r="P221" s="1">
        <f>SUM(OSRRefP22_22x_0)</f>
        <v>245.63</v>
      </c>
      <c r="Q221" s="1"/>
      <c r="R221" s="5">
        <f t="shared" ref="R221:R226" si="131">IF(P$12=0,0,P221/P$12)</f>
        <v>7.0378431182393809E-5</v>
      </c>
      <c r="S221" s="1"/>
      <c r="T221" s="1">
        <f>SUM(OSRRefT22_22x_0)</f>
        <v>2560</v>
      </c>
      <c r="U221" s="1"/>
      <c r="V221" s="5">
        <f t="shared" ref="V221:V226" si="132">IF(T$12=0,0,T221/T$12)</f>
        <v>4.9316561079138822E-4</v>
      </c>
      <c r="W221" s="1"/>
      <c r="X221" s="1">
        <f t="shared" ref="X221:X226" si="133">+P221-T221</f>
        <v>-2314.37</v>
      </c>
      <c r="Y221" s="1"/>
      <c r="Z221" s="5">
        <f t="shared" ref="Z221:Z226" si="134">IF(T221=0,0,X221/T221)</f>
        <v>-0.90405078124999994</v>
      </c>
    </row>
    <row r="222" spans="1:26" s="24" customFormat="1" hidden="1" outlineLevel="2" x14ac:dyDescent="0.25">
      <c r="A222" s="28"/>
      <c r="B222" s="11" t="str">
        <f>CONCATENATE("          ", "6376", " - ", "TRAINING")</f>
        <v xml:space="preserve">          6376 - TRAINING</v>
      </c>
      <c r="C222" s="11"/>
      <c r="D222" s="7">
        <v>114</v>
      </c>
      <c r="E222" s="2"/>
      <c r="F222" s="6">
        <f t="shared" si="127"/>
        <v>3.4239804114681371E-4</v>
      </c>
      <c r="G222" s="2"/>
      <c r="H222" s="7">
        <v>2500</v>
      </c>
      <c r="I222" s="2"/>
      <c r="J222" s="6">
        <f t="shared" si="128"/>
        <v>4.6770059678596151E-3</v>
      </c>
      <c r="K222" s="2"/>
      <c r="L222" s="7">
        <f t="shared" si="129"/>
        <v>-2386</v>
      </c>
      <c r="M222" s="2"/>
      <c r="N222" s="6">
        <f t="shared" si="130"/>
        <v>-0.95440000000000003</v>
      </c>
      <c r="O222" s="11"/>
      <c r="P222" s="7">
        <v>245.63</v>
      </c>
      <c r="Q222" s="2"/>
      <c r="R222" s="6">
        <f t="shared" si="131"/>
        <v>7.0378431182393809E-5</v>
      </c>
      <c r="S222" s="2"/>
      <c r="T222" s="7">
        <v>2560</v>
      </c>
      <c r="U222" s="2"/>
      <c r="V222" s="6">
        <f t="shared" si="132"/>
        <v>4.9316561079138822E-4</v>
      </c>
      <c r="W222" s="2"/>
      <c r="X222" s="7">
        <f t="shared" si="133"/>
        <v>-2314.37</v>
      </c>
      <c r="Y222" s="2"/>
      <c r="Z222" s="6">
        <f t="shared" si="134"/>
        <v>-0.90405078124999994</v>
      </c>
    </row>
    <row r="223" spans="1:26" s="27" customFormat="1" outlineLevel="1" collapsed="1" x14ac:dyDescent="0.25">
      <c r="A223" s="29"/>
      <c r="B223" s="14" t="str">
        <f>CONCATENATE("     ","Travel                                            ")</f>
        <v xml:space="preserve">     Travel                                            </v>
      </c>
      <c r="C223" s="14"/>
      <c r="D223" s="1">
        <f>SUM(OSRRefD22_23x_0)</f>
        <v>80.959999999999994</v>
      </c>
      <c r="E223" s="1"/>
      <c r="F223" s="5">
        <f t="shared" si="127"/>
        <v>2.4316267904601785E-4</v>
      </c>
      <c r="G223" s="1"/>
      <c r="H223" s="1">
        <f>SUM(OSRRefH22_23x_0)</f>
        <v>50</v>
      </c>
      <c r="I223" s="1"/>
      <c r="J223" s="5">
        <f t="shared" si="128"/>
        <v>9.3540119357192304E-5</v>
      </c>
      <c r="K223" s="1"/>
      <c r="L223" s="1">
        <f t="shared" si="129"/>
        <v>30.959999999999994</v>
      </c>
      <c r="M223" s="1"/>
      <c r="N223" s="5">
        <f t="shared" si="130"/>
        <v>0.61919999999999986</v>
      </c>
      <c r="O223" s="14"/>
      <c r="P223" s="1">
        <f>SUM(OSRRefP22_23x_0)</f>
        <v>381.93</v>
      </c>
      <c r="Q223" s="1"/>
      <c r="R223" s="5">
        <f t="shared" si="131"/>
        <v>1.0943139771807869E-4</v>
      </c>
      <c r="S223" s="1"/>
      <c r="T223" s="1">
        <f>SUM(OSRRefT22_23x_0)</f>
        <v>200</v>
      </c>
      <c r="U223" s="1"/>
      <c r="V223" s="5">
        <f t="shared" si="132"/>
        <v>3.8528563343077205E-5</v>
      </c>
      <c r="W223" s="1"/>
      <c r="X223" s="1">
        <f t="shared" si="133"/>
        <v>181.93</v>
      </c>
      <c r="Y223" s="1"/>
      <c r="Z223" s="5">
        <f t="shared" si="134"/>
        <v>0.90965000000000007</v>
      </c>
    </row>
    <row r="224" spans="1:26" s="24" customFormat="1" hidden="1" outlineLevel="2" x14ac:dyDescent="0.25">
      <c r="A224" s="28"/>
      <c r="B224" s="11" t="str">
        <f>CONCATENATE("          ", "6292", " - ", "TRAVEL/CONFERENCE")</f>
        <v xml:space="preserve">          6292 - TRAVEL/CONFERENCE</v>
      </c>
      <c r="C224" s="11"/>
      <c r="D224" s="7"/>
      <c r="E224" s="2"/>
      <c r="F224" s="6">
        <f t="shared" si="127"/>
        <v>0</v>
      </c>
      <c r="G224" s="2"/>
      <c r="H224" s="7"/>
      <c r="I224" s="2"/>
      <c r="J224" s="6">
        <f t="shared" si="128"/>
        <v>0</v>
      </c>
      <c r="K224" s="2"/>
      <c r="L224" s="7">
        <f t="shared" si="129"/>
        <v>0</v>
      </c>
      <c r="M224" s="2"/>
      <c r="N224" s="6">
        <f t="shared" si="130"/>
        <v>0</v>
      </c>
      <c r="O224" s="11"/>
      <c r="P224" s="7">
        <v>0.16</v>
      </c>
      <c r="Q224" s="2"/>
      <c r="R224" s="6">
        <f t="shared" si="131"/>
        <v>4.5843541054362296E-8</v>
      </c>
      <c r="S224" s="2"/>
      <c r="T224" s="7"/>
      <c r="U224" s="2"/>
      <c r="V224" s="6">
        <f t="shared" si="132"/>
        <v>0</v>
      </c>
      <c r="W224" s="2"/>
      <c r="X224" s="7">
        <f t="shared" si="133"/>
        <v>0.16</v>
      </c>
      <c r="Y224" s="2"/>
      <c r="Z224" s="6">
        <f t="shared" si="134"/>
        <v>0</v>
      </c>
    </row>
    <row r="225" spans="1:26" s="24" customFormat="1" hidden="1" outlineLevel="2" x14ac:dyDescent="0.25">
      <c r="A225" s="28"/>
      <c r="B225" s="11" t="str">
        <f>CONCATENATE("          ", "6294", " - ", "TRAVEL OPERATIONAL")</f>
        <v xml:space="preserve">          6294 - TRAVEL OPERATIONAL</v>
      </c>
      <c r="C225" s="11"/>
      <c r="D225" s="7">
        <v>80.959999999999994</v>
      </c>
      <c r="E225" s="2"/>
      <c r="F225" s="6">
        <f t="shared" si="127"/>
        <v>2.4316267904601785E-4</v>
      </c>
      <c r="G225" s="2"/>
      <c r="H225" s="7">
        <v>25</v>
      </c>
      <c r="I225" s="2"/>
      <c r="J225" s="6">
        <f t="shared" si="128"/>
        <v>4.6770059678596152E-5</v>
      </c>
      <c r="K225" s="2"/>
      <c r="L225" s="7">
        <f t="shared" si="129"/>
        <v>55.959999999999994</v>
      </c>
      <c r="M225" s="2"/>
      <c r="N225" s="6">
        <f t="shared" si="130"/>
        <v>2.2383999999999999</v>
      </c>
      <c r="O225" s="11"/>
      <c r="P225" s="7">
        <v>321.88</v>
      </c>
      <c r="Q225" s="2"/>
      <c r="R225" s="6">
        <f t="shared" si="131"/>
        <v>9.2225743716113344E-5</v>
      </c>
      <c r="S225" s="2"/>
      <c r="T225" s="7">
        <v>100</v>
      </c>
      <c r="U225" s="2"/>
      <c r="V225" s="6">
        <f t="shared" si="132"/>
        <v>1.9264281671538602E-5</v>
      </c>
      <c r="W225" s="2"/>
      <c r="X225" s="7">
        <f t="shared" si="133"/>
        <v>221.88</v>
      </c>
      <c r="Y225" s="2"/>
      <c r="Z225" s="6">
        <f t="shared" si="134"/>
        <v>2.2187999999999999</v>
      </c>
    </row>
    <row r="226" spans="1:26" s="24" customFormat="1" hidden="1" outlineLevel="2" x14ac:dyDescent="0.25">
      <c r="A226" s="28"/>
      <c r="B226" s="11" t="str">
        <f>CONCATENATE("          ", "6298", " - ", "VEHICLE MILEAGE")</f>
        <v xml:space="preserve">          6298 - VEHICLE MILEAGE</v>
      </c>
      <c r="C226" s="11"/>
      <c r="D226" s="7"/>
      <c r="E226" s="2"/>
      <c r="F226" s="6">
        <f t="shared" si="127"/>
        <v>0</v>
      </c>
      <c r="G226" s="2"/>
      <c r="H226" s="7">
        <v>25</v>
      </c>
      <c r="I226" s="2"/>
      <c r="J226" s="6">
        <f t="shared" si="128"/>
        <v>4.6770059678596152E-5</v>
      </c>
      <c r="K226" s="2"/>
      <c r="L226" s="7">
        <f t="shared" si="129"/>
        <v>-25</v>
      </c>
      <c r="M226" s="2"/>
      <c r="N226" s="6">
        <f t="shared" si="130"/>
        <v>-1</v>
      </c>
      <c r="O226" s="11"/>
      <c r="P226" s="7">
        <v>59.89</v>
      </c>
      <c r="Q226" s="2"/>
      <c r="R226" s="6">
        <f t="shared" si="131"/>
        <v>1.7159810460910985E-5</v>
      </c>
      <c r="S226" s="2"/>
      <c r="T226" s="7">
        <v>100</v>
      </c>
      <c r="U226" s="2"/>
      <c r="V226" s="6">
        <f t="shared" si="132"/>
        <v>1.9264281671538602E-5</v>
      </c>
      <c r="W226" s="2"/>
      <c r="X226" s="7">
        <f t="shared" si="133"/>
        <v>-40.11</v>
      </c>
      <c r="Y226" s="2"/>
      <c r="Z226" s="6">
        <f t="shared" si="134"/>
        <v>-0.40110000000000001</v>
      </c>
    </row>
    <row r="227" spans="1:26" s="27" customFormat="1" outlineLevel="1" collapsed="1" x14ac:dyDescent="0.25">
      <c r="A227" s="29"/>
      <c r="B227" s="14" t="str">
        <f>CONCATENATE("     ","Utilities                                         ")</f>
        <v xml:space="preserve">     Utilities                                         </v>
      </c>
      <c r="C227" s="14"/>
      <c r="D227" s="1">
        <f>SUM(OSRRefD22_24x_0)</f>
        <v>5953.05</v>
      </c>
      <c r="E227" s="1"/>
      <c r="F227" s="5">
        <f t="shared" ref="F227:F228" si="135">IF(D$12=0,0,D227/D$12)</f>
        <v>1.787993560393894E-2</v>
      </c>
      <c r="G227" s="1"/>
      <c r="H227" s="1">
        <f>SUM(OSRRefH22_24x_0)</f>
        <v>6105</v>
      </c>
      <c r="I227" s="1"/>
      <c r="J227" s="5">
        <f t="shared" ref="J227:J228" si="136">IF(H$12=0,0,H227/H$12)</f>
        <v>1.142124857351318E-2</v>
      </c>
      <c r="K227" s="1"/>
      <c r="L227" s="1">
        <f t="shared" ref="L227:L228" si="137">+D227-H227</f>
        <v>-151.94999999999982</v>
      </c>
      <c r="M227" s="1"/>
      <c r="N227" s="5">
        <f t="shared" ref="N227:N228" si="138">IF(H227=0,0,L227/H227)</f>
        <v>-2.4889434889434861E-2</v>
      </c>
      <c r="O227" s="14"/>
      <c r="P227" s="1">
        <f>SUM(OSRRefP22_24x_0)</f>
        <v>24435.43</v>
      </c>
      <c r="Q227" s="1"/>
      <c r="R227" s="5">
        <f t="shared" ref="R227:R228" si="139">IF(P$12=0,0,P227/P$12)</f>
        <v>7.0012914899124749E-3</v>
      </c>
      <c r="S227" s="1"/>
      <c r="T227" s="1">
        <f>SUM(OSRRefT22_24x_0)</f>
        <v>24420</v>
      </c>
      <c r="U227" s="1"/>
      <c r="V227" s="5">
        <f t="shared" ref="V227:V228" si="140">IF(T$12=0,0,T227/T$12)</f>
        <v>4.7043375841897273E-3</v>
      </c>
      <c r="W227" s="1"/>
      <c r="X227" s="1">
        <f t="shared" ref="X227:X228" si="141">+P227-T227</f>
        <v>15.430000000000291</v>
      </c>
      <c r="Y227" s="1"/>
      <c r="Z227" s="5">
        <f t="shared" ref="Z227:Z228" si="142">IF(T227=0,0,X227/T227)</f>
        <v>6.3185913185914374E-4</v>
      </c>
    </row>
    <row r="228" spans="1:26" s="24" customFormat="1" hidden="1" outlineLevel="2" x14ac:dyDescent="0.25">
      <c r="A228" s="28"/>
      <c r="B228" s="11" t="str">
        <f>CONCATENATE("          ", "6274", " - ", "UTILITIES")</f>
        <v xml:space="preserve">          6274 - UTILITIES</v>
      </c>
      <c r="C228" s="11"/>
      <c r="D228" s="7">
        <v>5953.05</v>
      </c>
      <c r="E228" s="2"/>
      <c r="F228" s="6">
        <f t="shared" si="135"/>
        <v>1.787993560393894E-2</v>
      </c>
      <c r="G228" s="2"/>
      <c r="H228" s="7">
        <v>6105</v>
      </c>
      <c r="I228" s="2"/>
      <c r="J228" s="6">
        <f t="shared" si="136"/>
        <v>1.142124857351318E-2</v>
      </c>
      <c r="K228" s="2"/>
      <c r="L228" s="7">
        <f t="shared" si="137"/>
        <v>-151.94999999999982</v>
      </c>
      <c r="M228" s="2"/>
      <c r="N228" s="6">
        <f t="shared" si="138"/>
        <v>-2.4889434889434861E-2</v>
      </c>
      <c r="O228" s="11"/>
      <c r="P228" s="7">
        <v>24435.43</v>
      </c>
      <c r="Q228" s="2"/>
      <c r="R228" s="6">
        <f t="shared" si="139"/>
        <v>7.0012914899124749E-3</v>
      </c>
      <c r="S228" s="2"/>
      <c r="T228" s="7">
        <v>24420</v>
      </c>
      <c r="U228" s="2"/>
      <c r="V228" s="6">
        <f t="shared" si="140"/>
        <v>4.7043375841897273E-3</v>
      </c>
      <c r="W228" s="2"/>
      <c r="X228" s="7">
        <f t="shared" si="141"/>
        <v>15.430000000000291</v>
      </c>
      <c r="Y228" s="2"/>
      <c r="Z228" s="6">
        <f t="shared" si="142"/>
        <v>6.3185913185914374E-4</v>
      </c>
    </row>
    <row r="229" spans="1:26" s="63" customFormat="1" x14ac:dyDescent="0.25">
      <c r="A229" s="36"/>
      <c r="B229" s="36"/>
      <c r="C229" s="36"/>
      <c r="D229" s="1"/>
      <c r="E229" s="1"/>
      <c r="F229" s="5"/>
      <c r="G229" s="1"/>
      <c r="H229" s="1"/>
      <c r="I229" s="1"/>
      <c r="J229" s="5"/>
      <c r="K229" s="1"/>
      <c r="L229" s="1"/>
      <c r="M229" s="1"/>
      <c r="N229" s="5"/>
      <c r="O229" s="36"/>
      <c r="P229" s="1"/>
      <c r="Q229" s="1"/>
      <c r="R229" s="5"/>
      <c r="S229" s="1"/>
      <c r="T229" s="1"/>
      <c r="U229" s="1"/>
      <c r="V229" s="5"/>
      <c r="W229" s="1"/>
      <c r="X229" s="1"/>
      <c r="Y229" s="1"/>
      <c r="Z229" s="5"/>
    </row>
    <row r="230" spans="1:26" s="23" customFormat="1" collapsed="1" x14ac:dyDescent="0.25">
      <c r="A230" s="10"/>
      <c r="B230" s="25" t="s">
        <v>0</v>
      </c>
      <c r="C230" s="10"/>
      <c r="D230" s="4">
        <f>SUM(OSRRefD25x_0)</f>
        <v>31945.740000000005</v>
      </c>
      <c r="E230" s="4"/>
      <c r="F230" s="12">
        <f t="shared" ref="F230:F235" si="143">IF(D$12=0,0,D230/D$12)</f>
        <v>9.5948761394608895E-2</v>
      </c>
      <c r="G230" s="4"/>
      <c r="H230" s="4">
        <f>SUM(OSRRefH25x_0)</f>
        <v>34072</v>
      </c>
      <c r="I230" s="4"/>
      <c r="J230" s="12">
        <f t="shared" ref="J230:J235" si="144">IF(H$12=0,0,H230/H$12)</f>
        <v>6.3741978934765117E-2</v>
      </c>
      <c r="K230" s="4"/>
      <c r="L230" s="4">
        <f t="shared" ref="L230:L235" si="145">+D230-H230</f>
        <v>-2126.2599999999948</v>
      </c>
      <c r="M230" s="4"/>
      <c r="N230" s="12">
        <f t="shared" ref="N230:N235" si="146">IF(H230=0,0,L230/H230)</f>
        <v>-6.240490725522408E-2</v>
      </c>
      <c r="O230" s="10"/>
      <c r="P230" s="4">
        <f>SUM(OSRRefP25x_0)</f>
        <v>453118.66000000003</v>
      </c>
      <c r="Q230" s="4"/>
      <c r="R230" s="12">
        <f t="shared" ref="R230:R235" si="147">IF(P$12=0,0,P230/P$12)</f>
        <v>0.12982852432629768</v>
      </c>
      <c r="S230" s="4"/>
      <c r="T230" s="4">
        <f>SUM(OSRRefT25x_0)</f>
        <v>240639</v>
      </c>
      <c r="U230" s="4"/>
      <c r="V230" s="12">
        <f t="shared" ref="V230:V235" si="148">IF(T$12=0,0,T230/T$12)</f>
        <v>4.6357374771573777E-2</v>
      </c>
      <c r="W230" s="4"/>
      <c r="X230" s="4">
        <f t="shared" ref="X230:X235" si="149">+P230-T230</f>
        <v>212479.66000000003</v>
      </c>
      <c r="Y230" s="4"/>
      <c r="Z230" s="12">
        <f t="shared" ref="Z230:Z235" si="150">IF(T230=0,0,X230/T230)</f>
        <v>0.88298097980792822</v>
      </c>
    </row>
    <row r="231" spans="1:26" s="24" customFormat="1" hidden="1" outlineLevel="1" x14ac:dyDescent="0.25">
      <c r="A231" s="51"/>
      <c r="B231" s="11" t="str">
        <f>CONCATENATE("          ", "4187", " - ", "NON-TAXABLE SALES-COMPUTER REP")</f>
        <v xml:space="preserve">          4187 - NON-TAXABLE SALES-COMPUTER REP</v>
      </c>
      <c r="C231" s="11"/>
      <c r="D231" s="2">
        <f>--792.83</f>
        <v>792.83</v>
      </c>
      <c r="E231" s="2"/>
      <c r="F231" s="22">
        <f t="shared" si="143"/>
        <v>2.381258236512529E-3</v>
      </c>
      <c r="G231" s="2"/>
      <c r="H231" s="2"/>
      <c r="I231" s="2"/>
      <c r="J231" s="22">
        <f t="shared" si="144"/>
        <v>0</v>
      </c>
      <c r="K231" s="2"/>
      <c r="L231" s="2">
        <f t="shared" si="145"/>
        <v>792.83</v>
      </c>
      <c r="M231" s="2"/>
      <c r="N231" s="22">
        <f t="shared" si="146"/>
        <v>0</v>
      </c>
      <c r="O231" s="11"/>
      <c r="P231" s="2">
        <f>--937.96</f>
        <v>937.96</v>
      </c>
      <c r="Q231" s="2"/>
      <c r="R231" s="22">
        <f t="shared" si="147"/>
        <v>2.6874629854593536E-4</v>
      </c>
      <c r="S231" s="2"/>
      <c r="T231" s="2"/>
      <c r="U231" s="2"/>
      <c r="V231" s="22">
        <f t="shared" si="148"/>
        <v>0</v>
      </c>
      <c r="W231" s="2"/>
      <c r="X231" s="2">
        <f t="shared" si="149"/>
        <v>937.96</v>
      </c>
      <c r="Y231" s="2"/>
      <c r="Z231" s="22">
        <f t="shared" si="150"/>
        <v>0</v>
      </c>
    </row>
    <row r="232" spans="1:26" s="24" customFormat="1" hidden="1" outlineLevel="1" x14ac:dyDescent="0.25">
      <c r="A232" s="51"/>
      <c r="B232" s="11" t="str">
        <f>CONCATENATE("          ", "9150", " - ", "MISC. INCOME")</f>
        <v xml:space="preserve">          9150 - MISC. INCOME</v>
      </c>
      <c r="C232" s="11"/>
      <c r="D232" s="2">
        <f>--30890.83</f>
        <v>30890.83</v>
      </c>
      <c r="E232" s="2"/>
      <c r="F232" s="22">
        <f t="shared" si="143"/>
        <v>9.2780348082449365E-2</v>
      </c>
      <c r="G232" s="2"/>
      <c r="H232" s="2">
        <v>18897</v>
      </c>
      <c r="I232" s="2"/>
      <c r="J232" s="22">
        <f t="shared" si="144"/>
        <v>3.5352552709857259E-2</v>
      </c>
      <c r="K232" s="2"/>
      <c r="L232" s="2">
        <f t="shared" si="145"/>
        <v>11993.830000000002</v>
      </c>
      <c r="M232" s="2"/>
      <c r="N232" s="22">
        <f t="shared" si="146"/>
        <v>0.63469492512038961</v>
      </c>
      <c r="O232" s="11"/>
      <c r="P232" s="2">
        <f>--141880.39</f>
        <v>141880.39000000001</v>
      </c>
      <c r="Q232" s="2"/>
      <c r="R232" s="22">
        <f t="shared" si="147"/>
        <v>4.0651871773587089E-2</v>
      </c>
      <c r="S232" s="2"/>
      <c r="T232" s="2">
        <v>87680</v>
      </c>
      <c r="U232" s="2"/>
      <c r="V232" s="22">
        <f t="shared" si="148"/>
        <v>1.6890922169605048E-2</v>
      </c>
      <c r="W232" s="2"/>
      <c r="X232" s="2">
        <f t="shared" si="149"/>
        <v>54200.390000000014</v>
      </c>
      <c r="Y232" s="2"/>
      <c r="Z232" s="22">
        <f t="shared" si="150"/>
        <v>0.6181613822992702</v>
      </c>
    </row>
    <row r="233" spans="1:26" s="24" customFormat="1" hidden="1" outlineLevel="1" x14ac:dyDescent="0.25">
      <c r="A233" s="51"/>
      <c r="B233" s="11" t="str">
        <f>CONCATENATE("          ", "9151", " - ", "MISC. INCOME")</f>
        <v xml:space="preserve">          9151 - MISC. INCOME</v>
      </c>
      <c r="C233" s="11"/>
      <c r="D233" s="2">
        <f>0</f>
        <v>0</v>
      </c>
      <c r="E233" s="2"/>
      <c r="F233" s="22">
        <f t="shared" si="143"/>
        <v>0</v>
      </c>
      <c r="G233" s="2"/>
      <c r="H233" s="2">
        <v>15175</v>
      </c>
      <c r="I233" s="2"/>
      <c r="J233" s="22">
        <f t="shared" si="144"/>
        <v>2.8389426224907862E-2</v>
      </c>
      <c r="K233" s="2"/>
      <c r="L233" s="2">
        <f t="shared" si="145"/>
        <v>-15175</v>
      </c>
      <c r="M233" s="2"/>
      <c r="N233" s="22">
        <f t="shared" si="146"/>
        <v>-1</v>
      </c>
      <c r="O233" s="11"/>
      <c r="P233" s="2">
        <f>--147285.39</f>
        <v>147285.39000000001</v>
      </c>
      <c r="Q233" s="2"/>
      <c r="R233" s="22">
        <f t="shared" si="147"/>
        <v>4.2200523894829763E-2</v>
      </c>
      <c r="S233" s="2"/>
      <c r="T233" s="2">
        <v>152959</v>
      </c>
      <c r="U233" s="2"/>
      <c r="V233" s="22">
        <f t="shared" si="148"/>
        <v>2.9466452601968732E-2</v>
      </c>
      <c r="W233" s="2"/>
      <c r="X233" s="2">
        <f t="shared" si="149"/>
        <v>-5673.609999999986</v>
      </c>
      <c r="Y233" s="2"/>
      <c r="Z233" s="22">
        <f t="shared" si="150"/>
        <v>-3.7092358082884865E-2</v>
      </c>
    </row>
    <row r="234" spans="1:26" s="24" customFormat="1" hidden="1" outlineLevel="1" x14ac:dyDescent="0.25">
      <c r="A234" s="51"/>
      <c r="B234" s="11" t="str">
        <f>CONCATENATE("          ", "9152", " - ", "MISC. INCOME")</f>
        <v xml:space="preserve">          9152 - MISC. INCOME</v>
      </c>
      <c r="C234" s="11"/>
      <c r="D234" s="2">
        <f>--262.08</f>
        <v>262.08</v>
      </c>
      <c r="E234" s="2"/>
      <c r="F234" s="22">
        <f t="shared" si="143"/>
        <v>7.8715507564699062E-4</v>
      </c>
      <c r="G234" s="2"/>
      <c r="H234" s="2"/>
      <c r="I234" s="2"/>
      <c r="J234" s="22">
        <f t="shared" si="144"/>
        <v>0</v>
      </c>
      <c r="K234" s="2"/>
      <c r="L234" s="2">
        <f t="shared" si="145"/>
        <v>262.08</v>
      </c>
      <c r="M234" s="2"/>
      <c r="N234" s="22">
        <f t="shared" si="146"/>
        <v>0</v>
      </c>
      <c r="O234" s="11"/>
      <c r="P234" s="2">
        <f>--2351.02</f>
        <v>2351.02</v>
      </c>
      <c r="Q234" s="2"/>
      <c r="R234" s="22">
        <f t="shared" si="147"/>
        <v>6.7361926181016771E-4</v>
      </c>
      <c r="S234" s="2"/>
      <c r="T234" s="2"/>
      <c r="U234" s="2"/>
      <c r="V234" s="22">
        <f t="shared" si="148"/>
        <v>0</v>
      </c>
      <c r="W234" s="2"/>
      <c r="X234" s="2">
        <f t="shared" si="149"/>
        <v>2351.02</v>
      </c>
      <c r="Y234" s="2"/>
      <c r="Z234" s="22">
        <f t="shared" si="150"/>
        <v>0</v>
      </c>
    </row>
    <row r="235" spans="1:26" s="24" customFormat="1" hidden="1" outlineLevel="1" x14ac:dyDescent="0.25">
      <c r="A235" s="51"/>
      <c r="B235" s="11" t="str">
        <f>CONCATENATE("          ", "9163", " - ", "MISC. INCOME")</f>
        <v xml:space="preserve">          9163 - MISC. INCOME</v>
      </c>
      <c r="C235" s="11"/>
      <c r="D235" s="2">
        <f>0</f>
        <v>0</v>
      </c>
      <c r="E235" s="2"/>
      <c r="F235" s="22">
        <f t="shared" si="143"/>
        <v>0</v>
      </c>
      <c r="G235" s="2"/>
      <c r="H235" s="2"/>
      <c r="I235" s="2"/>
      <c r="J235" s="22">
        <f t="shared" si="144"/>
        <v>0</v>
      </c>
      <c r="K235" s="2"/>
      <c r="L235" s="2">
        <f t="shared" si="145"/>
        <v>0</v>
      </c>
      <c r="M235" s="2"/>
      <c r="N235" s="22">
        <f t="shared" si="146"/>
        <v>0</v>
      </c>
      <c r="O235" s="11"/>
      <c r="P235" s="2">
        <f>--160663.9</f>
        <v>160663.9</v>
      </c>
      <c r="Q235" s="2"/>
      <c r="R235" s="22">
        <f t="shared" si="147"/>
        <v>4.6033763097524737E-2</v>
      </c>
      <c r="S235" s="2"/>
      <c r="T235" s="2"/>
      <c r="U235" s="2"/>
      <c r="V235" s="22">
        <f t="shared" si="148"/>
        <v>0</v>
      </c>
      <c r="W235" s="2"/>
      <c r="X235" s="2">
        <f t="shared" si="149"/>
        <v>160663.9</v>
      </c>
      <c r="Y235" s="2"/>
      <c r="Z235" s="22">
        <f t="shared" si="150"/>
        <v>0</v>
      </c>
    </row>
    <row r="236" spans="1:26" x14ac:dyDescent="0.25">
      <c r="A236" s="9"/>
      <c r="B236" s="10"/>
      <c r="C236" s="10"/>
      <c r="D236" s="3"/>
      <c r="E236" s="3"/>
      <c r="F236" s="8"/>
      <c r="G236" s="3"/>
      <c r="H236" s="3"/>
      <c r="I236" s="3"/>
      <c r="J236" s="8"/>
      <c r="K236" s="3"/>
      <c r="L236" s="3"/>
      <c r="M236" s="3"/>
      <c r="N236" s="8"/>
      <c r="O236" s="10"/>
      <c r="P236" s="3"/>
      <c r="Q236" s="3"/>
      <c r="R236" s="8"/>
      <c r="S236" s="3"/>
      <c r="T236" s="3"/>
      <c r="U236" s="3"/>
      <c r="V236" s="8"/>
      <c r="W236" s="3"/>
      <c r="X236" s="3"/>
      <c r="Y236" s="3"/>
      <c r="Z236" s="8"/>
    </row>
    <row r="237" spans="1:26" s="23" customFormat="1" x14ac:dyDescent="0.25">
      <c r="A237" s="10"/>
      <c r="B237" s="26" t="s">
        <v>3</v>
      </c>
      <c r="C237" s="26"/>
      <c r="D237" s="20">
        <f>+D130-D132+D230</f>
        <v>-213918.01000000018</v>
      </c>
      <c r="E237" s="13"/>
      <c r="F237" s="19">
        <f>IF(D$12=0,0,D237/D$12)</f>
        <v>-0.64250094377214528</v>
      </c>
      <c r="G237" s="13"/>
      <c r="H237" s="20">
        <f>+H130-H132+H230</f>
        <v>-93003.275632701931</v>
      </c>
      <c r="I237" s="13"/>
      <c r="J237" s="19">
        <f>IF(H$12=0,0,H237/H$12)</f>
        <v>-0.17399075006585585</v>
      </c>
      <c r="K237" s="15"/>
      <c r="L237" s="20">
        <f>+D237-H237</f>
        <v>-120914.73436729825</v>
      </c>
      <c r="M237" s="15"/>
      <c r="N237" s="19">
        <f>IF(H237=0,0,L237/H237)</f>
        <v>1.3001126416754085</v>
      </c>
      <c r="O237" s="25"/>
      <c r="P237" s="20">
        <f>+P130-P132+P230</f>
        <v>144399.59999999998</v>
      </c>
      <c r="Q237" s="13"/>
      <c r="R237" s="19">
        <f>IF(P$12=0,0,P237/P$12)</f>
        <v>4.1373681192709323E-2</v>
      </c>
      <c r="S237" s="13"/>
      <c r="T237" s="20">
        <f>+T130-T132+T230</f>
        <v>358063.75528967287</v>
      </c>
      <c r="U237" s="13"/>
      <c r="V237" s="19">
        <f>IF(T$12=0,0,T237/T$12)</f>
        <v>6.8978410382691285E-2</v>
      </c>
      <c r="W237" s="15"/>
      <c r="X237" s="20">
        <f>+P237-T237</f>
        <v>-213664.1552896729</v>
      </c>
      <c r="Y237" s="15"/>
      <c r="Z237" s="19">
        <f>IF(T237=0,0,X237/T237)</f>
        <v>-0.59672098092368775</v>
      </c>
    </row>
    <row r="238" spans="1:26" x14ac:dyDescent="0.25">
      <c r="A238" s="9"/>
      <c r="B238" s="10"/>
      <c r="C238" s="9"/>
      <c r="D238" s="3"/>
      <c r="E238" s="3"/>
      <c r="F238" s="8"/>
      <c r="G238" s="3"/>
      <c r="H238" s="3"/>
      <c r="I238" s="3"/>
      <c r="J238" s="8"/>
      <c r="K238" s="3"/>
      <c r="L238" s="3"/>
      <c r="M238" s="3"/>
      <c r="N238" s="8"/>
      <c r="P238" s="3"/>
      <c r="Q238" s="3"/>
      <c r="R238" s="8"/>
      <c r="S238" s="3"/>
      <c r="T238" s="3"/>
      <c r="U238" s="3"/>
      <c r="V238" s="8"/>
      <c r="W238" s="3"/>
      <c r="X238" s="3"/>
      <c r="Y238" s="3"/>
      <c r="Z238" s="8"/>
    </row>
    <row r="239" spans="1:26" s="23" customFormat="1" x14ac:dyDescent="0.25">
      <c r="A239" s="52"/>
      <c r="B239" s="10" t="s">
        <v>14</v>
      </c>
      <c r="C239" s="10"/>
      <c r="D239" s="4">
        <v>171153.26</v>
      </c>
      <c r="E239" s="4"/>
      <c r="F239" s="12">
        <f>IF(D$12=0,0,D239/D$12)</f>
        <v>0.51405737684115183</v>
      </c>
      <c r="G239" s="4"/>
      <c r="H239" s="4">
        <v>176075</v>
      </c>
      <c r="I239" s="4"/>
      <c r="J239" s="12">
        <f>IF(H$12=0,0,H239/H$12)</f>
        <v>0.32940153031635266</v>
      </c>
      <c r="K239" s="4"/>
      <c r="L239" s="4">
        <f>+D239-H239</f>
        <v>-4921.7399999999907</v>
      </c>
      <c r="M239" s="4"/>
      <c r="N239" s="12">
        <f>IF(H239=0,0,L239/H239)</f>
        <v>-2.7952520232855264E-2</v>
      </c>
      <c r="O239" s="10"/>
      <c r="P239" s="4">
        <v>756037.71000000008</v>
      </c>
      <c r="Q239" s="4"/>
      <c r="R239" s="12">
        <f>IF(P$12=0,0,P239/P$12)</f>
        <v>0.21662153623144412</v>
      </c>
      <c r="S239" s="4"/>
      <c r="T239" s="4">
        <v>851367</v>
      </c>
      <c r="U239" s="4"/>
      <c r="V239" s="12">
        <f>IF(T$12=0,0,T239/T$12)</f>
        <v>0.16400973693852805</v>
      </c>
      <c r="W239" s="4"/>
      <c r="X239" s="4">
        <f>+P239-T239</f>
        <v>-95329.289999999921</v>
      </c>
      <c r="Y239" s="4"/>
      <c r="Z239" s="12">
        <f>IF(T239=0,0,X239/T239)</f>
        <v>-0.11197202851414245</v>
      </c>
    </row>
    <row r="240" spans="1:26" x14ac:dyDescent="0.25">
      <c r="A240" s="9"/>
      <c r="B240" s="10"/>
      <c r="C240" s="10"/>
      <c r="D240" s="3"/>
      <c r="E240" s="3"/>
      <c r="F240" s="8"/>
      <c r="G240" s="3"/>
      <c r="H240" s="3"/>
      <c r="I240" s="3"/>
      <c r="J240" s="8"/>
      <c r="K240" s="3"/>
      <c r="L240" s="3"/>
      <c r="M240" s="3"/>
      <c r="N240" s="8"/>
      <c r="O240" s="10"/>
      <c r="P240" s="3"/>
      <c r="Q240" s="3"/>
      <c r="R240" s="8"/>
      <c r="S240" s="3"/>
      <c r="T240" s="3"/>
      <c r="U240" s="3"/>
      <c r="V240" s="8"/>
      <c r="W240" s="3"/>
      <c r="X240" s="3"/>
      <c r="Y240" s="3"/>
      <c r="Z240" s="8"/>
    </row>
    <row r="241" spans="1:26" s="23" customFormat="1" ht="15.75" thickBot="1" x14ac:dyDescent="0.3">
      <c r="A241" s="10"/>
      <c r="B241" s="26" t="s">
        <v>4</v>
      </c>
      <c r="C241" s="26"/>
      <c r="D241" s="34">
        <f>+D237-D239</f>
        <v>-385071.27000000019</v>
      </c>
      <c r="E241" s="13"/>
      <c r="F241" s="35">
        <f>IF(D$12=0,0,D241/D$12)</f>
        <v>-1.156558320613297</v>
      </c>
      <c r="G241" s="13"/>
      <c r="H241" s="34">
        <f>+H237-H239</f>
        <v>-269078.27563270193</v>
      </c>
      <c r="I241" s="13"/>
      <c r="J241" s="35">
        <f>IF(H$12=0,0,H241/H$12)</f>
        <v>-0.50339228038220851</v>
      </c>
      <c r="K241" s="15"/>
      <c r="L241" s="34">
        <f>D241-H241</f>
        <v>-115992.99436729826</v>
      </c>
      <c r="M241" s="15"/>
      <c r="N241" s="35">
        <f>IF(H241=0,0,L241/H241)</f>
        <v>0.43107528504319459</v>
      </c>
      <c r="O241" s="25"/>
      <c r="P241" s="34">
        <f>+P237-P239</f>
        <v>-611638.1100000001</v>
      </c>
      <c r="Q241" s="13"/>
      <c r="R241" s="35">
        <f>IF(P$12=0,0,P241/P$12)</f>
        <v>-0.17524785503873477</v>
      </c>
      <c r="S241" s="13"/>
      <c r="T241" s="34">
        <f>+T237-T239</f>
        <v>-493303.24471032713</v>
      </c>
      <c r="U241" s="13"/>
      <c r="V241" s="35">
        <f>IF(T$12=0,0,T241/T$12)</f>
        <v>-9.5031326555836779E-2</v>
      </c>
      <c r="W241" s="15"/>
      <c r="X241" s="34">
        <f>P241-T241</f>
        <v>-118334.86528967298</v>
      </c>
      <c r="Y241" s="15"/>
      <c r="Z241" s="35">
        <f>IF(T241=0,0,X241/T241)</f>
        <v>0.23988260073002451</v>
      </c>
    </row>
    <row r="242" spans="1:26" ht="15.75" thickTop="1" x14ac:dyDescent="0.25">
      <c r="A242" s="9"/>
      <c r="B242" s="9"/>
      <c r="C242" s="9"/>
      <c r="D242" s="3"/>
      <c r="E242" s="3"/>
      <c r="F242" s="8"/>
      <c r="G242" s="3"/>
      <c r="H242" s="3"/>
      <c r="I242" s="3"/>
      <c r="J242" s="8"/>
      <c r="K242" s="3"/>
      <c r="L242" s="3"/>
      <c r="M242" s="3"/>
      <c r="N242" s="8"/>
      <c r="P242" s="3"/>
      <c r="Q242" s="3"/>
      <c r="R242" s="8"/>
      <c r="S242" s="3"/>
      <c r="T242" s="3"/>
      <c r="U242" s="3"/>
      <c r="V242" s="8"/>
      <c r="W242" s="3"/>
      <c r="X242" s="3"/>
      <c r="Y242" s="3"/>
      <c r="Z242" s="8"/>
    </row>
    <row r="243" spans="1:26" x14ac:dyDescent="0.25">
      <c r="A243" s="9"/>
      <c r="B243" s="9"/>
      <c r="C243" s="9"/>
      <c r="D243" s="3"/>
      <c r="E243" s="3"/>
      <c r="F243" s="8"/>
      <c r="G243" s="3"/>
      <c r="H243" s="3"/>
      <c r="I243" s="3"/>
      <c r="J243" s="8"/>
      <c r="K243" s="3"/>
      <c r="L243" s="3"/>
      <c r="M243" s="3"/>
      <c r="N243" s="8"/>
      <c r="P243" s="3"/>
      <c r="Q243" s="3"/>
      <c r="R243" s="8"/>
      <c r="S243" s="3"/>
      <c r="T243" s="3"/>
      <c r="U243" s="3"/>
      <c r="V243" s="8"/>
      <c r="W243" s="3"/>
      <c r="X243" s="3"/>
      <c r="Y243" s="3"/>
      <c r="Z243" s="8"/>
    </row>
    <row r="244" spans="1:26" s="23" customFormat="1" ht="15.75" thickBot="1" x14ac:dyDescent="0.3">
      <c r="A244" s="10"/>
      <c r="B244" s="26" t="s">
        <v>5</v>
      </c>
      <c r="C244" s="26"/>
      <c r="D244" s="30">
        <f>SUM(D241:D243)</f>
        <v>-385071.27000000019</v>
      </c>
      <c r="E244" s="13"/>
      <c r="F244" s="32">
        <f>IF(D$12=0,0,D244/D$12)</f>
        <v>-1.156558320613297</v>
      </c>
      <c r="G244" s="13"/>
      <c r="H244" s="30">
        <f>SUM(H241:H243)</f>
        <v>-269078.27563270193</v>
      </c>
      <c r="I244" s="13"/>
      <c r="J244" s="32">
        <f>IF(H$12=0,0,H244/H$12)</f>
        <v>-0.50339228038220851</v>
      </c>
      <c r="K244" s="15"/>
      <c r="L244" s="30">
        <f>+D244-H244</f>
        <v>-115992.99436729826</v>
      </c>
      <c r="M244" s="15"/>
      <c r="N244" s="32">
        <f>IF(H244=0,0,L244/H244)</f>
        <v>0.43107528504319459</v>
      </c>
      <c r="O244" s="25"/>
      <c r="P244" s="30">
        <f>SUM(P241:P243)</f>
        <v>-611638.1100000001</v>
      </c>
      <c r="Q244" s="13"/>
      <c r="R244" s="32">
        <f>IF(P$12=0,0,P244/P$12)</f>
        <v>-0.17524785503873477</v>
      </c>
      <c r="S244" s="13"/>
      <c r="T244" s="30">
        <f>SUM(T241:T243)</f>
        <v>-493303.24471032713</v>
      </c>
      <c r="U244" s="13"/>
      <c r="V244" s="32">
        <f>IF(T$12=0,0,T244/T$12)</f>
        <v>-9.5031326555836779E-2</v>
      </c>
      <c r="W244" s="15"/>
      <c r="X244" s="30">
        <f>+P244-T244</f>
        <v>-118334.86528967298</v>
      </c>
      <c r="Y244" s="15"/>
      <c r="Z244" s="32">
        <f>IF(T244=0,0,X244/T244)</f>
        <v>0.23988260073002451</v>
      </c>
    </row>
    <row r="245" spans="1:26" ht="15.75" thickTop="1" x14ac:dyDescent="0.25">
      <c r="A245" s="9"/>
      <c r="C245" s="9"/>
      <c r="D245" s="17"/>
      <c r="E245" s="17"/>
      <c r="G245" s="17"/>
      <c r="H245" s="17"/>
      <c r="I245" s="17"/>
      <c r="J245" s="42"/>
      <c r="K245" s="17"/>
      <c r="L245" s="17"/>
      <c r="M245" s="17"/>
      <c r="P245" s="17"/>
      <c r="Q245" s="17"/>
      <c r="R245" s="42"/>
      <c r="S245" s="17"/>
      <c r="T245" s="17"/>
      <c r="U245" s="17"/>
      <c r="V245" s="42"/>
      <c r="W245" s="17"/>
      <c r="X245" s="17"/>
    </row>
    <row r="246" spans="1:26" x14ac:dyDescent="0.25">
      <c r="A246" s="9"/>
      <c r="B246" s="60">
        <v>44151.567759409721</v>
      </c>
      <c r="D246" s="17"/>
      <c r="E246" s="17"/>
      <c r="G246" s="17"/>
      <c r="H246" s="17"/>
      <c r="I246" s="17"/>
      <c r="J246" s="42"/>
      <c r="K246" s="17"/>
      <c r="L246" s="17"/>
      <c r="M246" s="17"/>
      <c r="P246" s="17"/>
      <c r="Q246" s="17"/>
      <c r="R246" s="42"/>
      <c r="S246" s="17"/>
      <c r="T246" s="17"/>
      <c r="U246" s="17"/>
      <c r="V246" s="42"/>
      <c r="W246" s="17"/>
      <c r="X246" s="17"/>
    </row>
    <row r="247" spans="1:26" x14ac:dyDescent="0.25">
      <c r="A247" s="9"/>
      <c r="B247" s="58" t="s">
        <v>314</v>
      </c>
      <c r="D247" s="17"/>
      <c r="E247" s="17"/>
      <c r="G247" s="17"/>
      <c r="H247" s="17"/>
      <c r="I247" s="17"/>
      <c r="J247" s="42"/>
      <c r="K247" s="17"/>
      <c r="L247" s="17"/>
      <c r="M247" s="17"/>
      <c r="P247" s="17"/>
      <c r="Q247" s="17"/>
      <c r="R247" s="42"/>
      <c r="S247" s="17"/>
      <c r="T247" s="17"/>
      <c r="U247" s="17"/>
      <c r="V247" s="42"/>
      <c r="W247" s="17"/>
      <c r="X247" s="17"/>
    </row>
    <row r="248" spans="1:26" x14ac:dyDescent="0.25">
      <c r="A248" s="9"/>
      <c r="B248" s="53"/>
      <c r="D248" s="17"/>
      <c r="E248" s="17"/>
      <c r="G248" s="17"/>
      <c r="H248" s="17"/>
      <c r="I248" s="17"/>
      <c r="J248" s="42"/>
      <c r="K248" s="17"/>
      <c r="L248" s="17"/>
      <c r="M248" s="17"/>
      <c r="P248" s="17"/>
      <c r="Q248" s="17"/>
      <c r="R248" s="42"/>
      <c r="S248" s="17"/>
      <c r="T248" s="17"/>
      <c r="U248" s="17"/>
      <c r="V248" s="42"/>
      <c r="W248" s="17"/>
      <c r="X248" s="17"/>
    </row>
    <row r="249" spans="1:26" x14ac:dyDescent="0.25">
      <c r="D249" s="17"/>
      <c r="E249" s="17"/>
      <c r="G249" s="17"/>
      <c r="H249" s="17"/>
      <c r="I249" s="17"/>
      <c r="J249" s="42"/>
      <c r="K249" s="17"/>
      <c r="L249" s="17"/>
      <c r="M249" s="17"/>
      <c r="P249" s="17"/>
      <c r="Q249" s="17"/>
      <c r="R249" s="42"/>
      <c r="S249" s="17"/>
      <c r="T249" s="17"/>
      <c r="U249" s="17"/>
      <c r="V249" s="42"/>
      <c r="W249" s="17"/>
      <c r="X249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","301", " - ", "Bookstore Operations")</f>
        <v>Department 301 - Bookstore Operations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118485.46999999999</v>
      </c>
      <c r="E18" s="21"/>
      <c r="F18" s="31">
        <f t="shared" ref="F18:F28" si="0">IF(D$12=0,0,D18/D$12)</f>
        <v>0</v>
      </c>
      <c r="G18" s="21"/>
      <c r="H18" s="21">
        <f>SUM(OSRRefH22x_0)</f>
        <v>117509.41400042309</v>
      </c>
      <c r="I18" s="21"/>
      <c r="J18" s="31">
        <f t="shared" ref="J18:J28" si="1">IF(H$12=0,0,H18/H$12)</f>
        <v>0</v>
      </c>
      <c r="K18" s="4"/>
      <c r="L18" s="21">
        <f t="shared" ref="L18:L28" si="2">+D18-H18</f>
        <v>976.05599957689992</v>
      </c>
      <c r="M18" s="4"/>
      <c r="N18" s="31">
        <f t="shared" ref="N18:N28" si="3">IF(H18=0,0,L18/H18)</f>
        <v>8.3061940856362856E-3</v>
      </c>
      <c r="O18" s="10"/>
      <c r="P18" s="21">
        <f>SUM(OSRRefP22x_0)</f>
        <v>535090.51</v>
      </c>
      <c r="Q18" s="21"/>
      <c r="R18" s="31">
        <f t="shared" ref="R18:R28" si="4">IF(P$12=0,0,P18/P$12)</f>
        <v>0</v>
      </c>
      <c r="S18" s="21"/>
      <c r="T18" s="21">
        <f>SUM(OSRRefT22x_0)</f>
        <v>672578.17993652308</v>
      </c>
      <c r="U18" s="21"/>
      <c r="V18" s="31">
        <f t="shared" ref="V18:V28" si="5">IF(T$12=0,0,T18/T$12)</f>
        <v>0</v>
      </c>
      <c r="W18" s="4"/>
      <c r="X18" s="21">
        <f t="shared" ref="X18:X28" si="6">+P18-T18</f>
        <v>-137487.66993652307</v>
      </c>
      <c r="Y18" s="4"/>
      <c r="Z18" s="31">
        <f t="shared" ref="Z18:Z28" si="7">IF(T18=0,0,X18/T18)</f>
        <v>-0.20441886763186246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9035.86</v>
      </c>
      <c r="E19" s="1"/>
      <c r="F19" s="5">
        <f t="shared" si="0"/>
        <v>0</v>
      </c>
      <c r="G19" s="1"/>
      <c r="H19" s="1">
        <f>SUM(OSRRefH22_0x_0)</f>
        <v>8931.2320773461543</v>
      </c>
      <c r="I19" s="1"/>
      <c r="J19" s="5">
        <f t="shared" si="1"/>
        <v>0</v>
      </c>
      <c r="K19" s="1"/>
      <c r="L19" s="1">
        <f t="shared" si="2"/>
        <v>104.62792265384633</v>
      </c>
      <c r="M19" s="1"/>
      <c r="N19" s="5">
        <f t="shared" si="3"/>
        <v>1.1714836401937469E-2</v>
      </c>
      <c r="O19" s="14"/>
      <c r="P19" s="1">
        <f>SUM(OSRRefP22_0x_0)</f>
        <v>34805.030000000006</v>
      </c>
      <c r="Q19" s="1"/>
      <c r="R19" s="5">
        <f t="shared" si="4"/>
        <v>0</v>
      </c>
      <c r="S19" s="1"/>
      <c r="T19" s="1">
        <f>SUM(OSRRefT22_0x_0)</f>
        <v>38495.075013446156</v>
      </c>
      <c r="U19" s="1"/>
      <c r="V19" s="5">
        <f t="shared" si="5"/>
        <v>0</v>
      </c>
      <c r="W19" s="1"/>
      <c r="X19" s="1">
        <f t="shared" si="6"/>
        <v>-3690.0450134461498</v>
      </c>
      <c r="Y19" s="1"/>
      <c r="Z19" s="5">
        <f t="shared" si="7"/>
        <v>-9.5857587292848073E-2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3527.98</v>
      </c>
      <c r="E20" s="2"/>
      <c r="F20" s="6">
        <f t="shared" si="0"/>
        <v>0</v>
      </c>
      <c r="G20" s="2"/>
      <c r="H20" s="7">
        <v>1988.6900361923101</v>
      </c>
      <c r="I20" s="2"/>
      <c r="J20" s="6">
        <f t="shared" si="1"/>
        <v>0</v>
      </c>
      <c r="K20" s="2"/>
      <c r="L20" s="7">
        <f t="shared" si="2"/>
        <v>1539.2899638076899</v>
      </c>
      <c r="M20" s="2"/>
      <c r="N20" s="6">
        <f t="shared" si="3"/>
        <v>0.77402206266137175</v>
      </c>
      <c r="O20" s="11"/>
      <c r="P20" s="7">
        <v>11844.1</v>
      </c>
      <c r="Q20" s="2"/>
      <c r="R20" s="6">
        <f t="shared" si="4"/>
        <v>0</v>
      </c>
      <c r="S20" s="2"/>
      <c r="T20" s="7">
        <v>10444.410910292319</v>
      </c>
      <c r="U20" s="2"/>
      <c r="V20" s="6">
        <f t="shared" si="5"/>
        <v>0</v>
      </c>
      <c r="W20" s="2"/>
      <c r="X20" s="7">
        <f t="shared" si="6"/>
        <v>1399.689089707681</v>
      </c>
      <c r="Y20" s="2"/>
      <c r="Z20" s="6">
        <f t="shared" si="7"/>
        <v>0.1340132154632459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508.93</v>
      </c>
      <c r="E21" s="2"/>
      <c r="F21" s="6">
        <f t="shared" si="0"/>
        <v>0</v>
      </c>
      <c r="G21" s="2"/>
      <c r="H21" s="7">
        <v>680.11101730769201</v>
      </c>
      <c r="I21" s="2"/>
      <c r="J21" s="6">
        <f t="shared" si="1"/>
        <v>0</v>
      </c>
      <c r="K21" s="2"/>
      <c r="L21" s="7">
        <f t="shared" si="2"/>
        <v>-171.181017307692</v>
      </c>
      <c r="M21" s="2"/>
      <c r="N21" s="6">
        <f t="shared" si="3"/>
        <v>-0.25169569813077625</v>
      </c>
      <c r="O21" s="11"/>
      <c r="P21" s="7">
        <v>2946.79</v>
      </c>
      <c r="Q21" s="2"/>
      <c r="R21" s="6">
        <f t="shared" si="4"/>
        <v>0</v>
      </c>
      <c r="S21" s="2"/>
      <c r="T21" s="7">
        <v>3772.8525873076865</v>
      </c>
      <c r="U21" s="2"/>
      <c r="V21" s="6">
        <f t="shared" si="5"/>
        <v>0</v>
      </c>
      <c r="W21" s="2"/>
      <c r="X21" s="7">
        <f t="shared" si="6"/>
        <v>-826.0625873076865</v>
      </c>
      <c r="Y21" s="2"/>
      <c r="Z21" s="6">
        <f t="shared" si="7"/>
        <v>-0.21894907584957249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1588.12</v>
      </c>
      <c r="E22" s="2"/>
      <c r="F22" s="6">
        <f t="shared" si="0"/>
        <v>0</v>
      </c>
      <c r="G22" s="2"/>
      <c r="H22" s="7">
        <v>3675.5769230769201</v>
      </c>
      <c r="I22" s="2"/>
      <c r="J22" s="6">
        <f t="shared" si="1"/>
        <v>0</v>
      </c>
      <c r="K22" s="2"/>
      <c r="L22" s="7">
        <f t="shared" si="2"/>
        <v>-2087.4569230769202</v>
      </c>
      <c r="M22" s="2"/>
      <c r="N22" s="6">
        <f t="shared" si="3"/>
        <v>-0.56792633286244931</v>
      </c>
      <c r="O22" s="11"/>
      <c r="P22" s="7">
        <v>6535.66</v>
      </c>
      <c r="Q22" s="2"/>
      <c r="R22" s="6">
        <f t="shared" si="4"/>
        <v>0</v>
      </c>
      <c r="S22" s="2"/>
      <c r="T22" s="7">
        <v>14063.07692307692</v>
      </c>
      <c r="U22" s="2"/>
      <c r="V22" s="6">
        <f t="shared" si="5"/>
        <v>0</v>
      </c>
      <c r="W22" s="2"/>
      <c r="X22" s="7">
        <f t="shared" si="6"/>
        <v>-7527.4169230769203</v>
      </c>
      <c r="Y22" s="2"/>
      <c r="Z22" s="6">
        <f t="shared" si="7"/>
        <v>-0.53526102177004697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80.37</v>
      </c>
      <c r="E23" s="2"/>
      <c r="F23" s="6">
        <f t="shared" si="0"/>
        <v>0</v>
      </c>
      <c r="G23" s="2"/>
      <c r="H23" s="7">
        <v>95.583169999999996</v>
      </c>
      <c r="I23" s="2"/>
      <c r="J23" s="6">
        <f t="shared" si="1"/>
        <v>0</v>
      </c>
      <c r="K23" s="2"/>
      <c r="L23" s="7">
        <f t="shared" si="2"/>
        <v>-15.213169999999991</v>
      </c>
      <c r="M23" s="2"/>
      <c r="N23" s="6">
        <f t="shared" si="3"/>
        <v>-0.15916159717238915</v>
      </c>
      <c r="O23" s="11"/>
      <c r="P23" s="7">
        <v>455.06</v>
      </c>
      <c r="Q23" s="2"/>
      <c r="R23" s="6">
        <f t="shared" si="4"/>
        <v>0</v>
      </c>
      <c r="S23" s="2"/>
      <c r="T23" s="7">
        <v>530.238742</v>
      </c>
      <c r="U23" s="2"/>
      <c r="V23" s="6">
        <f t="shared" si="5"/>
        <v>0</v>
      </c>
      <c r="W23" s="2"/>
      <c r="X23" s="7">
        <f t="shared" si="6"/>
        <v>-75.178742</v>
      </c>
      <c r="Y23" s="2"/>
      <c r="Z23" s="6">
        <f t="shared" si="7"/>
        <v>-0.1417828160130932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983.12</v>
      </c>
      <c r="E24" s="2"/>
      <c r="F24" s="6">
        <f t="shared" si="0"/>
        <v>0</v>
      </c>
      <c r="G24" s="2"/>
      <c r="H24" s="7">
        <v>914.67516153846202</v>
      </c>
      <c r="I24" s="2"/>
      <c r="J24" s="6">
        <f t="shared" si="1"/>
        <v>0</v>
      </c>
      <c r="K24" s="2"/>
      <c r="L24" s="7">
        <f t="shared" si="2"/>
        <v>68.444838461537984</v>
      </c>
      <c r="M24" s="2"/>
      <c r="N24" s="6">
        <f t="shared" si="3"/>
        <v>7.4829667776716902E-2</v>
      </c>
      <c r="O24" s="11"/>
      <c r="P24" s="7">
        <v>4685.72</v>
      </c>
      <c r="Q24" s="2"/>
      <c r="R24" s="6">
        <f t="shared" si="4"/>
        <v>0</v>
      </c>
      <c r="S24" s="2"/>
      <c r="T24" s="7">
        <v>3292.830581538462</v>
      </c>
      <c r="U24" s="2"/>
      <c r="V24" s="6">
        <f t="shared" si="5"/>
        <v>0</v>
      </c>
      <c r="W24" s="2"/>
      <c r="X24" s="7">
        <f t="shared" si="6"/>
        <v>1392.8894184615383</v>
      </c>
      <c r="Y24" s="2"/>
      <c r="Z24" s="6">
        <f t="shared" si="7"/>
        <v>0.4230067062274302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401.9</v>
      </c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401.9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>
        <v>1208.8800000000001</v>
      </c>
      <c r="E26" s="2"/>
      <c r="F26" s="6">
        <f t="shared" si="0"/>
        <v>0</v>
      </c>
      <c r="G26" s="2"/>
      <c r="H26" s="7">
        <v>681.787884615385</v>
      </c>
      <c r="I26" s="2"/>
      <c r="J26" s="6">
        <f t="shared" si="1"/>
        <v>0</v>
      </c>
      <c r="K26" s="2"/>
      <c r="L26" s="7">
        <f t="shared" si="2"/>
        <v>527.09211538461511</v>
      </c>
      <c r="M26" s="2"/>
      <c r="N26" s="6">
        <f t="shared" si="3"/>
        <v>0.77310278941369281</v>
      </c>
      <c r="O26" s="11"/>
      <c r="P26" s="7">
        <v>4335.62</v>
      </c>
      <c r="Q26" s="2"/>
      <c r="R26" s="6">
        <f t="shared" si="4"/>
        <v>0</v>
      </c>
      <c r="S26" s="2"/>
      <c r="T26" s="7">
        <v>2454.436384615386</v>
      </c>
      <c r="U26" s="2"/>
      <c r="V26" s="6">
        <f t="shared" si="5"/>
        <v>0</v>
      </c>
      <c r="W26" s="2"/>
      <c r="X26" s="7">
        <f t="shared" si="6"/>
        <v>1881.1836153846139</v>
      </c>
      <c r="Y26" s="2"/>
      <c r="Z26" s="6">
        <f t="shared" si="7"/>
        <v>0.76644219714800155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924.44</v>
      </c>
      <c r="E27" s="2"/>
      <c r="F27" s="6">
        <f t="shared" si="0"/>
        <v>0</v>
      </c>
      <c r="G27" s="2"/>
      <c r="H27" s="7">
        <v>894.80788461538498</v>
      </c>
      <c r="I27" s="2"/>
      <c r="J27" s="6">
        <f t="shared" si="1"/>
        <v>0</v>
      </c>
      <c r="K27" s="2"/>
      <c r="L27" s="7">
        <f t="shared" si="2"/>
        <v>29.632115384615076</v>
      </c>
      <c r="M27" s="2"/>
      <c r="N27" s="6">
        <f t="shared" si="3"/>
        <v>3.3115617211343464E-2</v>
      </c>
      <c r="O27" s="11"/>
      <c r="P27" s="7">
        <v>2915.35</v>
      </c>
      <c r="Q27" s="2"/>
      <c r="R27" s="6">
        <f t="shared" si="4"/>
        <v>0</v>
      </c>
      <c r="S27" s="2"/>
      <c r="T27" s="7">
        <v>3937.2288846153824</v>
      </c>
      <c r="U27" s="2"/>
      <c r="V27" s="6">
        <f t="shared" si="5"/>
        <v>0</v>
      </c>
      <c r="W27" s="2"/>
      <c r="X27" s="7">
        <f t="shared" si="6"/>
        <v>-1021.8788846153825</v>
      </c>
      <c r="Y27" s="2"/>
      <c r="Z27" s="6">
        <f t="shared" si="7"/>
        <v>-0.259542666825479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>
        <v>214.02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214.02</v>
      </c>
      <c r="M28" s="2"/>
      <c r="N28" s="6">
        <f t="shared" si="3"/>
        <v>0</v>
      </c>
      <c r="O28" s="11"/>
      <c r="P28" s="7">
        <v>684.83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684.83</v>
      </c>
      <c r="Y28" s="2"/>
      <c r="Z28" s="6">
        <f t="shared" si="7"/>
        <v>0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34017.49</v>
      </c>
      <c r="E29" s="1"/>
      <c r="F29" s="5">
        <f t="shared" ref="F29:F39" si="8">IF(D$12=0,0,D29/D$12)</f>
        <v>0</v>
      </c>
      <c r="G29" s="1"/>
      <c r="H29" s="1">
        <f>SUM(OSRRefH22_1x_0)</f>
        <v>35449.181923076932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-1431.6919230769345</v>
      </c>
      <c r="M29" s="1"/>
      <c r="N29" s="5">
        <f t="shared" ref="N29:N39" si="11">IF(H29=0,0,L29/H29)</f>
        <v>-4.0387163974154296E-2</v>
      </c>
      <c r="O29" s="14"/>
      <c r="P29" s="1">
        <f>SUM(OSRRefP22_1x_0)</f>
        <v>181629.62</v>
      </c>
      <c r="Q29" s="1"/>
      <c r="R29" s="5">
        <f t="shared" ref="R29:R39" si="12">IF(P$12=0,0,P29/P$12)</f>
        <v>0</v>
      </c>
      <c r="S29" s="1"/>
      <c r="T29" s="1">
        <f>SUM(OSRRefT22_1x_0)</f>
        <v>199209.10492307693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-17579.484923076932</v>
      </c>
      <c r="Y29" s="1"/>
      <c r="Z29" s="5">
        <f t="shared" ref="Z29:Z39" si="15">IF(T29=0,0,X29/T29)</f>
        <v>-8.8246392803507226E-2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7">
        <v>4205.17</v>
      </c>
      <c r="E30" s="2"/>
      <c r="F30" s="6">
        <f t="shared" si="8"/>
        <v>0</v>
      </c>
      <c r="G30" s="2"/>
      <c r="H30" s="7">
        <v>4759.6153846153902</v>
      </c>
      <c r="I30" s="2"/>
      <c r="J30" s="6">
        <f t="shared" si="9"/>
        <v>0</v>
      </c>
      <c r="K30" s="2"/>
      <c r="L30" s="7">
        <f t="shared" si="10"/>
        <v>-554.44538461539014</v>
      </c>
      <c r="M30" s="2"/>
      <c r="N30" s="6">
        <f t="shared" si="11"/>
        <v>-0.11648953535353637</v>
      </c>
      <c r="O30" s="11"/>
      <c r="P30" s="7">
        <v>17453.82</v>
      </c>
      <c r="Q30" s="2"/>
      <c r="R30" s="6">
        <f t="shared" si="12"/>
        <v>0</v>
      </c>
      <c r="S30" s="2"/>
      <c r="T30" s="7">
        <v>17134.615384615401</v>
      </c>
      <c r="U30" s="2"/>
      <c r="V30" s="6">
        <f t="shared" si="13"/>
        <v>0</v>
      </c>
      <c r="W30" s="2"/>
      <c r="X30" s="7">
        <f t="shared" si="14"/>
        <v>319.20461538459858</v>
      </c>
      <c r="Y30" s="2"/>
      <c r="Z30" s="6">
        <f t="shared" si="15"/>
        <v>1.8629225589224592E-2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7">
        <v>8985.19</v>
      </c>
      <c r="E31" s="2"/>
      <c r="F31" s="6">
        <f t="shared" si="8"/>
        <v>0</v>
      </c>
      <c r="G31" s="2"/>
      <c r="H31" s="7">
        <v>4812.5665384615395</v>
      </c>
      <c r="I31" s="2"/>
      <c r="J31" s="6">
        <f t="shared" si="9"/>
        <v>0</v>
      </c>
      <c r="K31" s="2"/>
      <c r="L31" s="7">
        <f t="shared" si="10"/>
        <v>4172.623461538461</v>
      </c>
      <c r="M31" s="2"/>
      <c r="N31" s="6">
        <f t="shared" si="11"/>
        <v>0.86702665369741516</v>
      </c>
      <c r="O31" s="11"/>
      <c r="P31" s="7">
        <v>35774.369999999995</v>
      </c>
      <c r="Q31" s="2"/>
      <c r="R31" s="6">
        <f t="shared" si="12"/>
        <v>0</v>
      </c>
      <c r="S31" s="2"/>
      <c r="T31" s="7">
        <v>17325.239538461541</v>
      </c>
      <c r="U31" s="2"/>
      <c r="V31" s="6">
        <f t="shared" si="13"/>
        <v>0</v>
      </c>
      <c r="W31" s="2"/>
      <c r="X31" s="7">
        <f t="shared" si="14"/>
        <v>18449.130461538454</v>
      </c>
      <c r="Y31" s="2"/>
      <c r="Z31" s="6">
        <f t="shared" si="15"/>
        <v>1.0648701520450501</v>
      </c>
    </row>
    <row r="32" spans="1:26" s="24" customFormat="1" hidden="1" outlineLevel="2" x14ac:dyDescent="0.25">
      <c r="A32" s="28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15100</v>
      </c>
      <c r="I33" s="2"/>
      <c r="J33" s="6">
        <f t="shared" si="9"/>
        <v>0</v>
      </c>
      <c r="K33" s="2"/>
      <c r="L33" s="7">
        <f t="shared" si="10"/>
        <v>-15100</v>
      </c>
      <c r="M33" s="2"/>
      <c r="N33" s="6">
        <f t="shared" si="11"/>
        <v>-1</v>
      </c>
      <c r="O33" s="11"/>
      <c r="P33" s="7">
        <v>3465.6</v>
      </c>
      <c r="Q33" s="2"/>
      <c r="R33" s="6">
        <f t="shared" si="12"/>
        <v>0</v>
      </c>
      <c r="S33" s="2"/>
      <c r="T33" s="7">
        <v>54360</v>
      </c>
      <c r="U33" s="2"/>
      <c r="V33" s="6">
        <f t="shared" si="13"/>
        <v>0</v>
      </c>
      <c r="W33" s="2"/>
      <c r="X33" s="7">
        <f t="shared" si="14"/>
        <v>-50894.400000000001</v>
      </c>
      <c r="Y33" s="2"/>
      <c r="Z33" s="6">
        <f t="shared" si="15"/>
        <v>-0.93624724061810161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>
        <v>9472.0499999999993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9472.0499999999993</v>
      </c>
      <c r="M34" s="2"/>
      <c r="N34" s="6">
        <f t="shared" si="11"/>
        <v>0</v>
      </c>
      <c r="O34" s="11"/>
      <c r="P34" s="7">
        <v>41086.57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41086.57</v>
      </c>
      <c r="Y34" s="2"/>
      <c r="Z34" s="6">
        <f t="shared" si="15"/>
        <v>0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7">
        <v>1802.76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1802.76</v>
      </c>
      <c r="M35" s="2"/>
      <c r="N35" s="6">
        <f t="shared" si="11"/>
        <v>0</v>
      </c>
      <c r="O35" s="11"/>
      <c r="P35" s="7">
        <v>7004.88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7004.88</v>
      </c>
      <c r="Y35" s="2"/>
      <c r="Z35" s="6">
        <f t="shared" si="15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>
        <v>9552.32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9552.32</v>
      </c>
      <c r="M36" s="2"/>
      <c r="N36" s="6">
        <f t="shared" si="11"/>
        <v>0</v>
      </c>
      <c r="O36" s="11"/>
      <c r="P36" s="7">
        <v>76844.38</v>
      </c>
      <c r="Q36" s="2"/>
      <c r="R36" s="6">
        <f t="shared" si="12"/>
        <v>0</v>
      </c>
      <c r="S36" s="2"/>
      <c r="T36" s="7">
        <v>42926</v>
      </c>
      <c r="U36" s="2"/>
      <c r="V36" s="6">
        <f t="shared" si="13"/>
        <v>0</v>
      </c>
      <c r="W36" s="2"/>
      <c r="X36" s="7">
        <f t="shared" si="14"/>
        <v>33918.380000000005</v>
      </c>
      <c r="Y36" s="2"/>
      <c r="Z36" s="6">
        <f t="shared" si="15"/>
        <v>0.79015934398732712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10777</v>
      </c>
      <c r="I37" s="2"/>
      <c r="J37" s="6">
        <f t="shared" si="9"/>
        <v>0</v>
      </c>
      <c r="K37" s="2"/>
      <c r="L37" s="7">
        <f t="shared" si="10"/>
        <v>-10777</v>
      </c>
      <c r="M37" s="2"/>
      <c r="N37" s="6">
        <f t="shared" si="11"/>
        <v>-1</v>
      </c>
      <c r="O37" s="11"/>
      <c r="P37" s="7"/>
      <c r="Q37" s="2"/>
      <c r="R37" s="6">
        <f t="shared" si="12"/>
        <v>0</v>
      </c>
      <c r="S37" s="2"/>
      <c r="T37" s="7">
        <v>67463.25</v>
      </c>
      <c r="U37" s="2"/>
      <c r="V37" s="6">
        <f t="shared" si="13"/>
        <v>0</v>
      </c>
      <c r="W37" s="2"/>
      <c r="X37" s="7">
        <f t="shared" si="14"/>
        <v>-67463.25</v>
      </c>
      <c r="Y37" s="2"/>
      <c r="Z37" s="6">
        <f t="shared" si="15"/>
        <v>-1</v>
      </c>
    </row>
    <row r="38" spans="1:26" s="24" customFormat="1" hidden="1" outlineLevel="2" x14ac:dyDescent="0.25">
      <c r="A38" s="28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8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9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SUM(OSRRefD22_2x_0)</f>
        <v>-28.22</v>
      </c>
      <c r="E40" s="1"/>
      <c r="F40" s="5">
        <f t="shared" ref="F40:F42" si="16">IF(D$12=0,0,D40/D$12)</f>
        <v>0</v>
      </c>
      <c r="G40" s="1"/>
      <c r="H40" s="1">
        <f>SUM(OSRRefH22_2x_0)</f>
        <v>100</v>
      </c>
      <c r="I40" s="1"/>
      <c r="J40" s="5">
        <f t="shared" ref="J40:J42" si="17">IF(H$12=0,0,H40/H$12)</f>
        <v>0</v>
      </c>
      <c r="K40" s="1"/>
      <c r="L40" s="1">
        <f t="shared" ref="L40:L42" si="18">+D40-H40</f>
        <v>-128.22</v>
      </c>
      <c r="M40" s="1"/>
      <c r="N40" s="5">
        <f t="shared" ref="N40:N42" si="19">IF(H40=0,0,L40/H40)</f>
        <v>-1.2822</v>
      </c>
      <c r="O40" s="14"/>
      <c r="P40" s="1">
        <f>SUM(OSRRefP22_2x_0)</f>
        <v>49.99</v>
      </c>
      <c r="Q40" s="1"/>
      <c r="R40" s="5">
        <f t="shared" ref="R40:R42" si="20">IF(P$12=0,0,P40/P$12)</f>
        <v>0</v>
      </c>
      <c r="S40" s="1"/>
      <c r="T40" s="1">
        <f>SUM(OSRRefT22_2x_0)</f>
        <v>400</v>
      </c>
      <c r="U40" s="1"/>
      <c r="V40" s="5">
        <f t="shared" ref="V40:V42" si="21">IF(T$12=0,0,T40/T$12)</f>
        <v>0</v>
      </c>
      <c r="W40" s="1"/>
      <c r="X40" s="1">
        <f t="shared" ref="X40:X42" si="22">+P40-T40</f>
        <v>-350.01</v>
      </c>
      <c r="Y40" s="1"/>
      <c r="Z40" s="5">
        <f t="shared" ref="Z40:Z42" si="23">IF(T40=0,0,X40/T40)</f>
        <v>-0.87502499999999994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7">
        <v>-28.22</v>
      </c>
      <c r="E41" s="2"/>
      <c r="F41" s="6">
        <f t="shared" si="16"/>
        <v>0</v>
      </c>
      <c r="G41" s="2"/>
      <c r="H41" s="7">
        <v>50</v>
      </c>
      <c r="I41" s="2"/>
      <c r="J41" s="6">
        <f t="shared" si="17"/>
        <v>0</v>
      </c>
      <c r="K41" s="2"/>
      <c r="L41" s="7">
        <f t="shared" si="18"/>
        <v>-78.22</v>
      </c>
      <c r="M41" s="2"/>
      <c r="N41" s="6">
        <f t="shared" si="19"/>
        <v>-1.5644</v>
      </c>
      <c r="O41" s="11"/>
      <c r="P41" s="7">
        <v>49.99</v>
      </c>
      <c r="Q41" s="2"/>
      <c r="R41" s="6">
        <f t="shared" si="20"/>
        <v>0</v>
      </c>
      <c r="S41" s="2"/>
      <c r="T41" s="7">
        <v>200</v>
      </c>
      <c r="U41" s="2"/>
      <c r="V41" s="6">
        <f t="shared" si="21"/>
        <v>0</v>
      </c>
      <c r="W41" s="2"/>
      <c r="X41" s="7">
        <f t="shared" si="22"/>
        <v>-150.01</v>
      </c>
      <c r="Y41" s="2"/>
      <c r="Z41" s="6">
        <f t="shared" si="23"/>
        <v>-0.75004999999999999</v>
      </c>
    </row>
    <row r="42" spans="1:26" s="24" customFormat="1" hidden="1" outlineLevel="2" x14ac:dyDescent="0.25">
      <c r="A42" s="28"/>
      <c r="B42" s="11" t="str">
        <f>CONCATENATE("          ", "6342", " - ", "BAD DEBT")</f>
        <v xml:space="preserve">          6342 - BAD DEBT</v>
      </c>
      <c r="C42" s="11"/>
      <c r="D42" s="7"/>
      <c r="E42" s="2"/>
      <c r="F42" s="6">
        <f t="shared" si="16"/>
        <v>0</v>
      </c>
      <c r="G42" s="2"/>
      <c r="H42" s="7">
        <v>50</v>
      </c>
      <c r="I42" s="2"/>
      <c r="J42" s="6">
        <f t="shared" si="17"/>
        <v>0</v>
      </c>
      <c r="K42" s="2"/>
      <c r="L42" s="7">
        <f t="shared" si="18"/>
        <v>-50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200</v>
      </c>
      <c r="U42" s="2"/>
      <c r="V42" s="6">
        <f t="shared" si="21"/>
        <v>0</v>
      </c>
      <c r="W42" s="2"/>
      <c r="X42" s="7">
        <f t="shared" si="22"/>
        <v>-200</v>
      </c>
      <c r="Y42" s="2"/>
      <c r="Z42" s="6">
        <f t="shared" si="23"/>
        <v>-1</v>
      </c>
    </row>
    <row r="43" spans="1:26" s="27" customFormat="1" outlineLevel="1" collapsed="1" x14ac:dyDescent="0.25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4600.4799999999996</v>
      </c>
      <c r="E43" s="1"/>
      <c r="F43" s="5">
        <f t="shared" ref="F43:F47" si="24">IF(D$12=0,0,D43/D$12)</f>
        <v>0</v>
      </c>
      <c r="G43" s="1"/>
      <c r="H43" s="1">
        <f>SUM(OSRRefH22_3x_0)</f>
        <v>8000</v>
      </c>
      <c r="I43" s="1"/>
      <c r="J43" s="5">
        <f t="shared" ref="J43:J47" si="25">IF(H$12=0,0,H43/H$12)</f>
        <v>0</v>
      </c>
      <c r="K43" s="1"/>
      <c r="L43" s="1">
        <f t="shared" ref="L43:L47" si="26">+D43-H43</f>
        <v>-3399.5200000000004</v>
      </c>
      <c r="M43" s="1"/>
      <c r="N43" s="5">
        <f t="shared" ref="N43:N47" si="27">IF(H43=0,0,L43/H43)</f>
        <v>-0.42494000000000004</v>
      </c>
      <c r="O43" s="14"/>
      <c r="P43" s="1">
        <f>SUM(OSRRefP22_3x_0)</f>
        <v>37782.080000000002</v>
      </c>
      <c r="Q43" s="1"/>
      <c r="R43" s="5">
        <f t="shared" ref="R43:R47" si="28">IF(P$12=0,0,P43/P$12)</f>
        <v>0</v>
      </c>
      <c r="S43" s="1"/>
      <c r="T43" s="1">
        <f>SUM(OSRRefT22_3x_0)</f>
        <v>76000</v>
      </c>
      <c r="U43" s="1"/>
      <c r="V43" s="5">
        <f t="shared" ref="V43:V47" si="29">IF(T$12=0,0,T43/T$12)</f>
        <v>0</v>
      </c>
      <c r="W43" s="1"/>
      <c r="X43" s="1">
        <f t="shared" ref="X43:X47" si="30">+P43-T43</f>
        <v>-38217.919999999998</v>
      </c>
      <c r="Y43" s="1"/>
      <c r="Z43" s="5">
        <f t="shared" ref="Z43:Z47" si="31">IF(T43=0,0,X43/T43)</f>
        <v>-0.50286736842105262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7">
        <v>4600.4799999999996</v>
      </c>
      <c r="E44" s="2"/>
      <c r="F44" s="6">
        <f t="shared" si="24"/>
        <v>0</v>
      </c>
      <c r="G44" s="2"/>
      <c r="H44" s="7">
        <v>8000</v>
      </c>
      <c r="I44" s="2"/>
      <c r="J44" s="6">
        <f t="shared" si="25"/>
        <v>0</v>
      </c>
      <c r="K44" s="2"/>
      <c r="L44" s="7">
        <f t="shared" si="26"/>
        <v>-3399.5200000000004</v>
      </c>
      <c r="M44" s="2"/>
      <c r="N44" s="6">
        <f t="shared" si="27"/>
        <v>-0.42494000000000004</v>
      </c>
      <c r="O44" s="11"/>
      <c r="P44" s="7">
        <v>37782.080000000002</v>
      </c>
      <c r="Q44" s="2"/>
      <c r="R44" s="6">
        <f t="shared" si="28"/>
        <v>0</v>
      </c>
      <c r="S44" s="2"/>
      <c r="T44" s="7">
        <v>76000</v>
      </c>
      <c r="U44" s="2"/>
      <c r="V44" s="6">
        <f t="shared" si="29"/>
        <v>0</v>
      </c>
      <c r="W44" s="2"/>
      <c r="X44" s="7">
        <f t="shared" si="30"/>
        <v>-38217.919999999998</v>
      </c>
      <c r="Y44" s="2"/>
      <c r="Z44" s="6">
        <f t="shared" si="31"/>
        <v>-0.50286736842105262</v>
      </c>
    </row>
    <row r="45" spans="1:26" s="27" customFormat="1" outlineLevel="1" collapsed="1" x14ac:dyDescent="0.25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30565.98</v>
      </c>
      <c r="E45" s="1"/>
      <c r="F45" s="5">
        <f t="shared" si="24"/>
        <v>0</v>
      </c>
      <c r="G45" s="1"/>
      <c r="H45" s="1">
        <f>SUM(OSRRefH22_4x_0)</f>
        <v>30124</v>
      </c>
      <c r="I45" s="1"/>
      <c r="J45" s="5">
        <f t="shared" si="25"/>
        <v>0</v>
      </c>
      <c r="K45" s="1"/>
      <c r="L45" s="1">
        <f t="shared" si="26"/>
        <v>441.97999999999956</v>
      </c>
      <c r="M45" s="1"/>
      <c r="N45" s="5">
        <f t="shared" si="27"/>
        <v>1.4672022307794436E-2</v>
      </c>
      <c r="O45" s="14"/>
      <c r="P45" s="1">
        <f>SUM(OSRRefP22_4x_0)</f>
        <v>122559.37</v>
      </c>
      <c r="Q45" s="1"/>
      <c r="R45" s="5">
        <f t="shared" si="28"/>
        <v>0</v>
      </c>
      <c r="S45" s="1"/>
      <c r="T45" s="1">
        <f>SUM(OSRRefT22_4x_0)</f>
        <v>121504</v>
      </c>
      <c r="U45" s="1"/>
      <c r="V45" s="5">
        <f t="shared" si="29"/>
        <v>0</v>
      </c>
      <c r="W45" s="1"/>
      <c r="X45" s="1">
        <f t="shared" si="30"/>
        <v>1055.3699999999953</v>
      </c>
      <c r="Y45" s="1"/>
      <c r="Z45" s="5">
        <f t="shared" si="31"/>
        <v>8.685886884382368E-3</v>
      </c>
    </row>
    <row r="46" spans="1:26" s="24" customFormat="1" hidden="1" outlineLevel="2" x14ac:dyDescent="0.25">
      <c r="A46" s="28"/>
      <c r="B46" s="11" t="str">
        <f>CONCATENATE("          ", "6321", " - ", "BUILDING DEPRECIATION")</f>
        <v xml:space="preserve">          6321 - BUILDING DEPRECIATION</v>
      </c>
      <c r="C46" s="11"/>
      <c r="D46" s="7">
        <v>16396.52</v>
      </c>
      <c r="E46" s="2"/>
      <c r="F46" s="6">
        <f t="shared" si="24"/>
        <v>0</v>
      </c>
      <c r="G46" s="2"/>
      <c r="H46" s="7"/>
      <c r="I46" s="2"/>
      <c r="J46" s="6">
        <f t="shared" si="25"/>
        <v>0</v>
      </c>
      <c r="K46" s="2"/>
      <c r="L46" s="7">
        <f t="shared" si="26"/>
        <v>16396.52</v>
      </c>
      <c r="M46" s="2"/>
      <c r="N46" s="6">
        <f t="shared" si="27"/>
        <v>0</v>
      </c>
      <c r="O46" s="11"/>
      <c r="P46" s="7">
        <v>65586.080000000002</v>
      </c>
      <c r="Q46" s="2"/>
      <c r="R46" s="6">
        <f t="shared" si="28"/>
        <v>0</v>
      </c>
      <c r="S46" s="2"/>
      <c r="T46" s="7"/>
      <c r="U46" s="2"/>
      <c r="V46" s="6">
        <f t="shared" si="29"/>
        <v>0</v>
      </c>
      <c r="W46" s="2"/>
      <c r="X46" s="7">
        <f t="shared" si="30"/>
        <v>65586.080000000002</v>
      </c>
      <c r="Y46" s="2"/>
      <c r="Z46" s="6">
        <f t="shared" si="31"/>
        <v>0</v>
      </c>
    </row>
    <row r="47" spans="1:26" s="24" customFormat="1" hidden="1" outlineLevel="2" x14ac:dyDescent="0.25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14169.46</v>
      </c>
      <c r="E47" s="2"/>
      <c r="F47" s="6">
        <f t="shared" si="24"/>
        <v>0</v>
      </c>
      <c r="G47" s="2"/>
      <c r="H47" s="7">
        <v>30124</v>
      </c>
      <c r="I47" s="2"/>
      <c r="J47" s="6">
        <f t="shared" si="25"/>
        <v>0</v>
      </c>
      <c r="K47" s="2"/>
      <c r="L47" s="7">
        <f t="shared" si="26"/>
        <v>-15954.54</v>
      </c>
      <c r="M47" s="2"/>
      <c r="N47" s="6">
        <f t="shared" si="27"/>
        <v>-0.52962886734829373</v>
      </c>
      <c r="O47" s="11"/>
      <c r="P47" s="7">
        <v>56973.29</v>
      </c>
      <c r="Q47" s="2"/>
      <c r="R47" s="6">
        <f t="shared" si="28"/>
        <v>0</v>
      </c>
      <c r="S47" s="2"/>
      <c r="T47" s="7">
        <v>121504</v>
      </c>
      <c r="U47" s="2"/>
      <c r="V47" s="6">
        <f t="shared" si="29"/>
        <v>0</v>
      </c>
      <c r="W47" s="2"/>
      <c r="X47" s="7">
        <f t="shared" si="30"/>
        <v>-64530.71</v>
      </c>
      <c r="Y47" s="2"/>
      <c r="Z47" s="6">
        <f t="shared" si="31"/>
        <v>-0.53109946997629709</v>
      </c>
    </row>
    <row r="48" spans="1:26" s="27" customFormat="1" outlineLevel="1" collapsed="1" x14ac:dyDescent="0.25">
      <c r="A48" s="29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SUM(OSRRefD22_5x_0)</f>
        <v>0</v>
      </c>
      <c r="E48" s="1"/>
      <c r="F48" s="5">
        <f t="shared" ref="F48:F68" si="32">IF(D$12=0,0,D48/D$12)</f>
        <v>0</v>
      </c>
      <c r="G48" s="1"/>
      <c r="H48" s="1">
        <f>SUM(OSRRefH22_5x_0)</f>
        <v>1000</v>
      </c>
      <c r="I48" s="1"/>
      <c r="J48" s="5">
        <f t="shared" ref="J48:J68" si="33">IF(H$12=0,0,H48/H$12)</f>
        <v>0</v>
      </c>
      <c r="K48" s="1"/>
      <c r="L48" s="1">
        <f t="shared" ref="L48:L68" si="34">+D48-H48</f>
        <v>-1000</v>
      </c>
      <c r="M48" s="1"/>
      <c r="N48" s="5">
        <f t="shared" ref="N48:N68" si="35">IF(H48=0,0,L48/H48)</f>
        <v>-1</v>
      </c>
      <c r="O48" s="14"/>
      <c r="P48" s="1">
        <f>SUM(OSRRefP22_5x_0)</f>
        <v>0</v>
      </c>
      <c r="Q48" s="1"/>
      <c r="R48" s="5">
        <f t="shared" ref="R48:R68" si="36">IF(P$12=0,0,P48/P$12)</f>
        <v>0</v>
      </c>
      <c r="S48" s="1"/>
      <c r="T48" s="1">
        <f>SUM(OSRRefT22_5x_0)</f>
        <v>4000</v>
      </c>
      <c r="U48" s="1"/>
      <c r="V48" s="5">
        <f t="shared" ref="V48:V68" si="37">IF(T$12=0,0,T48/T$12)</f>
        <v>0</v>
      </c>
      <c r="W48" s="1"/>
      <c r="X48" s="1">
        <f t="shared" ref="X48:X68" si="38">+P48-T48</f>
        <v>-4000</v>
      </c>
      <c r="Y48" s="1"/>
      <c r="Z48" s="5">
        <f t="shared" ref="Z48:Z68" si="39">IF(T48=0,0,X48/T48)</f>
        <v>-1</v>
      </c>
    </row>
    <row r="49" spans="1:26" s="24" customFormat="1" hidden="1" outlineLevel="2" x14ac:dyDescent="0.25">
      <c r="A49" s="28"/>
      <c r="B49" s="11" t="str">
        <f>CONCATENATE("          ", "6399", " - ", "DONATION-ON CAMPUS")</f>
        <v xml:space="preserve">          6399 - DONATION-ON CAMPUS</v>
      </c>
      <c r="C49" s="11"/>
      <c r="D49" s="7"/>
      <c r="E49" s="2"/>
      <c r="F49" s="6">
        <f t="shared" si="32"/>
        <v>0</v>
      </c>
      <c r="G49" s="2"/>
      <c r="H49" s="7">
        <v>1000</v>
      </c>
      <c r="I49" s="2"/>
      <c r="J49" s="6">
        <f t="shared" si="33"/>
        <v>0</v>
      </c>
      <c r="K49" s="2"/>
      <c r="L49" s="7">
        <f t="shared" si="34"/>
        <v>-1000</v>
      </c>
      <c r="M49" s="2"/>
      <c r="N49" s="6">
        <f t="shared" si="35"/>
        <v>-1</v>
      </c>
      <c r="O49" s="11"/>
      <c r="P49" s="7"/>
      <c r="Q49" s="2"/>
      <c r="R49" s="6">
        <f t="shared" si="36"/>
        <v>0</v>
      </c>
      <c r="S49" s="2"/>
      <c r="T49" s="7">
        <v>4000</v>
      </c>
      <c r="U49" s="2"/>
      <c r="V49" s="6">
        <f t="shared" si="37"/>
        <v>0</v>
      </c>
      <c r="W49" s="2"/>
      <c r="X49" s="7">
        <f t="shared" si="38"/>
        <v>-4000</v>
      </c>
      <c r="Y49" s="2"/>
      <c r="Z49" s="6">
        <f t="shared" si="39"/>
        <v>-1</v>
      </c>
    </row>
    <row r="50" spans="1:26" s="27" customFormat="1" outlineLevel="1" collapsed="1" x14ac:dyDescent="0.25">
      <c r="A50" s="29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SUM(OSRRefD22_6x_0)</f>
        <v>0</v>
      </c>
      <c r="E50" s="1"/>
      <c r="F50" s="5">
        <f t="shared" si="32"/>
        <v>0</v>
      </c>
      <c r="G50" s="1"/>
      <c r="H50" s="1">
        <f>SUM(OSRRefH22_6x_0)</f>
        <v>125</v>
      </c>
      <c r="I50" s="1"/>
      <c r="J50" s="5">
        <f t="shared" si="33"/>
        <v>0</v>
      </c>
      <c r="K50" s="1"/>
      <c r="L50" s="1">
        <f t="shared" si="34"/>
        <v>-125</v>
      </c>
      <c r="M50" s="1"/>
      <c r="N50" s="5">
        <f t="shared" si="35"/>
        <v>-1</v>
      </c>
      <c r="O50" s="14"/>
      <c r="P50" s="1">
        <f>SUM(OSRRefP22_6x_0)</f>
        <v>0</v>
      </c>
      <c r="Q50" s="1"/>
      <c r="R50" s="5">
        <f t="shared" si="36"/>
        <v>0</v>
      </c>
      <c r="S50" s="1"/>
      <c r="T50" s="1">
        <f>SUM(OSRRefT22_6x_0)</f>
        <v>550</v>
      </c>
      <c r="U50" s="1"/>
      <c r="V50" s="5">
        <f t="shared" si="37"/>
        <v>0</v>
      </c>
      <c r="W50" s="1"/>
      <c r="X50" s="1">
        <f t="shared" si="38"/>
        <v>-550</v>
      </c>
      <c r="Y50" s="1"/>
      <c r="Z50" s="5">
        <f t="shared" si="39"/>
        <v>-1</v>
      </c>
    </row>
    <row r="51" spans="1:26" s="24" customFormat="1" hidden="1" outlineLevel="2" x14ac:dyDescent="0.25">
      <c r="A51" s="28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32"/>
        <v>0</v>
      </c>
      <c r="G51" s="2"/>
      <c r="H51" s="7">
        <v>125</v>
      </c>
      <c r="I51" s="2"/>
      <c r="J51" s="6">
        <f t="shared" si="33"/>
        <v>0</v>
      </c>
      <c r="K51" s="2"/>
      <c r="L51" s="7">
        <f t="shared" si="34"/>
        <v>-125</v>
      </c>
      <c r="M51" s="2"/>
      <c r="N51" s="6">
        <f t="shared" si="35"/>
        <v>-1</v>
      </c>
      <c r="O51" s="11"/>
      <c r="P51" s="7"/>
      <c r="Q51" s="2"/>
      <c r="R51" s="6">
        <f t="shared" si="36"/>
        <v>0</v>
      </c>
      <c r="S51" s="2"/>
      <c r="T51" s="7">
        <v>550</v>
      </c>
      <c r="U51" s="2"/>
      <c r="V51" s="6">
        <f t="shared" si="37"/>
        <v>0</v>
      </c>
      <c r="W51" s="2"/>
      <c r="X51" s="7">
        <f t="shared" si="38"/>
        <v>-550</v>
      </c>
      <c r="Y51" s="2"/>
      <c r="Z51" s="6">
        <f t="shared" si="39"/>
        <v>-1</v>
      </c>
    </row>
    <row r="52" spans="1:26" s="27" customFormat="1" outlineLevel="1" collapsed="1" x14ac:dyDescent="0.25">
      <c r="A52" s="29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SUM(OSRRefD22_7x_0)</f>
        <v>91.26</v>
      </c>
      <c r="E52" s="1"/>
      <c r="F52" s="5">
        <f t="shared" si="32"/>
        <v>0</v>
      </c>
      <c r="G52" s="1"/>
      <c r="H52" s="1">
        <f>SUM(OSRRefH22_7x_0)</f>
        <v>1700</v>
      </c>
      <c r="I52" s="1"/>
      <c r="J52" s="5">
        <f t="shared" si="33"/>
        <v>0</v>
      </c>
      <c r="K52" s="1"/>
      <c r="L52" s="1">
        <f t="shared" si="34"/>
        <v>-1608.74</v>
      </c>
      <c r="M52" s="1"/>
      <c r="N52" s="5">
        <f t="shared" si="35"/>
        <v>-0.94631764705882349</v>
      </c>
      <c r="O52" s="14"/>
      <c r="P52" s="1">
        <f>SUM(OSRRefP22_7x_0)</f>
        <v>688.93</v>
      </c>
      <c r="Q52" s="1"/>
      <c r="R52" s="5">
        <f t="shared" si="36"/>
        <v>0</v>
      </c>
      <c r="S52" s="1"/>
      <c r="T52" s="1">
        <f>SUM(OSRRefT22_7x_0)</f>
        <v>6800</v>
      </c>
      <c r="U52" s="1"/>
      <c r="V52" s="5">
        <f t="shared" si="37"/>
        <v>0</v>
      </c>
      <c r="W52" s="1"/>
      <c r="X52" s="1">
        <f t="shared" si="38"/>
        <v>-6111.07</v>
      </c>
      <c r="Y52" s="1"/>
      <c r="Z52" s="5">
        <f t="shared" si="39"/>
        <v>-0.89868676470588227</v>
      </c>
    </row>
    <row r="53" spans="1:26" s="24" customFormat="1" hidden="1" outlineLevel="2" x14ac:dyDescent="0.25">
      <c r="A53" s="28"/>
      <c r="B53" s="11" t="str">
        <f>CONCATENATE("          ", "6351", " - ", "EQUIPMENT RENTAL")</f>
        <v xml:space="preserve">          6351 - EQUIPMENT RENTAL</v>
      </c>
      <c r="C53" s="11"/>
      <c r="D53" s="7">
        <v>91.26</v>
      </c>
      <c r="E53" s="2"/>
      <c r="F53" s="6">
        <f t="shared" si="32"/>
        <v>0</v>
      </c>
      <c r="G53" s="2"/>
      <c r="H53" s="7">
        <v>1700</v>
      </c>
      <c r="I53" s="2"/>
      <c r="J53" s="6">
        <f t="shared" si="33"/>
        <v>0</v>
      </c>
      <c r="K53" s="2"/>
      <c r="L53" s="7">
        <f t="shared" si="34"/>
        <v>-1608.74</v>
      </c>
      <c r="M53" s="2"/>
      <c r="N53" s="6">
        <f t="shared" si="35"/>
        <v>-0.94631764705882349</v>
      </c>
      <c r="O53" s="11"/>
      <c r="P53" s="7">
        <v>688.93</v>
      </c>
      <c r="Q53" s="2"/>
      <c r="R53" s="6">
        <f t="shared" si="36"/>
        <v>0</v>
      </c>
      <c r="S53" s="2"/>
      <c r="T53" s="7">
        <v>6800</v>
      </c>
      <c r="U53" s="2"/>
      <c r="V53" s="6">
        <f t="shared" si="37"/>
        <v>0</v>
      </c>
      <c r="W53" s="2"/>
      <c r="X53" s="7">
        <f t="shared" si="38"/>
        <v>-6111.07</v>
      </c>
      <c r="Y53" s="2"/>
      <c r="Z53" s="6">
        <f t="shared" si="39"/>
        <v>-0.89868676470588227</v>
      </c>
    </row>
    <row r="54" spans="1:26" s="27" customFormat="1" outlineLevel="1" collapsed="1" x14ac:dyDescent="0.25">
      <c r="A54" s="29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SUM(OSRRefD22_8x_0)</f>
        <v>15.95</v>
      </c>
      <c r="E54" s="1"/>
      <c r="F54" s="5">
        <f t="shared" si="32"/>
        <v>0</v>
      </c>
      <c r="G54" s="1"/>
      <c r="H54" s="1">
        <f>SUM(OSRRefH22_8x_0)</f>
        <v>10</v>
      </c>
      <c r="I54" s="1"/>
      <c r="J54" s="5">
        <f t="shared" si="33"/>
        <v>0</v>
      </c>
      <c r="K54" s="1"/>
      <c r="L54" s="1">
        <f t="shared" si="34"/>
        <v>5.9499999999999993</v>
      </c>
      <c r="M54" s="1"/>
      <c r="N54" s="5">
        <f t="shared" si="35"/>
        <v>0.59499999999999997</v>
      </c>
      <c r="O54" s="14"/>
      <c r="P54" s="1">
        <f>SUM(OSRRefP22_8x_0)</f>
        <v>647.85</v>
      </c>
      <c r="Q54" s="1"/>
      <c r="R54" s="5">
        <f t="shared" si="36"/>
        <v>0</v>
      </c>
      <c r="S54" s="1"/>
      <c r="T54" s="1">
        <f>SUM(OSRRefT22_8x_0)</f>
        <v>40</v>
      </c>
      <c r="U54" s="1"/>
      <c r="V54" s="5">
        <f t="shared" si="37"/>
        <v>0</v>
      </c>
      <c r="W54" s="1"/>
      <c r="X54" s="1">
        <f t="shared" si="38"/>
        <v>607.85</v>
      </c>
      <c r="Y54" s="1"/>
      <c r="Z54" s="5">
        <f t="shared" si="39"/>
        <v>15.196250000000001</v>
      </c>
    </row>
    <row r="55" spans="1:26" s="24" customFormat="1" hidden="1" outlineLevel="2" x14ac:dyDescent="0.25">
      <c r="A55" s="28"/>
      <c r="B55" s="11" t="str">
        <f>CONCATENATE("          ", "6307", " - ", "POSTAGE")</f>
        <v xml:space="preserve">          6307 - POSTAGE</v>
      </c>
      <c r="C55" s="11"/>
      <c r="D55" s="7">
        <v>15.95</v>
      </c>
      <c r="E55" s="2"/>
      <c r="F55" s="6">
        <f t="shared" si="32"/>
        <v>0</v>
      </c>
      <c r="G55" s="2"/>
      <c r="H55" s="7">
        <v>10</v>
      </c>
      <c r="I55" s="2"/>
      <c r="J55" s="6">
        <f t="shared" si="33"/>
        <v>0</v>
      </c>
      <c r="K55" s="2"/>
      <c r="L55" s="7">
        <f t="shared" si="34"/>
        <v>5.9499999999999993</v>
      </c>
      <c r="M55" s="2"/>
      <c r="N55" s="6">
        <f t="shared" si="35"/>
        <v>0.59499999999999997</v>
      </c>
      <c r="O55" s="11"/>
      <c r="P55" s="7">
        <v>647.85</v>
      </c>
      <c r="Q55" s="2"/>
      <c r="R55" s="6">
        <f t="shared" si="36"/>
        <v>0</v>
      </c>
      <c r="S55" s="2"/>
      <c r="T55" s="7">
        <v>40</v>
      </c>
      <c r="U55" s="2"/>
      <c r="V55" s="6">
        <f t="shared" si="37"/>
        <v>0</v>
      </c>
      <c r="W55" s="2"/>
      <c r="X55" s="7">
        <f t="shared" si="38"/>
        <v>607.85</v>
      </c>
      <c r="Y55" s="2"/>
      <c r="Z55" s="6">
        <f t="shared" si="39"/>
        <v>15.196250000000001</v>
      </c>
    </row>
    <row r="56" spans="1:26" s="27" customFormat="1" outlineLevel="1" collapsed="1" x14ac:dyDescent="0.25">
      <c r="A56" s="29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SUM(OSRRefD22_9x_0)</f>
        <v>0</v>
      </c>
      <c r="E56" s="1"/>
      <c r="F56" s="5">
        <f t="shared" si="32"/>
        <v>0</v>
      </c>
      <c r="G56" s="1"/>
      <c r="H56" s="1">
        <f>SUM(OSRRefH22_9x_0)</f>
        <v>500</v>
      </c>
      <c r="I56" s="1"/>
      <c r="J56" s="5">
        <f t="shared" si="33"/>
        <v>0</v>
      </c>
      <c r="K56" s="1"/>
      <c r="L56" s="1">
        <f t="shared" si="34"/>
        <v>-500</v>
      </c>
      <c r="M56" s="1"/>
      <c r="N56" s="5">
        <f t="shared" si="35"/>
        <v>-1</v>
      </c>
      <c r="O56" s="14"/>
      <c r="P56" s="1">
        <f>SUM(OSRRefP22_9x_0)</f>
        <v>867.81</v>
      </c>
      <c r="Q56" s="1"/>
      <c r="R56" s="5">
        <f t="shared" si="36"/>
        <v>0</v>
      </c>
      <c r="S56" s="1"/>
      <c r="T56" s="1">
        <f>SUM(OSRRefT22_9x_0)</f>
        <v>2000</v>
      </c>
      <c r="U56" s="1"/>
      <c r="V56" s="5">
        <f t="shared" si="37"/>
        <v>0</v>
      </c>
      <c r="W56" s="1"/>
      <c r="X56" s="1">
        <f t="shared" si="38"/>
        <v>-1132.19</v>
      </c>
      <c r="Y56" s="1"/>
      <c r="Z56" s="5">
        <f t="shared" si="39"/>
        <v>-0.56609500000000001</v>
      </c>
    </row>
    <row r="57" spans="1:26" s="24" customFormat="1" hidden="1" outlineLevel="2" x14ac:dyDescent="0.25">
      <c r="A57" s="28"/>
      <c r="B57" s="11" t="str">
        <f>CONCATENATE("          ", "6279", " - ", "GENERAL EXPENSE")</f>
        <v xml:space="preserve">          6279 - GENERAL EXPENSE</v>
      </c>
      <c r="C57" s="11"/>
      <c r="D57" s="7"/>
      <c r="E57" s="2"/>
      <c r="F57" s="6">
        <f t="shared" si="32"/>
        <v>0</v>
      </c>
      <c r="G57" s="2"/>
      <c r="H57" s="7">
        <v>500</v>
      </c>
      <c r="I57" s="2"/>
      <c r="J57" s="6">
        <f t="shared" si="33"/>
        <v>0</v>
      </c>
      <c r="K57" s="2"/>
      <c r="L57" s="7">
        <f t="shared" si="34"/>
        <v>-500</v>
      </c>
      <c r="M57" s="2"/>
      <c r="N57" s="6">
        <f t="shared" si="35"/>
        <v>-1</v>
      </c>
      <c r="O57" s="11"/>
      <c r="P57" s="7">
        <v>867.81</v>
      </c>
      <c r="Q57" s="2"/>
      <c r="R57" s="6">
        <f t="shared" si="36"/>
        <v>0</v>
      </c>
      <c r="S57" s="2"/>
      <c r="T57" s="7">
        <v>2000</v>
      </c>
      <c r="U57" s="2"/>
      <c r="V57" s="6">
        <f t="shared" si="37"/>
        <v>0</v>
      </c>
      <c r="W57" s="2"/>
      <c r="X57" s="7">
        <f t="shared" si="38"/>
        <v>-1132.19</v>
      </c>
      <c r="Y57" s="2"/>
      <c r="Z57" s="6">
        <f t="shared" si="39"/>
        <v>-0.56609500000000001</v>
      </c>
    </row>
    <row r="58" spans="1:26" s="27" customFormat="1" outlineLevel="1" collapsed="1" x14ac:dyDescent="0.25">
      <c r="A58" s="29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SUM(OSRRefD22_10x_0)</f>
        <v>3883.56</v>
      </c>
      <c r="E58" s="1"/>
      <c r="F58" s="5">
        <f t="shared" si="32"/>
        <v>0</v>
      </c>
      <c r="G58" s="1"/>
      <c r="H58" s="1">
        <f>SUM(OSRRefH22_10x_0)</f>
        <v>4270</v>
      </c>
      <c r="I58" s="1"/>
      <c r="J58" s="5">
        <f t="shared" si="33"/>
        <v>0</v>
      </c>
      <c r="K58" s="1"/>
      <c r="L58" s="1">
        <f t="shared" si="34"/>
        <v>-386.44000000000005</v>
      </c>
      <c r="M58" s="1"/>
      <c r="N58" s="5">
        <f t="shared" si="35"/>
        <v>-9.0501170960187366E-2</v>
      </c>
      <c r="O58" s="14"/>
      <c r="P58" s="1">
        <f>SUM(OSRRefP22_10x_0)</f>
        <v>15534.24</v>
      </c>
      <c r="Q58" s="1"/>
      <c r="R58" s="5">
        <f t="shared" si="36"/>
        <v>0</v>
      </c>
      <c r="S58" s="1"/>
      <c r="T58" s="1">
        <f>SUM(OSRRefT22_10x_0)</f>
        <v>17080</v>
      </c>
      <c r="U58" s="1"/>
      <c r="V58" s="5">
        <f t="shared" si="37"/>
        <v>0</v>
      </c>
      <c r="W58" s="1"/>
      <c r="X58" s="1">
        <f t="shared" si="38"/>
        <v>-1545.7600000000002</v>
      </c>
      <c r="Y58" s="1"/>
      <c r="Z58" s="5">
        <f t="shared" si="39"/>
        <v>-9.0501170960187366E-2</v>
      </c>
    </row>
    <row r="59" spans="1:26" s="24" customFormat="1" hidden="1" outlineLevel="2" x14ac:dyDescent="0.25">
      <c r="A59" s="28"/>
      <c r="B59" s="11" t="str">
        <f>CONCATENATE("          ", "6314", " - ", "LIABILITY INSURANCE")</f>
        <v xml:space="preserve">          6314 - LIABILITY INSURANCE</v>
      </c>
      <c r="C59" s="11"/>
      <c r="D59" s="7">
        <v>3883.56</v>
      </c>
      <c r="E59" s="2"/>
      <c r="F59" s="6">
        <f t="shared" si="32"/>
        <v>0</v>
      </c>
      <c r="G59" s="2"/>
      <c r="H59" s="7">
        <v>4270</v>
      </c>
      <c r="I59" s="2"/>
      <c r="J59" s="6">
        <f t="shared" si="33"/>
        <v>0</v>
      </c>
      <c r="K59" s="2"/>
      <c r="L59" s="7">
        <f t="shared" si="34"/>
        <v>-386.44000000000005</v>
      </c>
      <c r="M59" s="2"/>
      <c r="N59" s="6">
        <f t="shared" si="35"/>
        <v>-9.0501170960187366E-2</v>
      </c>
      <c r="O59" s="11"/>
      <c r="P59" s="7">
        <v>15534.24</v>
      </c>
      <c r="Q59" s="2"/>
      <c r="R59" s="6">
        <f t="shared" si="36"/>
        <v>0</v>
      </c>
      <c r="S59" s="2"/>
      <c r="T59" s="7">
        <v>17080</v>
      </c>
      <c r="U59" s="2"/>
      <c r="V59" s="6">
        <f t="shared" si="37"/>
        <v>0</v>
      </c>
      <c r="W59" s="2"/>
      <c r="X59" s="7">
        <f t="shared" si="38"/>
        <v>-1545.7600000000002</v>
      </c>
      <c r="Y59" s="2"/>
      <c r="Z59" s="6">
        <f t="shared" si="39"/>
        <v>-9.0501170960187366E-2</v>
      </c>
    </row>
    <row r="60" spans="1:26" s="27" customFormat="1" outlineLevel="1" collapsed="1" x14ac:dyDescent="0.25">
      <c r="A60" s="29"/>
      <c r="B60" s="14" t="str">
        <f>CONCATENATE("     ","Inventory Adjustment                              ")</f>
        <v xml:space="preserve">     Inventory Adjustment                              </v>
      </c>
      <c r="C60" s="14"/>
      <c r="D60" s="1">
        <f>SUM(OSRRefD22_11x_0)</f>
        <v>0</v>
      </c>
      <c r="E60" s="1"/>
      <c r="F60" s="5">
        <f t="shared" si="32"/>
        <v>0</v>
      </c>
      <c r="G60" s="1"/>
      <c r="H60" s="1">
        <f>SUM(OSRRefH22_11x_0)</f>
        <v>1000</v>
      </c>
      <c r="I60" s="1"/>
      <c r="J60" s="5">
        <f t="shared" si="33"/>
        <v>0</v>
      </c>
      <c r="K60" s="1"/>
      <c r="L60" s="1">
        <f t="shared" si="34"/>
        <v>-1000</v>
      </c>
      <c r="M60" s="1"/>
      <c r="N60" s="5">
        <f t="shared" si="35"/>
        <v>-1</v>
      </c>
      <c r="O60" s="14"/>
      <c r="P60" s="1">
        <f>SUM(OSRRefP22_11x_0)</f>
        <v>0</v>
      </c>
      <c r="Q60" s="1"/>
      <c r="R60" s="5">
        <f t="shared" si="36"/>
        <v>0</v>
      </c>
      <c r="S60" s="1"/>
      <c r="T60" s="1">
        <f>SUM(OSRRefT22_11x_0)</f>
        <v>4000</v>
      </c>
      <c r="U60" s="1"/>
      <c r="V60" s="5">
        <f t="shared" si="37"/>
        <v>0</v>
      </c>
      <c r="W60" s="1"/>
      <c r="X60" s="1">
        <f t="shared" si="38"/>
        <v>-4000</v>
      </c>
      <c r="Y60" s="1"/>
      <c r="Z60" s="5">
        <f t="shared" si="39"/>
        <v>-1</v>
      </c>
    </row>
    <row r="61" spans="1:26" s="24" customFormat="1" hidden="1" outlineLevel="2" x14ac:dyDescent="0.25">
      <c r="A61" s="28"/>
      <c r="B61" s="11" t="str">
        <f>CONCATENATE("          ", "6408", " - ", "INVENTORY ADJUSTMENT")</f>
        <v xml:space="preserve">          6408 - INVENTORY ADJUSTMENT</v>
      </c>
      <c r="C61" s="11"/>
      <c r="D61" s="7"/>
      <c r="E61" s="2"/>
      <c r="F61" s="6">
        <f t="shared" si="32"/>
        <v>0</v>
      </c>
      <c r="G61" s="2"/>
      <c r="H61" s="7">
        <v>1000</v>
      </c>
      <c r="I61" s="2"/>
      <c r="J61" s="6">
        <f t="shared" si="33"/>
        <v>0</v>
      </c>
      <c r="K61" s="2"/>
      <c r="L61" s="7">
        <f t="shared" si="34"/>
        <v>-1000</v>
      </c>
      <c r="M61" s="2"/>
      <c r="N61" s="6">
        <f t="shared" si="35"/>
        <v>-1</v>
      </c>
      <c r="O61" s="11"/>
      <c r="P61" s="7"/>
      <c r="Q61" s="2"/>
      <c r="R61" s="6">
        <f t="shared" si="36"/>
        <v>0</v>
      </c>
      <c r="S61" s="2"/>
      <c r="T61" s="7">
        <v>4000</v>
      </c>
      <c r="U61" s="2"/>
      <c r="V61" s="6">
        <f t="shared" si="37"/>
        <v>0</v>
      </c>
      <c r="W61" s="2"/>
      <c r="X61" s="7">
        <f t="shared" si="38"/>
        <v>-4000</v>
      </c>
      <c r="Y61" s="2"/>
      <c r="Z61" s="6">
        <f t="shared" si="39"/>
        <v>-1</v>
      </c>
    </row>
    <row r="62" spans="1:26" s="27" customFormat="1" outlineLevel="1" collapsed="1" x14ac:dyDescent="0.25">
      <c r="A62" s="29"/>
      <c r="B62" s="14" t="str">
        <f>CONCATENATE("     ","Rent                                              ")</f>
        <v xml:space="preserve">     Rent                                              </v>
      </c>
      <c r="C62" s="14"/>
      <c r="D62" s="1">
        <f>SUM(OSRRefD22_12x_0)</f>
        <v>-800</v>
      </c>
      <c r="E62" s="1"/>
      <c r="F62" s="5">
        <f t="shared" si="32"/>
        <v>0</v>
      </c>
      <c r="G62" s="1"/>
      <c r="H62" s="1">
        <f>SUM(OSRRefH22_12x_0)</f>
        <v>-800</v>
      </c>
      <c r="I62" s="1"/>
      <c r="J62" s="5">
        <f t="shared" si="33"/>
        <v>0</v>
      </c>
      <c r="K62" s="1"/>
      <c r="L62" s="1">
        <f t="shared" si="34"/>
        <v>0</v>
      </c>
      <c r="M62" s="1"/>
      <c r="N62" s="5">
        <f t="shared" si="35"/>
        <v>0</v>
      </c>
      <c r="O62" s="14"/>
      <c r="P62" s="1">
        <f>SUM(OSRRefP22_12x_0)</f>
        <v>-3200</v>
      </c>
      <c r="Q62" s="1"/>
      <c r="R62" s="5">
        <f t="shared" si="36"/>
        <v>0</v>
      </c>
      <c r="S62" s="1"/>
      <c r="T62" s="1">
        <f>SUM(OSRRefT22_12x_0)</f>
        <v>-3200</v>
      </c>
      <c r="U62" s="1"/>
      <c r="V62" s="5">
        <f t="shared" si="37"/>
        <v>0</v>
      </c>
      <c r="W62" s="1"/>
      <c r="X62" s="1">
        <f t="shared" si="38"/>
        <v>0</v>
      </c>
      <c r="Y62" s="1"/>
      <c r="Z62" s="5">
        <f t="shared" si="39"/>
        <v>0</v>
      </c>
    </row>
    <row r="63" spans="1:26" s="24" customFormat="1" hidden="1" outlineLevel="2" x14ac:dyDescent="0.25">
      <c r="A63" s="28"/>
      <c r="B63" s="11" t="str">
        <f>CONCATENATE("          ", "6273", " - ", "RENT")</f>
        <v xml:space="preserve">          6273 - RENT</v>
      </c>
      <c r="C63" s="11"/>
      <c r="D63" s="7">
        <v>-800</v>
      </c>
      <c r="E63" s="2"/>
      <c r="F63" s="6">
        <f t="shared" si="32"/>
        <v>0</v>
      </c>
      <c r="G63" s="2"/>
      <c r="H63" s="7">
        <v>-800</v>
      </c>
      <c r="I63" s="2"/>
      <c r="J63" s="6">
        <f t="shared" si="33"/>
        <v>0</v>
      </c>
      <c r="K63" s="2"/>
      <c r="L63" s="7">
        <f t="shared" si="34"/>
        <v>0</v>
      </c>
      <c r="M63" s="2"/>
      <c r="N63" s="6">
        <f t="shared" si="35"/>
        <v>0</v>
      </c>
      <c r="O63" s="11"/>
      <c r="P63" s="7">
        <v>-3200</v>
      </c>
      <c r="Q63" s="2"/>
      <c r="R63" s="6">
        <f t="shared" si="36"/>
        <v>0</v>
      </c>
      <c r="S63" s="2"/>
      <c r="T63" s="7">
        <v>-3200</v>
      </c>
      <c r="U63" s="2"/>
      <c r="V63" s="6">
        <f t="shared" si="37"/>
        <v>0</v>
      </c>
      <c r="W63" s="2"/>
      <c r="X63" s="7">
        <f t="shared" si="38"/>
        <v>0</v>
      </c>
      <c r="Y63" s="2"/>
      <c r="Z63" s="6">
        <f t="shared" si="39"/>
        <v>0</v>
      </c>
    </row>
    <row r="64" spans="1:26" s="27" customFormat="1" outlineLevel="1" collapsed="1" x14ac:dyDescent="0.25">
      <c r="A64" s="29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SUM(OSRRefD22_13x_0)</f>
        <v>6258.34</v>
      </c>
      <c r="E64" s="1"/>
      <c r="F64" s="5">
        <f t="shared" si="32"/>
        <v>0</v>
      </c>
      <c r="G64" s="1"/>
      <c r="H64" s="1">
        <f>SUM(OSRRefH22_13x_0)</f>
        <v>9000</v>
      </c>
      <c r="I64" s="1"/>
      <c r="J64" s="5">
        <f t="shared" si="33"/>
        <v>0</v>
      </c>
      <c r="K64" s="1"/>
      <c r="L64" s="1">
        <f t="shared" si="34"/>
        <v>-2741.66</v>
      </c>
      <c r="M64" s="1"/>
      <c r="N64" s="5">
        <f t="shared" si="35"/>
        <v>-0.30462888888888889</v>
      </c>
      <c r="O64" s="14"/>
      <c r="P64" s="1">
        <f>SUM(OSRRefP22_13x_0)</f>
        <v>73524.22</v>
      </c>
      <c r="Q64" s="1"/>
      <c r="R64" s="5">
        <f t="shared" si="36"/>
        <v>0</v>
      </c>
      <c r="S64" s="1"/>
      <c r="T64" s="1">
        <f>SUM(OSRRefT22_13x_0)</f>
        <v>81000</v>
      </c>
      <c r="U64" s="1"/>
      <c r="V64" s="5">
        <f t="shared" si="37"/>
        <v>0</v>
      </c>
      <c r="W64" s="1"/>
      <c r="X64" s="1">
        <f t="shared" si="38"/>
        <v>-7475.7799999999988</v>
      </c>
      <c r="Y64" s="1"/>
      <c r="Z64" s="5">
        <f t="shared" si="39"/>
        <v>-9.2293580246913559E-2</v>
      </c>
    </row>
    <row r="65" spans="1:26" s="24" customFormat="1" hidden="1" outlineLevel="2" x14ac:dyDescent="0.25">
      <c r="A65" s="28"/>
      <c r="B65" s="11" t="str">
        <f>CONCATENATE("          ", "6371", " - ", "COMPUTER SOFTWARE MAINTENANCE")</f>
        <v xml:space="preserve">          6371 - COMPUTER SOFTWARE MAINTENANCE</v>
      </c>
      <c r="C65" s="11"/>
      <c r="D65" s="7"/>
      <c r="E65" s="2"/>
      <c r="F65" s="6">
        <f t="shared" si="32"/>
        <v>0</v>
      </c>
      <c r="G65" s="2"/>
      <c r="H65" s="7"/>
      <c r="I65" s="2"/>
      <c r="J65" s="6">
        <f t="shared" si="33"/>
        <v>0</v>
      </c>
      <c r="K65" s="2"/>
      <c r="L65" s="7">
        <f t="shared" si="34"/>
        <v>0</v>
      </c>
      <c r="M65" s="2"/>
      <c r="N65" s="6">
        <f t="shared" si="35"/>
        <v>0</v>
      </c>
      <c r="O65" s="11"/>
      <c r="P65" s="7">
        <v>58428.780000000006</v>
      </c>
      <c r="Q65" s="2"/>
      <c r="R65" s="6">
        <f t="shared" si="36"/>
        <v>0</v>
      </c>
      <c r="S65" s="2"/>
      <c r="T65" s="7">
        <v>45000</v>
      </c>
      <c r="U65" s="2"/>
      <c r="V65" s="6">
        <f t="shared" si="37"/>
        <v>0</v>
      </c>
      <c r="W65" s="2"/>
      <c r="X65" s="7">
        <f t="shared" si="38"/>
        <v>13428.780000000006</v>
      </c>
      <c r="Y65" s="2"/>
      <c r="Z65" s="6">
        <f t="shared" si="39"/>
        <v>0.29841733333333348</v>
      </c>
    </row>
    <row r="66" spans="1:26" s="24" customFormat="1" hidden="1" outlineLevel="2" x14ac:dyDescent="0.25">
      <c r="A66" s="28"/>
      <c r="B66" s="11" t="str">
        <f>CONCATENATE("          ", "6372", " - ", "COMPUTER HARDWARE MAINTENANCE")</f>
        <v xml:space="preserve">          6372 - COMPUTER HARDWARE MAINTENANCE</v>
      </c>
      <c r="C66" s="11"/>
      <c r="D66" s="7">
        <v>8.11</v>
      </c>
      <c r="E66" s="2"/>
      <c r="F66" s="6">
        <f t="shared" si="32"/>
        <v>0</v>
      </c>
      <c r="G66" s="2"/>
      <c r="H66" s="7"/>
      <c r="I66" s="2"/>
      <c r="J66" s="6">
        <f t="shared" si="33"/>
        <v>0</v>
      </c>
      <c r="K66" s="2"/>
      <c r="L66" s="7">
        <f t="shared" si="34"/>
        <v>8.11</v>
      </c>
      <c r="M66" s="2"/>
      <c r="N66" s="6">
        <f t="shared" si="35"/>
        <v>0</v>
      </c>
      <c r="O66" s="11"/>
      <c r="P66" s="7">
        <v>0</v>
      </c>
      <c r="Q66" s="2"/>
      <c r="R66" s="6">
        <f t="shared" si="36"/>
        <v>0</v>
      </c>
      <c r="S66" s="2"/>
      <c r="T66" s="7"/>
      <c r="U66" s="2"/>
      <c r="V66" s="6">
        <f t="shared" si="37"/>
        <v>0</v>
      </c>
      <c r="W66" s="2"/>
      <c r="X66" s="7">
        <f t="shared" si="38"/>
        <v>0</v>
      </c>
      <c r="Y66" s="2"/>
      <c r="Z66" s="6">
        <f t="shared" si="39"/>
        <v>0</v>
      </c>
    </row>
    <row r="67" spans="1:26" s="24" customFormat="1" hidden="1" outlineLevel="2" x14ac:dyDescent="0.25">
      <c r="A67" s="28"/>
      <c r="B67" s="11" t="str">
        <f>CONCATENATE("          ", "6373", " - ", "MAINTENANCE CONTRACTS")</f>
        <v xml:space="preserve">          6373 - MAINTENANCE CONTRACTS</v>
      </c>
      <c r="C67" s="11"/>
      <c r="D67" s="7">
        <v>110.6</v>
      </c>
      <c r="E67" s="2"/>
      <c r="F67" s="6">
        <f t="shared" si="32"/>
        <v>0</v>
      </c>
      <c r="G67" s="2"/>
      <c r="H67" s="7">
        <v>1000</v>
      </c>
      <c r="I67" s="2"/>
      <c r="J67" s="6">
        <f t="shared" si="33"/>
        <v>0</v>
      </c>
      <c r="K67" s="2"/>
      <c r="L67" s="7">
        <f t="shared" si="34"/>
        <v>-889.4</v>
      </c>
      <c r="M67" s="2"/>
      <c r="N67" s="6">
        <f t="shared" si="35"/>
        <v>-0.88939999999999997</v>
      </c>
      <c r="O67" s="11"/>
      <c r="P67" s="7">
        <v>6198.37</v>
      </c>
      <c r="Q67" s="2"/>
      <c r="R67" s="6">
        <f t="shared" si="36"/>
        <v>0</v>
      </c>
      <c r="S67" s="2"/>
      <c r="T67" s="7">
        <v>4000</v>
      </c>
      <c r="U67" s="2"/>
      <c r="V67" s="6">
        <f t="shared" si="37"/>
        <v>0</v>
      </c>
      <c r="W67" s="2"/>
      <c r="X67" s="7">
        <f t="shared" si="38"/>
        <v>2198.37</v>
      </c>
      <c r="Y67" s="2"/>
      <c r="Z67" s="6">
        <f t="shared" si="39"/>
        <v>0.54959249999999993</v>
      </c>
    </row>
    <row r="68" spans="1:26" s="24" customFormat="1" hidden="1" outlineLevel="2" x14ac:dyDescent="0.25">
      <c r="A68" s="28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6139.63</v>
      </c>
      <c r="E68" s="2"/>
      <c r="F68" s="6">
        <f t="shared" si="32"/>
        <v>0</v>
      </c>
      <c r="G68" s="2"/>
      <c r="H68" s="7">
        <v>8000</v>
      </c>
      <c r="I68" s="2"/>
      <c r="J68" s="6">
        <f t="shared" si="33"/>
        <v>0</v>
      </c>
      <c r="K68" s="2"/>
      <c r="L68" s="7">
        <f t="shared" si="34"/>
        <v>-1860.37</v>
      </c>
      <c r="M68" s="2"/>
      <c r="N68" s="6">
        <f t="shared" si="35"/>
        <v>-0.23254624999999998</v>
      </c>
      <c r="O68" s="11"/>
      <c r="P68" s="7">
        <v>8897.07</v>
      </c>
      <c r="Q68" s="2"/>
      <c r="R68" s="6">
        <f t="shared" si="36"/>
        <v>0</v>
      </c>
      <c r="S68" s="2"/>
      <c r="T68" s="7">
        <v>32000</v>
      </c>
      <c r="U68" s="2"/>
      <c r="V68" s="6">
        <f t="shared" si="37"/>
        <v>0</v>
      </c>
      <c r="W68" s="2"/>
      <c r="X68" s="7">
        <f t="shared" si="38"/>
        <v>-23102.93</v>
      </c>
      <c r="Y68" s="2"/>
      <c r="Z68" s="6">
        <f t="shared" si="39"/>
        <v>-0.72196656250000002</v>
      </c>
    </row>
    <row r="69" spans="1:26" s="27" customFormat="1" outlineLevel="1" collapsed="1" x14ac:dyDescent="0.25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SUM(OSRRefD22_14x_0)</f>
        <v>3871.5600000000004</v>
      </c>
      <c r="E69" s="1"/>
      <c r="F69" s="5">
        <f t="shared" ref="F69:F72" si="40">IF(D$12=0,0,D69/D$12)</f>
        <v>0</v>
      </c>
      <c r="G69" s="1"/>
      <c r="H69" s="1">
        <f>SUM(OSRRefH22_14x_0)</f>
        <v>4300</v>
      </c>
      <c r="I69" s="1"/>
      <c r="J69" s="5">
        <f t="shared" ref="J69:J72" si="41">IF(H$12=0,0,H69/H$12)</f>
        <v>0</v>
      </c>
      <c r="K69" s="1"/>
      <c r="L69" s="1">
        <f t="shared" ref="L69:L72" si="42">+D69-H69</f>
        <v>-428.4399999999996</v>
      </c>
      <c r="M69" s="1"/>
      <c r="N69" s="5">
        <f t="shared" ref="N69:N72" si="43">IF(H69=0,0,L69/H69)</f>
        <v>-9.9637209302325488E-2</v>
      </c>
      <c r="O69" s="14"/>
      <c r="P69" s="1">
        <f>SUM(OSRRefP22_14x_0)</f>
        <v>12828.86</v>
      </c>
      <c r="Q69" s="1"/>
      <c r="R69" s="5">
        <f t="shared" ref="R69:R72" si="44">IF(P$12=0,0,P69/P$12)</f>
        <v>0</v>
      </c>
      <c r="S69" s="1"/>
      <c r="T69" s="1">
        <f>SUM(OSRRefT22_14x_0)</f>
        <v>17200</v>
      </c>
      <c r="U69" s="1"/>
      <c r="V69" s="5">
        <f t="shared" ref="V69:V72" si="45">IF(T$12=0,0,T69/T$12)</f>
        <v>0</v>
      </c>
      <c r="W69" s="1"/>
      <c r="X69" s="1">
        <f t="shared" ref="X69:X72" si="46">+P69-T69</f>
        <v>-4371.1399999999994</v>
      </c>
      <c r="Y69" s="1"/>
      <c r="Z69" s="5">
        <f t="shared" ref="Z69:Z72" si="47">IF(T69=0,0,X69/T69)</f>
        <v>-0.25413604651162786</v>
      </c>
    </row>
    <row r="70" spans="1:26" s="24" customFormat="1" hidden="1" outlineLevel="2" x14ac:dyDescent="0.25">
      <c r="A70" s="28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4330.68</v>
      </c>
      <c r="E70" s="2"/>
      <c r="F70" s="6">
        <f t="shared" si="40"/>
        <v>0</v>
      </c>
      <c r="G70" s="2"/>
      <c r="H70" s="7">
        <v>4000</v>
      </c>
      <c r="I70" s="2"/>
      <c r="J70" s="6">
        <f t="shared" si="41"/>
        <v>0</v>
      </c>
      <c r="K70" s="2"/>
      <c r="L70" s="7">
        <f t="shared" si="42"/>
        <v>330.68000000000029</v>
      </c>
      <c r="M70" s="2"/>
      <c r="N70" s="6">
        <f t="shared" si="43"/>
        <v>8.2670000000000077E-2</v>
      </c>
      <c r="O70" s="11"/>
      <c r="P70" s="7">
        <v>4941.62</v>
      </c>
      <c r="Q70" s="2"/>
      <c r="R70" s="6">
        <f t="shared" si="44"/>
        <v>0</v>
      </c>
      <c r="S70" s="2"/>
      <c r="T70" s="7">
        <v>16000</v>
      </c>
      <c r="U70" s="2"/>
      <c r="V70" s="6">
        <f t="shared" si="45"/>
        <v>0</v>
      </c>
      <c r="W70" s="2"/>
      <c r="X70" s="7">
        <f t="shared" si="46"/>
        <v>-11058.380000000001</v>
      </c>
      <c r="Y70" s="2"/>
      <c r="Z70" s="6">
        <f t="shared" si="47"/>
        <v>-0.69114875000000009</v>
      </c>
    </row>
    <row r="71" spans="1:26" s="24" customFormat="1" hidden="1" outlineLevel="2" x14ac:dyDescent="0.25">
      <c r="A71" s="28"/>
      <c r="B71" s="11" t="str">
        <f>CONCATENATE("          ", "6283", " - ", "PLANT SERVICE")</f>
        <v xml:space="preserve">          6283 - PLANT SERVICE</v>
      </c>
      <c r="C71" s="11"/>
      <c r="D71" s="7"/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>
        <v>130</v>
      </c>
      <c r="Q71" s="2"/>
      <c r="R71" s="6">
        <f t="shared" si="44"/>
        <v>0</v>
      </c>
      <c r="S71" s="2"/>
      <c r="T71" s="7"/>
      <c r="U71" s="2"/>
      <c r="V71" s="6">
        <f t="shared" si="45"/>
        <v>0</v>
      </c>
      <c r="W71" s="2"/>
      <c r="X71" s="7">
        <f t="shared" si="46"/>
        <v>130</v>
      </c>
      <c r="Y71" s="2"/>
      <c r="Z71" s="6">
        <f t="shared" si="47"/>
        <v>0</v>
      </c>
    </row>
    <row r="72" spans="1:26" s="24" customFormat="1" hidden="1" outlineLevel="2" x14ac:dyDescent="0.25">
      <c r="A72" s="28"/>
      <c r="B72" s="11" t="str">
        <f>CONCATENATE("          ", "6285", " - ", "JANITORIAL SERVICES")</f>
        <v xml:space="preserve">          6285 - JANITORIAL SERVICES</v>
      </c>
      <c r="C72" s="11"/>
      <c r="D72" s="7">
        <v>-459.12</v>
      </c>
      <c r="E72" s="2"/>
      <c r="F72" s="6">
        <f t="shared" si="40"/>
        <v>0</v>
      </c>
      <c r="G72" s="2"/>
      <c r="H72" s="7">
        <v>300</v>
      </c>
      <c r="I72" s="2"/>
      <c r="J72" s="6">
        <f t="shared" si="41"/>
        <v>0</v>
      </c>
      <c r="K72" s="2"/>
      <c r="L72" s="7">
        <f t="shared" si="42"/>
        <v>-759.12</v>
      </c>
      <c r="M72" s="2"/>
      <c r="N72" s="6">
        <f t="shared" si="43"/>
        <v>-2.5304000000000002</v>
      </c>
      <c r="O72" s="11"/>
      <c r="P72" s="7">
        <v>7757.24</v>
      </c>
      <c r="Q72" s="2"/>
      <c r="R72" s="6">
        <f t="shared" si="44"/>
        <v>0</v>
      </c>
      <c r="S72" s="2"/>
      <c r="T72" s="7">
        <v>1200</v>
      </c>
      <c r="U72" s="2"/>
      <c r="V72" s="6">
        <f t="shared" si="45"/>
        <v>0</v>
      </c>
      <c r="W72" s="2"/>
      <c r="X72" s="7">
        <f t="shared" si="46"/>
        <v>6557.24</v>
      </c>
      <c r="Y72" s="2"/>
      <c r="Z72" s="6">
        <f t="shared" si="47"/>
        <v>5.4643666666666668</v>
      </c>
    </row>
    <row r="73" spans="1:26" s="27" customFormat="1" outlineLevel="1" collapsed="1" x14ac:dyDescent="0.25">
      <c r="A73" s="29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SUM(OSRRefD22_15x_0)</f>
        <v>0</v>
      </c>
      <c r="E73" s="1"/>
      <c r="F73" s="5">
        <f t="shared" ref="F73:F82" si="48">IF(D$12=0,0,D73/D$12)</f>
        <v>0</v>
      </c>
      <c r="G73" s="1"/>
      <c r="H73" s="1">
        <f>SUM(OSRRefH22_15x_0)</f>
        <v>800</v>
      </c>
      <c r="I73" s="1"/>
      <c r="J73" s="5">
        <f t="shared" ref="J73:J82" si="49">IF(H$12=0,0,H73/H$12)</f>
        <v>0</v>
      </c>
      <c r="K73" s="1"/>
      <c r="L73" s="1">
        <f t="shared" ref="L73:L82" si="50">+D73-H73</f>
        <v>-800</v>
      </c>
      <c r="M73" s="1"/>
      <c r="N73" s="5">
        <f t="shared" ref="N73:N82" si="51">IF(H73=0,0,L73/H73)</f>
        <v>-1</v>
      </c>
      <c r="O73" s="14"/>
      <c r="P73" s="1">
        <f>SUM(OSRRefP22_15x_0)</f>
        <v>0</v>
      </c>
      <c r="Q73" s="1"/>
      <c r="R73" s="5">
        <f t="shared" ref="R73:R82" si="52">IF(P$12=0,0,P73/P$12)</f>
        <v>0</v>
      </c>
      <c r="S73" s="1"/>
      <c r="T73" s="1">
        <f>SUM(OSRRefT22_15x_0)</f>
        <v>3200</v>
      </c>
      <c r="U73" s="1"/>
      <c r="V73" s="5">
        <f t="shared" ref="V73:V82" si="53">IF(T$12=0,0,T73/T$12)</f>
        <v>0</v>
      </c>
      <c r="W73" s="1"/>
      <c r="X73" s="1">
        <f t="shared" ref="X73:X82" si="54">+P73-T73</f>
        <v>-3200</v>
      </c>
      <c r="Y73" s="1"/>
      <c r="Z73" s="5">
        <f t="shared" ref="Z73:Z82" si="55">IF(T73=0,0,X73/T73)</f>
        <v>-1</v>
      </c>
    </row>
    <row r="74" spans="1:26" s="24" customFormat="1" hidden="1" outlineLevel="2" x14ac:dyDescent="0.25">
      <c r="A74" s="28"/>
      <c r="B74" s="11" t="str">
        <f>CONCATENATE("          ", "6258", " - ", "MEMBERSHIP DUES")</f>
        <v xml:space="preserve">          6258 - MEMBERSHIP DUES</v>
      </c>
      <c r="C74" s="11"/>
      <c r="D74" s="7"/>
      <c r="E74" s="2"/>
      <c r="F74" s="6">
        <f t="shared" si="48"/>
        <v>0</v>
      </c>
      <c r="G74" s="2"/>
      <c r="H74" s="7">
        <v>800</v>
      </c>
      <c r="I74" s="2"/>
      <c r="J74" s="6">
        <f t="shared" si="49"/>
        <v>0</v>
      </c>
      <c r="K74" s="2"/>
      <c r="L74" s="7">
        <f t="shared" si="50"/>
        <v>-800</v>
      </c>
      <c r="M74" s="2"/>
      <c r="N74" s="6">
        <f t="shared" si="51"/>
        <v>-1</v>
      </c>
      <c r="O74" s="11"/>
      <c r="P74" s="7"/>
      <c r="Q74" s="2"/>
      <c r="R74" s="6">
        <f t="shared" si="52"/>
        <v>0</v>
      </c>
      <c r="S74" s="2"/>
      <c r="T74" s="7">
        <v>3200</v>
      </c>
      <c r="U74" s="2"/>
      <c r="V74" s="6">
        <f t="shared" si="53"/>
        <v>0</v>
      </c>
      <c r="W74" s="2"/>
      <c r="X74" s="7">
        <f t="shared" si="54"/>
        <v>-3200</v>
      </c>
      <c r="Y74" s="2"/>
      <c r="Z74" s="6">
        <f t="shared" si="55"/>
        <v>-1</v>
      </c>
    </row>
    <row r="75" spans="1:26" s="27" customFormat="1" outlineLevel="1" collapsed="1" x14ac:dyDescent="0.25">
      <c r="A75" s="29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SUM(OSRRefD22_16x_0)</f>
        <v>20355.759999999998</v>
      </c>
      <c r="E75" s="1"/>
      <c r="F75" s="5">
        <f t="shared" si="48"/>
        <v>0</v>
      </c>
      <c r="G75" s="1"/>
      <c r="H75" s="1">
        <f>SUM(OSRRefH22_16x_0)</f>
        <v>3900</v>
      </c>
      <c r="I75" s="1"/>
      <c r="J75" s="5">
        <f t="shared" si="49"/>
        <v>0</v>
      </c>
      <c r="K75" s="1"/>
      <c r="L75" s="1">
        <f t="shared" si="50"/>
        <v>16455.759999999998</v>
      </c>
      <c r="M75" s="1"/>
      <c r="N75" s="5">
        <f t="shared" si="51"/>
        <v>4.2194256410256408</v>
      </c>
      <c r="O75" s="14"/>
      <c r="P75" s="1">
        <f>SUM(OSRRefP22_16x_0)</f>
        <v>30190.86</v>
      </c>
      <c r="Q75" s="1"/>
      <c r="R75" s="5">
        <f t="shared" si="52"/>
        <v>0</v>
      </c>
      <c r="S75" s="1"/>
      <c r="T75" s="1">
        <f>SUM(OSRRefT22_16x_0)</f>
        <v>75400</v>
      </c>
      <c r="U75" s="1"/>
      <c r="V75" s="5">
        <f t="shared" si="53"/>
        <v>0</v>
      </c>
      <c r="W75" s="1"/>
      <c r="X75" s="1">
        <f t="shared" si="54"/>
        <v>-45209.14</v>
      </c>
      <c r="Y75" s="1"/>
      <c r="Z75" s="5">
        <f t="shared" si="55"/>
        <v>-0.5995907161803713</v>
      </c>
    </row>
    <row r="76" spans="1:26" s="24" customFormat="1" hidden="1" outlineLevel="2" x14ac:dyDescent="0.25">
      <c r="A76" s="28"/>
      <c r="B76" s="11" t="str">
        <f>CONCATENATE("          ", "6234", " - ", "EXPENDABLE SUPPLIES &amp; EQUIPMEN")</f>
        <v xml:space="preserve">          6234 - EXPENDABLE SUPPLIES &amp; EQUIPMEN</v>
      </c>
      <c r="C76" s="11"/>
      <c r="D76" s="7">
        <v>101.34</v>
      </c>
      <c r="E76" s="2"/>
      <c r="F76" s="6">
        <f t="shared" si="48"/>
        <v>0</v>
      </c>
      <c r="G76" s="2"/>
      <c r="H76" s="7">
        <v>100</v>
      </c>
      <c r="I76" s="2"/>
      <c r="J76" s="6">
        <f t="shared" si="49"/>
        <v>0</v>
      </c>
      <c r="K76" s="2"/>
      <c r="L76" s="7">
        <f t="shared" si="50"/>
        <v>1.3400000000000034</v>
      </c>
      <c r="M76" s="2"/>
      <c r="N76" s="6">
        <f t="shared" si="51"/>
        <v>1.3400000000000033E-2</v>
      </c>
      <c r="O76" s="11"/>
      <c r="P76" s="7">
        <v>101.34</v>
      </c>
      <c r="Q76" s="2"/>
      <c r="R76" s="6">
        <f t="shared" si="52"/>
        <v>0</v>
      </c>
      <c r="S76" s="2"/>
      <c r="T76" s="7">
        <v>400</v>
      </c>
      <c r="U76" s="2"/>
      <c r="V76" s="6">
        <f t="shared" si="53"/>
        <v>0</v>
      </c>
      <c r="W76" s="2"/>
      <c r="X76" s="7">
        <f t="shared" si="54"/>
        <v>-298.65999999999997</v>
      </c>
      <c r="Y76" s="2"/>
      <c r="Z76" s="6">
        <f t="shared" si="55"/>
        <v>-0.74664999999999992</v>
      </c>
    </row>
    <row r="77" spans="1:26" s="24" customFormat="1" hidden="1" outlineLevel="2" x14ac:dyDescent="0.25">
      <c r="A77" s="28"/>
      <c r="B77" s="11" t="str">
        <f>CONCATENATE("          ", "6235", " - ", "COVID-19 EXPENSES")</f>
        <v xml:space="preserve">          6235 - COVID-19 EXPENSES</v>
      </c>
      <c r="C77" s="11"/>
      <c r="D77" s="7">
        <v>16805.12</v>
      </c>
      <c r="E77" s="2"/>
      <c r="F77" s="6">
        <f t="shared" si="48"/>
        <v>0</v>
      </c>
      <c r="G77" s="2"/>
      <c r="H77" s="7">
        <v>100</v>
      </c>
      <c r="I77" s="2"/>
      <c r="J77" s="6">
        <f t="shared" si="49"/>
        <v>0</v>
      </c>
      <c r="K77" s="2"/>
      <c r="L77" s="7">
        <f t="shared" si="50"/>
        <v>16705.12</v>
      </c>
      <c r="M77" s="2"/>
      <c r="N77" s="6">
        <f t="shared" si="51"/>
        <v>167.05119999999999</v>
      </c>
      <c r="O77" s="11"/>
      <c r="P77" s="7">
        <v>23917.5</v>
      </c>
      <c r="Q77" s="2"/>
      <c r="R77" s="6">
        <f t="shared" si="52"/>
        <v>0</v>
      </c>
      <c r="S77" s="2"/>
      <c r="T77" s="7">
        <v>60200</v>
      </c>
      <c r="U77" s="2"/>
      <c r="V77" s="6">
        <f t="shared" si="53"/>
        <v>0</v>
      </c>
      <c r="W77" s="2"/>
      <c r="X77" s="7">
        <f t="shared" si="54"/>
        <v>-36282.5</v>
      </c>
      <c r="Y77" s="2"/>
      <c r="Z77" s="6">
        <f t="shared" si="55"/>
        <v>-0.60269933554817279</v>
      </c>
    </row>
    <row r="78" spans="1:26" s="24" customFormat="1" hidden="1" outlineLevel="2" x14ac:dyDescent="0.25">
      <c r="A78" s="28"/>
      <c r="B78" s="11" t="str">
        <f>CONCATENATE("          ", "6237", " - ", "JANITORIAL SUPPLIES")</f>
        <v xml:space="preserve">          6237 - JANITORIAL SUPPLIES</v>
      </c>
      <c r="C78" s="11"/>
      <c r="D78" s="7">
        <v>1056.6199999999999</v>
      </c>
      <c r="E78" s="2"/>
      <c r="F78" s="6">
        <f t="shared" si="48"/>
        <v>0</v>
      </c>
      <c r="G78" s="2"/>
      <c r="H78" s="7">
        <v>200</v>
      </c>
      <c r="I78" s="2"/>
      <c r="J78" s="6">
        <f t="shared" si="49"/>
        <v>0</v>
      </c>
      <c r="K78" s="2"/>
      <c r="L78" s="7">
        <f t="shared" si="50"/>
        <v>856.61999999999989</v>
      </c>
      <c r="M78" s="2"/>
      <c r="N78" s="6">
        <f t="shared" si="51"/>
        <v>4.2830999999999992</v>
      </c>
      <c r="O78" s="11"/>
      <c r="P78" s="7">
        <v>1056.6199999999999</v>
      </c>
      <c r="Q78" s="2"/>
      <c r="R78" s="6">
        <f t="shared" si="52"/>
        <v>0</v>
      </c>
      <c r="S78" s="2"/>
      <c r="T78" s="7">
        <v>800</v>
      </c>
      <c r="U78" s="2"/>
      <c r="V78" s="6">
        <f t="shared" si="53"/>
        <v>0</v>
      </c>
      <c r="W78" s="2"/>
      <c r="X78" s="7">
        <f t="shared" si="54"/>
        <v>256.61999999999989</v>
      </c>
      <c r="Y78" s="2"/>
      <c r="Z78" s="6">
        <f t="shared" si="55"/>
        <v>0.32077499999999987</v>
      </c>
    </row>
    <row r="79" spans="1:26" s="24" customFormat="1" hidden="1" outlineLevel="2" x14ac:dyDescent="0.25">
      <c r="A79" s="28"/>
      <c r="B79" s="11" t="str">
        <f>CONCATENATE("          ", "6241", " - ", "OFFICE EXPENSE")</f>
        <v xml:space="preserve">          6241 - OFFICE EXPENSE</v>
      </c>
      <c r="C79" s="11"/>
      <c r="D79" s="7">
        <v>157.15</v>
      </c>
      <c r="E79" s="2"/>
      <c r="F79" s="6">
        <f t="shared" si="48"/>
        <v>0</v>
      </c>
      <c r="G79" s="2"/>
      <c r="H79" s="7"/>
      <c r="I79" s="2"/>
      <c r="J79" s="6">
        <f t="shared" si="49"/>
        <v>0</v>
      </c>
      <c r="K79" s="2"/>
      <c r="L79" s="7">
        <f t="shared" si="50"/>
        <v>157.15</v>
      </c>
      <c r="M79" s="2"/>
      <c r="N79" s="6">
        <f t="shared" si="51"/>
        <v>0</v>
      </c>
      <c r="O79" s="11"/>
      <c r="P79" s="7">
        <v>2221.9499999999998</v>
      </c>
      <c r="Q79" s="2"/>
      <c r="R79" s="6">
        <f t="shared" si="52"/>
        <v>0</v>
      </c>
      <c r="S79" s="2"/>
      <c r="T79" s="7"/>
      <c r="U79" s="2"/>
      <c r="V79" s="6">
        <f t="shared" si="53"/>
        <v>0</v>
      </c>
      <c r="W79" s="2"/>
      <c r="X79" s="7">
        <f t="shared" si="54"/>
        <v>2221.9499999999998</v>
      </c>
      <c r="Y79" s="2"/>
      <c r="Z79" s="6">
        <f t="shared" si="55"/>
        <v>0</v>
      </c>
    </row>
    <row r="80" spans="1:26" s="24" customFormat="1" hidden="1" outlineLevel="2" x14ac:dyDescent="0.25">
      <c r="A80" s="28"/>
      <c r="B80" s="11" t="str">
        <f>CONCATENATE("          ", "6245", " - ", "PRINTING")</f>
        <v xml:space="preserve">          6245 - PRINTING</v>
      </c>
      <c r="C80" s="11"/>
      <c r="D80" s="7"/>
      <c r="E80" s="2"/>
      <c r="F80" s="6">
        <f t="shared" si="48"/>
        <v>0</v>
      </c>
      <c r="G80" s="2"/>
      <c r="H80" s="7"/>
      <c r="I80" s="2"/>
      <c r="J80" s="6">
        <f t="shared" si="49"/>
        <v>0</v>
      </c>
      <c r="K80" s="2"/>
      <c r="L80" s="7">
        <f t="shared" si="50"/>
        <v>0</v>
      </c>
      <c r="M80" s="2"/>
      <c r="N80" s="6">
        <f t="shared" si="51"/>
        <v>0</v>
      </c>
      <c r="O80" s="11"/>
      <c r="P80" s="7">
        <v>68.66</v>
      </c>
      <c r="Q80" s="2"/>
      <c r="R80" s="6">
        <f t="shared" si="52"/>
        <v>0</v>
      </c>
      <c r="S80" s="2"/>
      <c r="T80" s="7"/>
      <c r="U80" s="2"/>
      <c r="V80" s="6">
        <f t="shared" si="53"/>
        <v>0</v>
      </c>
      <c r="W80" s="2"/>
      <c r="X80" s="7">
        <f t="shared" si="54"/>
        <v>68.66</v>
      </c>
      <c r="Y80" s="2"/>
      <c r="Z80" s="6">
        <f t="shared" si="55"/>
        <v>0</v>
      </c>
    </row>
    <row r="81" spans="1:26" s="24" customFormat="1" hidden="1" outlineLevel="2" x14ac:dyDescent="0.25">
      <c r="A81" s="28"/>
      <c r="B81" s="11" t="str">
        <f>CONCATENATE("          ", "6247", " - ", "STORE SUPPLIES")</f>
        <v xml:space="preserve">          6247 - STORE SUPPLIES</v>
      </c>
      <c r="C81" s="11"/>
      <c r="D81" s="7">
        <v>2235.5300000000002</v>
      </c>
      <c r="E81" s="2"/>
      <c r="F81" s="6">
        <f t="shared" si="48"/>
        <v>0</v>
      </c>
      <c r="G81" s="2"/>
      <c r="H81" s="7">
        <v>2000</v>
      </c>
      <c r="I81" s="2"/>
      <c r="J81" s="6">
        <f t="shared" si="49"/>
        <v>0</v>
      </c>
      <c r="K81" s="2"/>
      <c r="L81" s="7">
        <f t="shared" si="50"/>
        <v>235.5300000000002</v>
      </c>
      <c r="M81" s="2"/>
      <c r="N81" s="6">
        <f t="shared" si="51"/>
        <v>0.11776500000000011</v>
      </c>
      <c r="O81" s="11"/>
      <c r="P81" s="7">
        <v>2824.79</v>
      </c>
      <c r="Q81" s="2"/>
      <c r="R81" s="6">
        <f t="shared" si="52"/>
        <v>0</v>
      </c>
      <c r="S81" s="2"/>
      <c r="T81" s="7">
        <v>8000</v>
      </c>
      <c r="U81" s="2"/>
      <c r="V81" s="6">
        <f t="shared" si="53"/>
        <v>0</v>
      </c>
      <c r="W81" s="2"/>
      <c r="X81" s="7">
        <f t="shared" si="54"/>
        <v>-5175.21</v>
      </c>
      <c r="Y81" s="2"/>
      <c r="Z81" s="6">
        <f t="shared" si="55"/>
        <v>-0.64690124999999998</v>
      </c>
    </row>
    <row r="82" spans="1:26" s="24" customFormat="1" hidden="1" outlineLevel="2" x14ac:dyDescent="0.25">
      <c r="A82" s="28"/>
      <c r="B82" s="11" t="str">
        <f>CONCATENATE("          ", "6248", " - ", "UNIFORMS")</f>
        <v xml:space="preserve">          6248 - UNIFORMS</v>
      </c>
      <c r="C82" s="11"/>
      <c r="D82" s="7"/>
      <c r="E82" s="2"/>
      <c r="F82" s="6">
        <f t="shared" si="48"/>
        <v>0</v>
      </c>
      <c r="G82" s="2"/>
      <c r="H82" s="7">
        <v>1500</v>
      </c>
      <c r="I82" s="2"/>
      <c r="J82" s="6">
        <f t="shared" si="49"/>
        <v>0</v>
      </c>
      <c r="K82" s="2"/>
      <c r="L82" s="7">
        <f t="shared" si="50"/>
        <v>-1500</v>
      </c>
      <c r="M82" s="2"/>
      <c r="N82" s="6">
        <f t="shared" si="51"/>
        <v>-1</v>
      </c>
      <c r="O82" s="11"/>
      <c r="P82" s="7"/>
      <c r="Q82" s="2"/>
      <c r="R82" s="6">
        <f t="shared" si="52"/>
        <v>0</v>
      </c>
      <c r="S82" s="2"/>
      <c r="T82" s="7">
        <v>6000</v>
      </c>
      <c r="U82" s="2"/>
      <c r="V82" s="6">
        <f t="shared" si="53"/>
        <v>0</v>
      </c>
      <c r="W82" s="2"/>
      <c r="X82" s="7">
        <f t="shared" si="54"/>
        <v>-6000</v>
      </c>
      <c r="Y82" s="2"/>
      <c r="Z82" s="6">
        <f t="shared" si="55"/>
        <v>-1</v>
      </c>
    </row>
    <row r="83" spans="1:26" s="27" customFormat="1" outlineLevel="1" collapsed="1" x14ac:dyDescent="0.25">
      <c r="A83" s="29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SUM(OSRRefD22_17x_0)</f>
        <v>680.45</v>
      </c>
      <c r="E83" s="1"/>
      <c r="F83" s="5">
        <f t="shared" ref="F83:F90" si="56">IF(D$12=0,0,D83/D$12)</f>
        <v>0</v>
      </c>
      <c r="G83" s="1"/>
      <c r="H83" s="1">
        <f>SUM(OSRRefH22_17x_0)</f>
        <v>600</v>
      </c>
      <c r="I83" s="1"/>
      <c r="J83" s="5">
        <f t="shared" ref="J83:J90" si="57">IF(H$12=0,0,H83/H$12)</f>
        <v>0</v>
      </c>
      <c r="K83" s="1"/>
      <c r="L83" s="1">
        <f t="shared" ref="L83:L90" si="58">+D83-H83</f>
        <v>80.450000000000045</v>
      </c>
      <c r="M83" s="1"/>
      <c r="N83" s="5">
        <f t="shared" ref="N83:N90" si="59">IF(H83=0,0,L83/H83)</f>
        <v>0.13408333333333342</v>
      </c>
      <c r="O83" s="14"/>
      <c r="P83" s="1">
        <f>SUM(OSRRefP22_17x_0)</f>
        <v>2654.13</v>
      </c>
      <c r="Q83" s="1"/>
      <c r="R83" s="5">
        <f t="shared" ref="R83:R90" si="60">IF(P$12=0,0,P83/P$12)</f>
        <v>0</v>
      </c>
      <c r="S83" s="1"/>
      <c r="T83" s="1">
        <f>SUM(OSRRefT22_17x_0)</f>
        <v>2400</v>
      </c>
      <c r="U83" s="1"/>
      <c r="V83" s="5">
        <f t="shared" ref="V83:V90" si="61">IF(T$12=0,0,T83/T$12)</f>
        <v>0</v>
      </c>
      <c r="W83" s="1"/>
      <c r="X83" s="1">
        <f t="shared" ref="X83:X90" si="62">+P83-T83</f>
        <v>254.13000000000011</v>
      </c>
      <c r="Y83" s="1"/>
      <c r="Z83" s="5">
        <f t="shared" ref="Z83:Z90" si="63">IF(T83=0,0,X83/T83)</f>
        <v>0.10588750000000005</v>
      </c>
    </row>
    <row r="84" spans="1:26" s="24" customFormat="1" hidden="1" outlineLevel="2" x14ac:dyDescent="0.25">
      <c r="A84" s="28"/>
      <c r="B84" s="11" t="str">
        <f>CONCATENATE("          ", "6309", " - ", "TELEPHONE")</f>
        <v xml:space="preserve">          6309 - TELEPHONE</v>
      </c>
      <c r="C84" s="11"/>
      <c r="D84" s="7">
        <v>680.45</v>
      </c>
      <c r="E84" s="2"/>
      <c r="F84" s="6">
        <f t="shared" si="56"/>
        <v>0</v>
      </c>
      <c r="G84" s="2"/>
      <c r="H84" s="7">
        <v>600</v>
      </c>
      <c r="I84" s="2"/>
      <c r="J84" s="6">
        <f t="shared" si="57"/>
        <v>0</v>
      </c>
      <c r="K84" s="2"/>
      <c r="L84" s="7">
        <f t="shared" si="58"/>
        <v>80.450000000000045</v>
      </c>
      <c r="M84" s="2"/>
      <c r="N84" s="6">
        <f t="shared" si="59"/>
        <v>0.13408333333333342</v>
      </c>
      <c r="O84" s="11"/>
      <c r="P84" s="7">
        <v>2654.13</v>
      </c>
      <c r="Q84" s="2"/>
      <c r="R84" s="6">
        <f t="shared" si="60"/>
        <v>0</v>
      </c>
      <c r="S84" s="2"/>
      <c r="T84" s="7">
        <v>2400</v>
      </c>
      <c r="U84" s="2"/>
      <c r="V84" s="6">
        <f t="shared" si="61"/>
        <v>0</v>
      </c>
      <c r="W84" s="2"/>
      <c r="X84" s="7">
        <f t="shared" si="62"/>
        <v>254.13000000000011</v>
      </c>
      <c r="Y84" s="2"/>
      <c r="Z84" s="6">
        <f t="shared" si="63"/>
        <v>0.10588750000000005</v>
      </c>
    </row>
    <row r="85" spans="1:26" s="27" customFormat="1" outlineLevel="1" collapsed="1" x14ac:dyDescent="0.25">
      <c r="A85" s="29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SUM(OSRRefD22_18x_0)</f>
        <v>0</v>
      </c>
      <c r="E85" s="1"/>
      <c r="F85" s="5">
        <f t="shared" si="56"/>
        <v>0</v>
      </c>
      <c r="G85" s="1"/>
      <c r="H85" s="1">
        <f>SUM(OSRRefH22_18x_0)</f>
        <v>2500</v>
      </c>
      <c r="I85" s="1"/>
      <c r="J85" s="5">
        <f t="shared" si="57"/>
        <v>0</v>
      </c>
      <c r="K85" s="1"/>
      <c r="L85" s="1">
        <f t="shared" si="58"/>
        <v>-2500</v>
      </c>
      <c r="M85" s="1"/>
      <c r="N85" s="5">
        <f t="shared" si="59"/>
        <v>-1</v>
      </c>
      <c r="O85" s="14"/>
      <c r="P85" s="1">
        <f>SUM(OSRRefP22_18x_0)</f>
        <v>131.63</v>
      </c>
      <c r="Q85" s="1"/>
      <c r="R85" s="5">
        <f t="shared" si="60"/>
        <v>0</v>
      </c>
      <c r="S85" s="1"/>
      <c r="T85" s="1">
        <f>SUM(OSRRefT22_18x_0)</f>
        <v>2500</v>
      </c>
      <c r="U85" s="1"/>
      <c r="V85" s="5">
        <f t="shared" si="61"/>
        <v>0</v>
      </c>
      <c r="W85" s="1"/>
      <c r="X85" s="1">
        <f t="shared" si="62"/>
        <v>-2368.37</v>
      </c>
      <c r="Y85" s="1"/>
      <c r="Z85" s="5">
        <f t="shared" si="63"/>
        <v>-0.94734799999999997</v>
      </c>
    </row>
    <row r="86" spans="1:26" s="24" customFormat="1" hidden="1" outlineLevel="2" x14ac:dyDescent="0.25">
      <c r="A86" s="28"/>
      <c r="B86" s="11" t="str">
        <f>CONCATENATE("          ", "6376", " - ", "TRAINING")</f>
        <v xml:space="preserve">          6376 - TRAINING</v>
      </c>
      <c r="C86" s="11"/>
      <c r="D86" s="7"/>
      <c r="E86" s="2"/>
      <c r="F86" s="6">
        <f t="shared" si="56"/>
        <v>0</v>
      </c>
      <c r="G86" s="2"/>
      <c r="H86" s="7">
        <v>2500</v>
      </c>
      <c r="I86" s="2"/>
      <c r="J86" s="6">
        <f t="shared" si="57"/>
        <v>0</v>
      </c>
      <c r="K86" s="2"/>
      <c r="L86" s="7">
        <f t="shared" si="58"/>
        <v>-2500</v>
      </c>
      <c r="M86" s="2"/>
      <c r="N86" s="6">
        <f t="shared" si="59"/>
        <v>-1</v>
      </c>
      <c r="O86" s="11"/>
      <c r="P86" s="7">
        <v>131.63</v>
      </c>
      <c r="Q86" s="2"/>
      <c r="R86" s="6">
        <f t="shared" si="60"/>
        <v>0</v>
      </c>
      <c r="S86" s="2"/>
      <c r="T86" s="7">
        <v>2500</v>
      </c>
      <c r="U86" s="2"/>
      <c r="V86" s="6">
        <f t="shared" si="61"/>
        <v>0</v>
      </c>
      <c r="W86" s="2"/>
      <c r="X86" s="7">
        <f t="shared" si="62"/>
        <v>-2368.37</v>
      </c>
      <c r="Y86" s="2"/>
      <c r="Z86" s="6">
        <f t="shared" si="63"/>
        <v>-0.94734799999999997</v>
      </c>
    </row>
    <row r="87" spans="1:26" s="27" customFormat="1" outlineLevel="1" collapsed="1" x14ac:dyDescent="0.25">
      <c r="A87" s="29"/>
      <c r="B87" s="14" t="str">
        <f>CONCATENATE("     ","Travel                                            ")</f>
        <v xml:space="preserve">     Travel                                            </v>
      </c>
      <c r="C87" s="14"/>
      <c r="D87" s="1">
        <f>SUM(OSRRefD22_19x_0)</f>
        <v>0</v>
      </c>
      <c r="E87" s="1"/>
      <c r="F87" s="5">
        <f t="shared" si="56"/>
        <v>0</v>
      </c>
      <c r="G87" s="1"/>
      <c r="H87" s="1">
        <f>SUM(OSRRefH22_19x_0)</f>
        <v>0</v>
      </c>
      <c r="I87" s="1"/>
      <c r="J87" s="5">
        <f t="shared" si="57"/>
        <v>0</v>
      </c>
      <c r="K87" s="1"/>
      <c r="L87" s="1">
        <f t="shared" si="58"/>
        <v>0</v>
      </c>
      <c r="M87" s="1"/>
      <c r="N87" s="5">
        <f t="shared" si="59"/>
        <v>0</v>
      </c>
      <c r="O87" s="14"/>
      <c r="P87" s="1">
        <f>SUM(OSRRefP22_19x_0)</f>
        <v>59.89</v>
      </c>
      <c r="Q87" s="1"/>
      <c r="R87" s="5">
        <f t="shared" si="60"/>
        <v>0</v>
      </c>
      <c r="S87" s="1"/>
      <c r="T87" s="1">
        <f>SUM(OSRRefT22_19x_0)</f>
        <v>0</v>
      </c>
      <c r="U87" s="1"/>
      <c r="V87" s="5">
        <f t="shared" si="61"/>
        <v>0</v>
      </c>
      <c r="W87" s="1"/>
      <c r="X87" s="1">
        <f t="shared" si="62"/>
        <v>59.89</v>
      </c>
      <c r="Y87" s="1"/>
      <c r="Z87" s="5">
        <f t="shared" si="63"/>
        <v>0</v>
      </c>
    </row>
    <row r="88" spans="1:26" s="24" customFormat="1" hidden="1" outlineLevel="2" x14ac:dyDescent="0.25">
      <c r="A88" s="28"/>
      <c r="B88" s="11" t="str">
        <f>CONCATENATE("          ", "6298", " - ", "VEHICLE MILEAGE")</f>
        <v xml:space="preserve">          6298 - VEHICLE MILEAGE</v>
      </c>
      <c r="C88" s="11"/>
      <c r="D88" s="7"/>
      <c r="E88" s="2"/>
      <c r="F88" s="6">
        <f t="shared" si="56"/>
        <v>0</v>
      </c>
      <c r="G88" s="2"/>
      <c r="H88" s="7"/>
      <c r="I88" s="2"/>
      <c r="J88" s="6">
        <f t="shared" si="57"/>
        <v>0</v>
      </c>
      <c r="K88" s="2"/>
      <c r="L88" s="7">
        <f t="shared" si="58"/>
        <v>0</v>
      </c>
      <c r="M88" s="2"/>
      <c r="N88" s="6">
        <f t="shared" si="59"/>
        <v>0</v>
      </c>
      <c r="O88" s="11"/>
      <c r="P88" s="7">
        <v>59.89</v>
      </c>
      <c r="Q88" s="2"/>
      <c r="R88" s="6">
        <f t="shared" si="60"/>
        <v>0</v>
      </c>
      <c r="S88" s="2"/>
      <c r="T88" s="7"/>
      <c r="U88" s="2"/>
      <c r="V88" s="6">
        <f t="shared" si="61"/>
        <v>0</v>
      </c>
      <c r="W88" s="2"/>
      <c r="X88" s="7">
        <f t="shared" si="62"/>
        <v>59.89</v>
      </c>
      <c r="Y88" s="2"/>
      <c r="Z88" s="6">
        <f t="shared" si="63"/>
        <v>0</v>
      </c>
    </row>
    <row r="89" spans="1:26" s="27" customFormat="1" outlineLevel="1" collapsed="1" x14ac:dyDescent="0.25">
      <c r="A89" s="29"/>
      <c r="B89" s="14" t="str">
        <f>CONCATENATE("     ","Utilities                                         ")</f>
        <v xml:space="preserve">     Utilities                                         </v>
      </c>
      <c r="C89" s="14"/>
      <c r="D89" s="1">
        <f>SUM(OSRRefD22_20x_0)</f>
        <v>5937</v>
      </c>
      <c r="E89" s="1"/>
      <c r="F89" s="5">
        <f t="shared" si="56"/>
        <v>0</v>
      </c>
      <c r="G89" s="1"/>
      <c r="H89" s="1">
        <f>SUM(OSRRefH22_20x_0)</f>
        <v>6000</v>
      </c>
      <c r="I89" s="1"/>
      <c r="J89" s="5">
        <f t="shared" si="57"/>
        <v>0</v>
      </c>
      <c r="K89" s="1"/>
      <c r="L89" s="1">
        <f t="shared" si="58"/>
        <v>-63</v>
      </c>
      <c r="M89" s="1"/>
      <c r="N89" s="5">
        <f t="shared" si="59"/>
        <v>-1.0500000000000001E-2</v>
      </c>
      <c r="O89" s="14"/>
      <c r="P89" s="1">
        <f>SUM(OSRRefP22_20x_0)</f>
        <v>24336</v>
      </c>
      <c r="Q89" s="1"/>
      <c r="R89" s="5">
        <f t="shared" si="60"/>
        <v>0</v>
      </c>
      <c r="S89" s="1"/>
      <c r="T89" s="1">
        <f>SUM(OSRRefT22_20x_0)</f>
        <v>24000</v>
      </c>
      <c r="U89" s="1"/>
      <c r="V89" s="5">
        <f t="shared" si="61"/>
        <v>0</v>
      </c>
      <c r="W89" s="1"/>
      <c r="X89" s="1">
        <f t="shared" si="62"/>
        <v>336</v>
      </c>
      <c r="Y89" s="1"/>
      <c r="Z89" s="5">
        <f t="shared" si="63"/>
        <v>1.4E-2</v>
      </c>
    </row>
    <row r="90" spans="1:26" s="24" customFormat="1" hidden="1" outlineLevel="2" x14ac:dyDescent="0.25">
      <c r="A90" s="28"/>
      <c r="B90" s="11" t="str">
        <f>CONCATENATE("          ", "6274", " - ", "UTILITIES")</f>
        <v xml:space="preserve">          6274 - UTILITIES</v>
      </c>
      <c r="C90" s="11"/>
      <c r="D90" s="7">
        <v>5937</v>
      </c>
      <c r="E90" s="2"/>
      <c r="F90" s="6">
        <f t="shared" si="56"/>
        <v>0</v>
      </c>
      <c r="G90" s="2"/>
      <c r="H90" s="7">
        <v>6000</v>
      </c>
      <c r="I90" s="2"/>
      <c r="J90" s="6">
        <f t="shared" si="57"/>
        <v>0</v>
      </c>
      <c r="K90" s="2"/>
      <c r="L90" s="7">
        <f t="shared" si="58"/>
        <v>-63</v>
      </c>
      <c r="M90" s="2"/>
      <c r="N90" s="6">
        <f t="shared" si="59"/>
        <v>-1.0500000000000001E-2</v>
      </c>
      <c r="O90" s="11"/>
      <c r="P90" s="7">
        <v>24336</v>
      </c>
      <c r="Q90" s="2"/>
      <c r="R90" s="6">
        <f t="shared" si="60"/>
        <v>0</v>
      </c>
      <c r="S90" s="2"/>
      <c r="T90" s="7">
        <v>24000</v>
      </c>
      <c r="U90" s="2"/>
      <c r="V90" s="6">
        <f t="shared" si="61"/>
        <v>0</v>
      </c>
      <c r="W90" s="2"/>
      <c r="X90" s="7">
        <f t="shared" si="62"/>
        <v>336</v>
      </c>
      <c r="Y90" s="2"/>
      <c r="Z90" s="6">
        <f t="shared" si="63"/>
        <v>1.4E-2</v>
      </c>
    </row>
    <row r="91" spans="1:26" s="63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25">
      <c r="A92" s="10"/>
      <c r="B92" s="25" t="s">
        <v>0</v>
      </c>
      <c r="C92" s="10"/>
      <c r="D92" s="4">
        <f>SUM(OSRRefD25x_0)</f>
        <v>2561.17</v>
      </c>
      <c r="E92" s="4"/>
      <c r="F92" s="12">
        <f t="shared" ref="F92:F94" si="64">IF(D$12=0,0,D92/D$12)</f>
        <v>0</v>
      </c>
      <c r="G92" s="4"/>
      <c r="H92" s="4">
        <f>SUM(OSRRefH25x_0)</f>
        <v>17275</v>
      </c>
      <c r="I92" s="4"/>
      <c r="J92" s="12">
        <f t="shared" ref="J92:J94" si="65">IF(H$12=0,0,H92/H$12)</f>
        <v>0</v>
      </c>
      <c r="K92" s="4"/>
      <c r="L92" s="4">
        <f t="shared" ref="L92:L94" si="66">+D92-H92</f>
        <v>-14713.83</v>
      </c>
      <c r="M92" s="4"/>
      <c r="N92" s="12">
        <f t="shared" ref="N92:N94" si="67">IF(H92=0,0,L92/H92)</f>
        <v>-0.85174124457308253</v>
      </c>
      <c r="O92" s="10"/>
      <c r="P92" s="4">
        <f>SUM(OSRRefP25x_0)</f>
        <v>70711.72</v>
      </c>
      <c r="Q92" s="4"/>
      <c r="R92" s="12">
        <f t="shared" ref="R92:R94" si="68">IF(P$12=0,0,P92/P$12)</f>
        <v>0</v>
      </c>
      <c r="S92" s="4"/>
      <c r="T92" s="4">
        <f>SUM(OSRRefT25x_0)</f>
        <v>69100</v>
      </c>
      <c r="U92" s="4"/>
      <c r="V92" s="12">
        <f t="shared" ref="V92:V94" si="69">IF(T$12=0,0,T92/T$12)</f>
        <v>0</v>
      </c>
      <c r="W92" s="4"/>
      <c r="X92" s="4">
        <f t="shared" ref="X92:X94" si="70">+P92-T92</f>
        <v>1611.7200000000012</v>
      </c>
      <c r="Y92" s="4"/>
      <c r="Z92" s="12">
        <f t="shared" ref="Z92:Z94" si="71">IF(T92=0,0,X92/T92)</f>
        <v>2.3324457308248933E-2</v>
      </c>
    </row>
    <row r="93" spans="1:26" s="24" customFormat="1" hidden="1" outlineLevel="1" x14ac:dyDescent="0.25">
      <c r="A93" s="51"/>
      <c r="B93" s="11" t="str">
        <f>CONCATENATE("          ", "9150", " - ", "MISC. INCOME")</f>
        <v xml:space="preserve">          9150 - MISC. INCOME</v>
      </c>
      <c r="C93" s="11"/>
      <c r="D93" s="2">
        <f>--2561.17</f>
        <v>2561.17</v>
      </c>
      <c r="E93" s="2"/>
      <c r="F93" s="22">
        <f t="shared" si="64"/>
        <v>0</v>
      </c>
      <c r="G93" s="2"/>
      <c r="H93" s="2">
        <v>2100</v>
      </c>
      <c r="I93" s="2"/>
      <c r="J93" s="22">
        <f t="shared" si="65"/>
        <v>0</v>
      </c>
      <c r="K93" s="2"/>
      <c r="L93" s="2">
        <f t="shared" si="66"/>
        <v>461.17000000000007</v>
      </c>
      <c r="M93" s="2"/>
      <c r="N93" s="22">
        <f t="shared" si="67"/>
        <v>0.21960476190476194</v>
      </c>
      <c r="O93" s="11"/>
      <c r="P93" s="2">
        <f>--70711.72</f>
        <v>70711.72</v>
      </c>
      <c r="Q93" s="2"/>
      <c r="R93" s="22">
        <f t="shared" si="68"/>
        <v>0</v>
      </c>
      <c r="S93" s="2"/>
      <c r="T93" s="2">
        <v>8400</v>
      </c>
      <c r="U93" s="2"/>
      <c r="V93" s="22">
        <f t="shared" si="69"/>
        <v>0</v>
      </c>
      <c r="W93" s="2"/>
      <c r="X93" s="2">
        <f t="shared" si="70"/>
        <v>62311.72</v>
      </c>
      <c r="Y93" s="2"/>
      <c r="Z93" s="22">
        <f t="shared" si="71"/>
        <v>7.4180619047619052</v>
      </c>
    </row>
    <row r="94" spans="1:26" s="24" customFormat="1" hidden="1" outlineLevel="1" x14ac:dyDescent="0.25">
      <c r="A94" s="51"/>
      <c r="B94" s="11" t="str">
        <f>CONCATENATE("          ", "9151", " - ", "MISC. INCOME")</f>
        <v xml:space="preserve">          9151 - MISC. INCOME</v>
      </c>
      <c r="C94" s="11"/>
      <c r="D94" s="2">
        <f>0</f>
        <v>0</v>
      </c>
      <c r="E94" s="2"/>
      <c r="F94" s="22">
        <f t="shared" si="64"/>
        <v>0</v>
      </c>
      <c r="G94" s="2"/>
      <c r="H94" s="2">
        <v>15175</v>
      </c>
      <c r="I94" s="2"/>
      <c r="J94" s="22">
        <f t="shared" si="65"/>
        <v>0</v>
      </c>
      <c r="K94" s="2"/>
      <c r="L94" s="2">
        <f t="shared" si="66"/>
        <v>-15175</v>
      </c>
      <c r="M94" s="2"/>
      <c r="N94" s="22">
        <f t="shared" si="67"/>
        <v>-1</v>
      </c>
      <c r="O94" s="11"/>
      <c r="P94" s="2">
        <f>0</f>
        <v>0</v>
      </c>
      <c r="Q94" s="2"/>
      <c r="R94" s="22">
        <f t="shared" si="68"/>
        <v>0</v>
      </c>
      <c r="S94" s="2"/>
      <c r="T94" s="2">
        <v>60700</v>
      </c>
      <c r="U94" s="2"/>
      <c r="V94" s="22">
        <f t="shared" si="69"/>
        <v>0</v>
      </c>
      <c r="W94" s="2"/>
      <c r="X94" s="2">
        <f t="shared" si="70"/>
        <v>-60700</v>
      </c>
      <c r="Y94" s="2"/>
      <c r="Z94" s="22">
        <f t="shared" si="71"/>
        <v>-1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6" t="s">
        <v>3</v>
      </c>
      <c r="C96" s="26"/>
      <c r="D96" s="20">
        <f>+D16-D18+D92</f>
        <v>-115924.29999999999</v>
      </c>
      <c r="E96" s="13"/>
      <c r="F96" s="19">
        <f>IF(D$12=0,0,D96/D$12)</f>
        <v>0</v>
      </c>
      <c r="G96" s="13"/>
      <c r="H96" s="20">
        <f>+H16-H18+H92</f>
        <v>-100234.41400042309</v>
      </c>
      <c r="I96" s="13"/>
      <c r="J96" s="19">
        <f>IF(H$12=0,0,H96/H$12)</f>
        <v>0</v>
      </c>
      <c r="K96" s="15"/>
      <c r="L96" s="20">
        <f>+D96-H96</f>
        <v>-15689.885999576902</v>
      </c>
      <c r="M96" s="15"/>
      <c r="N96" s="19">
        <f>IF(H96=0,0,L96/H96)</f>
        <v>0.15653192724317894</v>
      </c>
      <c r="O96" s="25"/>
      <c r="P96" s="20">
        <f>+P16-P18+P92</f>
        <v>-464378.79000000004</v>
      </c>
      <c r="Q96" s="13"/>
      <c r="R96" s="19">
        <f>IF(P$12=0,0,P96/P$12)</f>
        <v>0</v>
      </c>
      <c r="S96" s="13"/>
      <c r="T96" s="20">
        <f>+T16-T18+T92</f>
        <v>-603478.17993652308</v>
      </c>
      <c r="U96" s="13"/>
      <c r="V96" s="19">
        <f>IF(T$12=0,0,T96/T$12)</f>
        <v>0</v>
      </c>
      <c r="W96" s="15"/>
      <c r="X96" s="20">
        <f>+P96-T96</f>
        <v>139099.38993652305</v>
      </c>
      <c r="Y96" s="15"/>
      <c r="Z96" s="19">
        <f>IF(T96=0,0,X96/T96)</f>
        <v>-0.23049613815557379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/>
      <c r="E98" s="4"/>
      <c r="F98" s="12">
        <f>IF(D$12=0,0,D98/D$12)</f>
        <v>0</v>
      </c>
      <c r="G98" s="4"/>
      <c r="H98" s="4"/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/>
      <c r="Q98" s="4"/>
      <c r="R98" s="12">
        <f>IF(P$12=0,0,P98/P$12)</f>
        <v>0</v>
      </c>
      <c r="S98" s="4"/>
      <c r="T98" s="4"/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6" t="s">
        <v>4</v>
      </c>
      <c r="C100" s="26"/>
      <c r="D100" s="34">
        <f>+D96-D98</f>
        <v>-115924.29999999999</v>
      </c>
      <c r="E100" s="13"/>
      <c r="F100" s="35">
        <f>IF(D$12=0,0,D100/D$12)</f>
        <v>0</v>
      </c>
      <c r="G100" s="13"/>
      <c r="H100" s="34">
        <f>+H96-H98</f>
        <v>-100234.41400042309</v>
      </c>
      <c r="I100" s="13"/>
      <c r="J100" s="35">
        <f>IF(H$12=0,0,H100/H$12)</f>
        <v>0</v>
      </c>
      <c r="K100" s="15"/>
      <c r="L100" s="34">
        <f>D100-H100</f>
        <v>-15689.885999576902</v>
      </c>
      <c r="M100" s="15"/>
      <c r="N100" s="35">
        <f>IF(H100=0,0,L100/H100)</f>
        <v>0.15653192724317894</v>
      </c>
      <c r="O100" s="25"/>
      <c r="P100" s="34">
        <f>+P96-P98</f>
        <v>-464378.79000000004</v>
      </c>
      <c r="Q100" s="13"/>
      <c r="R100" s="35">
        <f>IF(P$12=0,0,P100/P$12)</f>
        <v>0</v>
      </c>
      <c r="S100" s="13"/>
      <c r="T100" s="34">
        <f>+T96-T98</f>
        <v>-603478.17993652308</v>
      </c>
      <c r="U100" s="13"/>
      <c r="V100" s="35">
        <f>IF(T$12=0,0,T100/T$12)</f>
        <v>0</v>
      </c>
      <c r="W100" s="15"/>
      <c r="X100" s="34">
        <f>P100-T100</f>
        <v>139099.38993652305</v>
      </c>
      <c r="Y100" s="15"/>
      <c r="Z100" s="35">
        <f>IF(T100=0,0,X100/T100)</f>
        <v>-0.23049613815557379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6" t="s">
        <v>5</v>
      </c>
      <c r="C103" s="26"/>
      <c r="D103" s="30">
        <f>SUM(D100:D102)</f>
        <v>-115924.29999999999</v>
      </c>
      <c r="E103" s="13"/>
      <c r="F103" s="32">
        <f>IF(D$12=0,0,D103/D$12)</f>
        <v>0</v>
      </c>
      <c r="G103" s="13"/>
      <c r="H103" s="30">
        <f>SUM(H100:H102)</f>
        <v>-100234.41400042309</v>
      </c>
      <c r="I103" s="13"/>
      <c r="J103" s="32">
        <f>IF(H$12=0,0,H103/H$12)</f>
        <v>0</v>
      </c>
      <c r="K103" s="15"/>
      <c r="L103" s="30">
        <f>+D103-H103</f>
        <v>-15689.885999576902</v>
      </c>
      <c r="M103" s="15"/>
      <c r="N103" s="32">
        <f>IF(H103=0,0,L103/H103)</f>
        <v>0.15653192724317894</v>
      </c>
      <c r="O103" s="25"/>
      <c r="P103" s="30">
        <f>SUM(P100:P102)</f>
        <v>-464378.79000000004</v>
      </c>
      <c r="Q103" s="13"/>
      <c r="R103" s="32">
        <f>IF(P$12=0,0,P103/P$12)</f>
        <v>0</v>
      </c>
      <c r="S103" s="13"/>
      <c r="T103" s="30">
        <f>SUM(T100:T102)</f>
        <v>-603478.17993652308</v>
      </c>
      <c r="U103" s="13"/>
      <c r="V103" s="32">
        <f>IF(T$12=0,0,T103/T$12)</f>
        <v>0</v>
      </c>
      <c r="W103" s="15"/>
      <c r="X103" s="30">
        <f>+P103-T103</f>
        <v>139099.38993652305</v>
      </c>
      <c r="Y103" s="15"/>
      <c r="Z103" s="32">
        <f>IF(T103=0,0,X103/T103)</f>
        <v>-0.23049613815557379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60">
        <v>44151.568155057874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8" t="s">
        <v>314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53"/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306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17.899999999999999</v>
      </c>
      <c r="E12" s="4"/>
      <c r="F12" s="12"/>
      <c r="G12" s="4"/>
      <c r="H12" s="4">
        <f>SUM(OSRRefH13x_0)</f>
        <v>14551</v>
      </c>
      <c r="I12" s="4"/>
      <c r="J12" s="12"/>
      <c r="K12" s="4"/>
      <c r="L12" s="4">
        <f t="shared" ref="L12:L23" si="0">+D12-H12</f>
        <v>-14533.1</v>
      </c>
      <c r="M12" s="4"/>
      <c r="N12" s="12">
        <f t="shared" ref="N12:N23" si="1">IF(H12=0,0,L12/H12)</f>
        <v>-0.99876984399697621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34412</v>
      </c>
      <c r="U12" s="4"/>
      <c r="V12" s="12"/>
      <c r="W12" s="4"/>
      <c r="X12" s="4">
        <f t="shared" ref="X12:X23" si="2">+P12-T12</f>
        <v>-13100.080000000002</v>
      </c>
      <c r="Y12" s="4"/>
      <c r="Z12" s="12">
        <f t="shared" ref="Z12:Z23" si="3">IF(T12=0,0,X12/T12)</f>
        <v>-0.38068348250610257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-1.74</f>
        <v>-1.74</v>
      </c>
      <c r="E13" s="2"/>
      <c r="F13" s="22"/>
      <c r="G13" s="2"/>
      <c r="H13" s="2"/>
      <c r="I13" s="2"/>
      <c r="J13" s="22"/>
      <c r="K13" s="2"/>
      <c r="L13" s="2">
        <f t="shared" si="0"/>
        <v>-1.74</v>
      </c>
      <c r="M13" s="2"/>
      <c r="N13" s="22">
        <f t="shared" si="1"/>
        <v>0</v>
      </c>
      <c r="O13" s="11"/>
      <c r="P13" s="2">
        <f>-1096.44</f>
        <v>-1096.44</v>
      </c>
      <c r="Q13" s="2"/>
      <c r="R13" s="22"/>
      <c r="S13" s="2"/>
      <c r="T13" s="2"/>
      <c r="U13" s="2"/>
      <c r="V13" s="22"/>
      <c r="W13" s="2"/>
      <c r="X13" s="2">
        <f t="shared" si="2"/>
        <v>-1096.44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6" si="4">0</f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--5.18</f>
        <v>5.18</v>
      </c>
      <c r="E17" s="2"/>
      <c r="F17" s="22"/>
      <c r="G17" s="2"/>
      <c r="H17" s="2"/>
      <c r="I17" s="2"/>
      <c r="J17" s="22"/>
      <c r="K17" s="2"/>
      <c r="L17" s="2">
        <f t="shared" si="0"/>
        <v>5.18</v>
      </c>
      <c r="M17" s="2"/>
      <c r="N17" s="22">
        <f t="shared" si="1"/>
        <v>0</v>
      </c>
      <c r="O17" s="11"/>
      <c r="P17" s="2">
        <f>--374.55</f>
        <v>374.55</v>
      </c>
      <c r="Q17" s="2"/>
      <c r="R17" s="22"/>
      <c r="S17" s="2"/>
      <c r="T17" s="2"/>
      <c r="U17" s="2"/>
      <c r="V17" s="22"/>
      <c r="W17" s="2"/>
      <c r="X17" s="2">
        <f t="shared" si="2"/>
        <v>374.55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ref="D18:D20" si="5"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5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 t="shared" si="5"/>
        <v>0</v>
      </c>
      <c r="E20" s="2"/>
      <c r="F20" s="22"/>
      <c r="G20" s="2"/>
      <c r="H20" s="2">
        <v>14551</v>
      </c>
      <c r="I20" s="2"/>
      <c r="J20" s="22"/>
      <c r="K20" s="2"/>
      <c r="L20" s="2">
        <f t="shared" si="0"/>
        <v>-14551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34412</v>
      </c>
      <c r="U20" s="2"/>
      <c r="V20" s="22"/>
      <c r="W20" s="2"/>
      <c r="X20" s="2">
        <f t="shared" si="2"/>
        <v>-34412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>--14.46</f>
        <v>14.46</v>
      </c>
      <c r="E21" s="2"/>
      <c r="F21" s="22"/>
      <c r="G21" s="2"/>
      <c r="H21" s="2"/>
      <c r="I21" s="2"/>
      <c r="J21" s="22"/>
      <c r="K21" s="2"/>
      <c r="L21" s="2">
        <f t="shared" si="0"/>
        <v>14.46</v>
      </c>
      <c r="M21" s="2"/>
      <c r="N21" s="22">
        <f t="shared" si="1"/>
        <v>0</v>
      </c>
      <c r="O21" s="11"/>
      <c r="P21" s="2">
        <f>--1847.16</f>
        <v>1847.16</v>
      </c>
      <c r="Q21" s="2"/>
      <c r="R21" s="22"/>
      <c r="S21" s="2"/>
      <c r="T21" s="2"/>
      <c r="U21" s="2"/>
      <c r="V21" s="22"/>
      <c r="W21" s="2"/>
      <c r="X21" s="2">
        <f t="shared" si="2"/>
        <v>1847.16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ref="D22:D23" si="6">0</f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6"/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5" t="s">
        <v>8</v>
      </c>
      <c r="C25" s="10"/>
      <c r="D25" s="4">
        <f>SUM(OSRRefD16x_0)</f>
        <v>-4.3769432522822171E-12</v>
      </c>
      <c r="E25" s="4"/>
      <c r="F25" s="12">
        <f t="shared" ref="F25:F33" si="7">IF(D$12=0,0,D25/D$12)</f>
        <v>-2.4452196940124118E-13</v>
      </c>
      <c r="G25" s="4"/>
      <c r="H25" s="4">
        <f>SUM(OSRRefH16x_0)</f>
        <v>7328</v>
      </c>
      <c r="I25" s="4"/>
      <c r="J25" s="12">
        <f t="shared" ref="J25:J33" si="8">IF(H$12=0,0,H25/H$12)</f>
        <v>0.50360799945020962</v>
      </c>
      <c r="K25" s="4"/>
      <c r="L25" s="4">
        <f t="shared" ref="L25:L33" si="9">+D25-H25</f>
        <v>-7328.0000000000045</v>
      </c>
      <c r="M25" s="4"/>
      <c r="N25" s="12">
        <f t="shared" ref="N25:N33" si="10">IF(H25=0,0,L25/H25)</f>
        <v>-1.0000000000000007</v>
      </c>
      <c r="O25" s="10"/>
      <c r="P25" s="4">
        <f>SUM(OSRRefP16x_0)</f>
        <v>14183.049999999994</v>
      </c>
      <c r="Q25" s="4"/>
      <c r="R25" s="12">
        <f t="shared" ref="R25:R33" si="11">IF(P$12=0,0,P25/P$12)</f>
        <v>0.66549846283206748</v>
      </c>
      <c r="S25" s="4"/>
      <c r="T25" s="4">
        <f>SUM(OSRRefT16x_0)</f>
        <v>17648</v>
      </c>
      <c r="U25" s="4"/>
      <c r="V25" s="12">
        <f t="shared" ref="V25:V33" si="12">IF(T$12=0,0,T25/T$12)</f>
        <v>0.51284435661978378</v>
      </c>
      <c r="W25" s="4"/>
      <c r="X25" s="4">
        <f t="shared" ref="X25:X33" si="13">+P25-T25</f>
        <v>-3464.9500000000062</v>
      </c>
      <c r="Y25" s="4"/>
      <c r="Z25" s="12">
        <f t="shared" ref="Z25:Z33" si="14">IF(T25=0,0,X25/T25)</f>
        <v>-0.19633669537624696</v>
      </c>
    </row>
    <row r="26" spans="1:26" s="24" customFormat="1" hidden="1" outlineLevel="1" x14ac:dyDescent="0.2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7"/>
        <v>0</v>
      </c>
      <c r="G26" s="2"/>
      <c r="H26" s="2">
        <v>7328</v>
      </c>
      <c r="I26" s="2"/>
      <c r="J26" s="22">
        <f t="shared" si="8"/>
        <v>0.50360799945020962</v>
      </c>
      <c r="K26" s="2"/>
      <c r="L26" s="2">
        <f t="shared" si="9"/>
        <v>-7328</v>
      </c>
      <c r="M26" s="2"/>
      <c r="N26" s="22">
        <f t="shared" si="10"/>
        <v>-1</v>
      </c>
      <c r="O26" s="11"/>
      <c r="P26" s="2"/>
      <c r="Q26" s="2"/>
      <c r="R26" s="22">
        <f t="shared" si="11"/>
        <v>0</v>
      </c>
      <c r="S26" s="2"/>
      <c r="T26" s="2">
        <v>17648</v>
      </c>
      <c r="U26" s="2"/>
      <c r="V26" s="22">
        <f t="shared" si="12"/>
        <v>0.51284435661978378</v>
      </c>
      <c r="W26" s="2"/>
      <c r="X26" s="2">
        <f t="shared" si="13"/>
        <v>-17648</v>
      </c>
      <c r="Y26" s="2"/>
      <c r="Z26" s="22">
        <f t="shared" si="14"/>
        <v>-1</v>
      </c>
    </row>
    <row r="27" spans="1:26" s="24" customFormat="1" hidden="1" outlineLevel="1" x14ac:dyDescent="0.25">
      <c r="A27" s="51"/>
      <c r="B27" s="11" t="str">
        <f>CONCATENATE("          ", "5026", " - ", "PURCHASES @ COST-WRITING INSTR")</f>
        <v xml:space="preserve">          5026 - PURCHASES @ COST-WRITING INSTR</v>
      </c>
      <c r="C27" s="11"/>
      <c r="D27" s="2">
        <v>370.02</v>
      </c>
      <c r="E27" s="2"/>
      <c r="F27" s="22">
        <f t="shared" si="7"/>
        <v>20.67150837988827</v>
      </c>
      <c r="G27" s="2"/>
      <c r="H27" s="2"/>
      <c r="I27" s="2"/>
      <c r="J27" s="22">
        <f t="shared" si="8"/>
        <v>0</v>
      </c>
      <c r="K27" s="2"/>
      <c r="L27" s="2">
        <f t="shared" si="9"/>
        <v>370.02</v>
      </c>
      <c r="M27" s="2"/>
      <c r="N27" s="22">
        <f t="shared" si="10"/>
        <v>0</v>
      </c>
      <c r="O27" s="11"/>
      <c r="P27" s="2">
        <v>370.02</v>
      </c>
      <c r="Q27" s="2"/>
      <c r="R27" s="22">
        <f t="shared" si="11"/>
        <v>1.7362114722652863E-2</v>
      </c>
      <c r="S27" s="2"/>
      <c r="T27" s="2"/>
      <c r="U27" s="2"/>
      <c r="V27" s="22">
        <f t="shared" si="12"/>
        <v>0</v>
      </c>
      <c r="W27" s="2"/>
      <c r="X27" s="2">
        <f t="shared" si="13"/>
        <v>370.02</v>
      </c>
      <c r="Y27" s="2"/>
      <c r="Z27" s="22">
        <f t="shared" si="14"/>
        <v>0</v>
      </c>
    </row>
    <row r="28" spans="1:26" s="24" customFormat="1" hidden="1" outlineLevel="1" x14ac:dyDescent="0.25">
      <c r="A28" s="51"/>
      <c r="B28" s="11" t="str">
        <f>CONCATENATE("          ", "5027", " - ", "PURCHASES @ COST-SCHOOL SUPPLI")</f>
        <v xml:space="preserve">          5027 - PURCHASES @ COST-SCHOOL SUPPLI</v>
      </c>
      <c r="C28" s="11"/>
      <c r="D28" s="2">
        <v>895.47</v>
      </c>
      <c r="E28" s="2"/>
      <c r="F28" s="22">
        <f t="shared" si="7"/>
        <v>50.026256983240231</v>
      </c>
      <c r="G28" s="2"/>
      <c r="H28" s="2"/>
      <c r="I28" s="2"/>
      <c r="J28" s="22">
        <f t="shared" si="8"/>
        <v>0</v>
      </c>
      <c r="K28" s="2"/>
      <c r="L28" s="2">
        <f t="shared" si="9"/>
        <v>895.47</v>
      </c>
      <c r="M28" s="2"/>
      <c r="N28" s="22">
        <f t="shared" si="10"/>
        <v>0</v>
      </c>
      <c r="O28" s="11"/>
      <c r="P28" s="2">
        <v>895.47</v>
      </c>
      <c r="Q28" s="2"/>
      <c r="R28" s="22">
        <f t="shared" si="11"/>
        <v>4.201733114613794E-2</v>
      </c>
      <c r="S28" s="2"/>
      <c r="T28" s="2"/>
      <c r="U28" s="2"/>
      <c r="V28" s="22">
        <f t="shared" si="12"/>
        <v>0</v>
      </c>
      <c r="W28" s="2"/>
      <c r="X28" s="2">
        <f t="shared" si="13"/>
        <v>895.47</v>
      </c>
      <c r="Y28" s="2"/>
      <c r="Z28" s="22">
        <f t="shared" si="14"/>
        <v>0</v>
      </c>
    </row>
    <row r="29" spans="1:26" s="24" customFormat="1" hidden="1" outlineLevel="1" x14ac:dyDescent="0.25">
      <c r="A29" s="51"/>
      <c r="B29" s="11" t="str">
        <f>CONCATENATE("          ", "5028", " - ", "PURCHASES @ COST-ART/TECH")</f>
        <v xml:space="preserve">          5028 - PURCHASES @ COST-ART/TECH</v>
      </c>
      <c r="C29" s="11"/>
      <c r="D29" s="2">
        <v>41425.96</v>
      </c>
      <c r="E29" s="2"/>
      <c r="F29" s="22">
        <f t="shared" si="7"/>
        <v>2314.2994413407823</v>
      </c>
      <c r="G29" s="2"/>
      <c r="H29" s="2"/>
      <c r="I29" s="2"/>
      <c r="J29" s="22">
        <f t="shared" si="8"/>
        <v>0</v>
      </c>
      <c r="K29" s="2"/>
      <c r="L29" s="2">
        <f t="shared" si="9"/>
        <v>41425.96</v>
      </c>
      <c r="M29" s="2"/>
      <c r="N29" s="22">
        <f t="shared" si="10"/>
        <v>0</v>
      </c>
      <c r="O29" s="11"/>
      <c r="P29" s="2">
        <v>41425.96</v>
      </c>
      <c r="Q29" s="2"/>
      <c r="R29" s="22">
        <f t="shared" si="11"/>
        <v>1.9437929571807704</v>
      </c>
      <c r="S29" s="2"/>
      <c r="T29" s="2"/>
      <c r="U29" s="2"/>
      <c r="V29" s="22">
        <f t="shared" si="12"/>
        <v>0</v>
      </c>
      <c r="W29" s="2"/>
      <c r="X29" s="2">
        <f t="shared" si="13"/>
        <v>41425.96</v>
      </c>
      <c r="Y29" s="2"/>
      <c r="Z29" s="22">
        <f t="shared" si="14"/>
        <v>0</v>
      </c>
    </row>
    <row r="30" spans="1:26" s="24" customFormat="1" hidden="1" outlineLevel="1" x14ac:dyDescent="0.25">
      <c r="A30" s="51"/>
      <c r="B30" s="11" t="str">
        <f>CONCATENATE("          ", "5031", " - ", "PURCHASES @ COST-FOOD")</f>
        <v xml:space="preserve">          5031 - PURCHASES @ COST-FOOD</v>
      </c>
      <c r="C30" s="11"/>
      <c r="D30" s="2">
        <v>47.26</v>
      </c>
      <c r="E30" s="2"/>
      <c r="F30" s="22">
        <f t="shared" si="7"/>
        <v>2.6402234636871511</v>
      </c>
      <c r="G30" s="2"/>
      <c r="H30" s="2"/>
      <c r="I30" s="2"/>
      <c r="J30" s="22">
        <f t="shared" si="8"/>
        <v>0</v>
      </c>
      <c r="K30" s="2"/>
      <c r="L30" s="2">
        <f t="shared" si="9"/>
        <v>47.26</v>
      </c>
      <c r="M30" s="2"/>
      <c r="N30" s="22">
        <f t="shared" si="10"/>
        <v>0</v>
      </c>
      <c r="O30" s="11"/>
      <c r="P30" s="2">
        <v>2929.67</v>
      </c>
      <c r="Q30" s="2"/>
      <c r="R30" s="22">
        <f t="shared" si="11"/>
        <v>0.13746626301149781</v>
      </c>
      <c r="S30" s="2"/>
      <c r="T30" s="2"/>
      <c r="U30" s="2"/>
      <c r="V30" s="22">
        <f t="shared" si="12"/>
        <v>0</v>
      </c>
      <c r="W30" s="2"/>
      <c r="X30" s="2">
        <f t="shared" si="13"/>
        <v>2929.67</v>
      </c>
      <c r="Y30" s="2"/>
      <c r="Z30" s="22">
        <f t="shared" si="14"/>
        <v>0</v>
      </c>
    </row>
    <row r="31" spans="1:26" s="24" customFormat="1" hidden="1" outlineLevel="1" x14ac:dyDescent="0.25">
      <c r="A31" s="51"/>
      <c r="B31" s="11" t="str">
        <f>CONCATENATE("          ", "5200", " - ", "PURCHASES OFFSET")</f>
        <v xml:space="preserve">          5200 - PURCHASES OFFSET</v>
      </c>
      <c r="C31" s="11"/>
      <c r="D31" s="2">
        <v>-42974.16</v>
      </c>
      <c r="E31" s="2"/>
      <c r="F31" s="22">
        <f t="shared" si="7"/>
        <v>-2400.7910614525144</v>
      </c>
      <c r="G31" s="2"/>
      <c r="H31" s="2"/>
      <c r="I31" s="2"/>
      <c r="J31" s="22">
        <f t="shared" si="8"/>
        <v>0</v>
      </c>
      <c r="K31" s="2"/>
      <c r="L31" s="2">
        <f t="shared" si="9"/>
        <v>-42974.16</v>
      </c>
      <c r="M31" s="2"/>
      <c r="N31" s="22">
        <f t="shared" si="10"/>
        <v>0</v>
      </c>
      <c r="O31" s="11"/>
      <c r="P31" s="2">
        <v>-45863.33</v>
      </c>
      <c r="Q31" s="2"/>
      <c r="R31" s="22">
        <f t="shared" si="11"/>
        <v>-2.1520036674311842</v>
      </c>
      <c r="S31" s="2"/>
      <c r="T31" s="2"/>
      <c r="U31" s="2"/>
      <c r="V31" s="22">
        <f t="shared" si="12"/>
        <v>0</v>
      </c>
      <c r="W31" s="2"/>
      <c r="X31" s="2">
        <f t="shared" si="13"/>
        <v>-45863.33</v>
      </c>
      <c r="Y31" s="2"/>
      <c r="Z31" s="22">
        <f t="shared" si="14"/>
        <v>0</v>
      </c>
    </row>
    <row r="32" spans="1:26" s="24" customFormat="1" hidden="1" outlineLevel="1" x14ac:dyDescent="0.25">
      <c r="A32" s="51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22">
        <f t="shared" si="7"/>
        <v>0</v>
      </c>
      <c r="G32" s="2"/>
      <c r="H32" s="2"/>
      <c r="I32" s="2"/>
      <c r="J32" s="22">
        <f t="shared" si="8"/>
        <v>0</v>
      </c>
      <c r="K32" s="2"/>
      <c r="L32" s="2">
        <f t="shared" si="9"/>
        <v>0</v>
      </c>
      <c r="M32" s="2"/>
      <c r="N32" s="22">
        <f t="shared" si="10"/>
        <v>0</v>
      </c>
      <c r="O32" s="11"/>
      <c r="P32" s="2">
        <v>14145</v>
      </c>
      <c r="Q32" s="2"/>
      <c r="R32" s="22">
        <f t="shared" si="11"/>
        <v>0.66371307700103988</v>
      </c>
      <c r="S32" s="2"/>
      <c r="T32" s="2"/>
      <c r="U32" s="2"/>
      <c r="V32" s="22">
        <f t="shared" si="12"/>
        <v>0</v>
      </c>
      <c r="W32" s="2"/>
      <c r="X32" s="2">
        <f t="shared" si="13"/>
        <v>14145</v>
      </c>
      <c r="Y32" s="2"/>
      <c r="Z32" s="22">
        <f t="shared" si="14"/>
        <v>0</v>
      </c>
    </row>
    <row r="33" spans="1:26" s="24" customFormat="1" hidden="1" outlineLevel="1" x14ac:dyDescent="0.25">
      <c r="A33" s="51"/>
      <c r="B33" s="11" t="str">
        <f>CONCATENATE("          ", "5528", " - ", "FREIGHT-IN-ART/TECH")</f>
        <v xml:space="preserve">          5528 - FREIGHT-IN-ART/TECH</v>
      </c>
      <c r="C33" s="11"/>
      <c r="D33" s="2">
        <v>235.45</v>
      </c>
      <c r="E33" s="2"/>
      <c r="F33" s="22">
        <f t="shared" si="7"/>
        <v>13.153631284916202</v>
      </c>
      <c r="G33" s="2"/>
      <c r="H33" s="2"/>
      <c r="I33" s="2"/>
      <c r="J33" s="22">
        <f t="shared" si="8"/>
        <v>0</v>
      </c>
      <c r="K33" s="2"/>
      <c r="L33" s="2">
        <f t="shared" si="9"/>
        <v>235.45</v>
      </c>
      <c r="M33" s="2"/>
      <c r="N33" s="22">
        <f t="shared" si="10"/>
        <v>0</v>
      </c>
      <c r="O33" s="11"/>
      <c r="P33" s="2">
        <v>280.26</v>
      </c>
      <c r="Q33" s="2"/>
      <c r="R33" s="22">
        <f t="shared" si="11"/>
        <v>1.3150387201153158E-2</v>
      </c>
      <c r="S33" s="2"/>
      <c r="T33" s="2"/>
      <c r="U33" s="2"/>
      <c r="V33" s="22">
        <f t="shared" si="12"/>
        <v>0</v>
      </c>
      <c r="W33" s="2"/>
      <c r="X33" s="2">
        <f t="shared" si="13"/>
        <v>280.26</v>
      </c>
      <c r="Y33" s="2"/>
      <c r="Z33" s="22">
        <f t="shared" si="14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6" t="s">
        <v>6</v>
      </c>
      <c r="C35" s="26"/>
      <c r="D35" s="20">
        <f>D12-D25</f>
        <v>17.900000000004376</v>
      </c>
      <c r="E35" s="13"/>
      <c r="F35" s="19">
        <f>IF(D$12=0,0,D35/D$12)</f>
        <v>1.0000000000002445</v>
      </c>
      <c r="G35" s="13"/>
      <c r="H35" s="20">
        <f>H12-H25</f>
        <v>7223</v>
      </c>
      <c r="I35" s="13"/>
      <c r="J35" s="19">
        <f>IF(H$12=0,0,H35/H$12)</f>
        <v>0.49639200054979038</v>
      </c>
      <c r="K35" s="15"/>
      <c r="L35" s="20">
        <f>+D35-H35</f>
        <v>-7205.0999999999958</v>
      </c>
      <c r="M35" s="15"/>
      <c r="N35" s="19">
        <f>IF(H35=0,0,L35/H35)</f>
        <v>-0.99752180534403934</v>
      </c>
      <c r="O35" s="25"/>
      <c r="P35" s="20">
        <f>P12-P25</f>
        <v>7128.8700000000044</v>
      </c>
      <c r="Q35" s="13"/>
      <c r="R35" s="19">
        <f>IF(P$12=0,0,P35/P$12)</f>
        <v>0.33450153716793257</v>
      </c>
      <c r="S35" s="13"/>
      <c r="T35" s="20">
        <f>T12-T25</f>
        <v>16764</v>
      </c>
      <c r="U35" s="13"/>
      <c r="V35" s="19">
        <f>IF(T$12=0,0,T35/T$12)</f>
        <v>0.48715564338021622</v>
      </c>
      <c r="W35" s="15"/>
      <c r="X35" s="20">
        <f>+P35-T35</f>
        <v>-9635.1299999999956</v>
      </c>
      <c r="Y35" s="15"/>
      <c r="Z35" s="19">
        <f>IF(T35=0,0,X35/T35)</f>
        <v>-0.57475125268432325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5" t="s">
        <v>9</v>
      </c>
      <c r="C37" s="10"/>
      <c r="D37" s="21">
        <f>SUM(OSRRefD22x_0)</f>
        <v>1424.39</v>
      </c>
      <c r="E37" s="21"/>
      <c r="F37" s="31">
        <f t="shared" ref="F37:F46" si="15">IF(D$12=0,0,D37/D$12)</f>
        <v>79.574860335195538</v>
      </c>
      <c r="G37" s="21"/>
      <c r="H37" s="21">
        <f>SUM(OSRRefH22x_0)</f>
        <v>12579.762043999999</v>
      </c>
      <c r="I37" s="21"/>
      <c r="J37" s="31">
        <f t="shared" ref="J37:J46" si="16">IF(H$12=0,0,H37/H$12)</f>
        <v>0.86452903882894638</v>
      </c>
      <c r="K37" s="4"/>
      <c r="L37" s="21">
        <f t="shared" ref="L37:L46" si="17">+D37-H37</f>
        <v>-11155.372044</v>
      </c>
      <c r="M37" s="4"/>
      <c r="N37" s="31">
        <f t="shared" ref="N37:N46" si="18">IF(H37=0,0,L37/H37)</f>
        <v>-0.88677130815209881</v>
      </c>
      <c r="O37" s="10"/>
      <c r="P37" s="21">
        <f>SUM(OSRRefP22x_0)</f>
        <v>11618.059999999996</v>
      </c>
      <c r="Q37" s="21"/>
      <c r="R37" s="31">
        <f t="shared" ref="R37:R46" si="19">IF(P$12=0,0,P37/P$12)</f>
        <v>0.54514375053960396</v>
      </c>
      <c r="S37" s="21"/>
      <c r="T37" s="21">
        <f>SUM(OSRRefT22x_0)</f>
        <v>41416.230011</v>
      </c>
      <c r="U37" s="21"/>
      <c r="V37" s="31">
        <f t="shared" ref="V37:V46" si="20">IF(T$12=0,0,T37/T$12)</f>
        <v>1.2035403350865976</v>
      </c>
      <c r="W37" s="4"/>
      <c r="X37" s="21">
        <f t="shared" ref="X37:X46" si="21">+P37-T37</f>
        <v>-29798.170011000002</v>
      </c>
      <c r="Y37" s="4"/>
      <c r="Z37" s="31">
        <f t="shared" ref="Z37:Z46" si="22">IF(T37=0,0,X37/T37)</f>
        <v>-0.71948050324922663</v>
      </c>
    </row>
    <row r="38" spans="1:26" s="27" customFormat="1" outlineLevel="1" collapsed="1" x14ac:dyDescent="0.25">
      <c r="A38" s="29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214.64</v>
      </c>
      <c r="E38" s="1"/>
      <c r="F38" s="5">
        <f t="shared" si="15"/>
        <v>11.991061452513966</v>
      </c>
      <c r="G38" s="1"/>
      <c r="H38" s="1">
        <f>SUM(OSRRefH22_0x_0)</f>
        <v>2113.6920440000004</v>
      </c>
      <c r="I38" s="1"/>
      <c r="J38" s="5">
        <f t="shared" si="16"/>
        <v>0.14526094728884614</v>
      </c>
      <c r="K38" s="1"/>
      <c r="L38" s="1">
        <f t="shared" si="17"/>
        <v>-1899.0520440000005</v>
      </c>
      <c r="M38" s="1"/>
      <c r="N38" s="5">
        <f t="shared" si="18"/>
        <v>-0.89845256757753122</v>
      </c>
      <c r="O38" s="14"/>
      <c r="P38" s="1">
        <f>SUM(OSRRefP22_0x_0)</f>
        <v>776.81</v>
      </c>
      <c r="Q38" s="1"/>
      <c r="R38" s="5">
        <f t="shared" si="19"/>
        <v>3.6449554990822038E-2</v>
      </c>
      <c r="S38" s="1"/>
      <c r="T38" s="1">
        <f>SUM(OSRRefT22_0x_0)</f>
        <v>7611.3800110000002</v>
      </c>
      <c r="U38" s="1"/>
      <c r="V38" s="5">
        <f t="shared" si="20"/>
        <v>0.22118388966058353</v>
      </c>
      <c r="W38" s="1"/>
      <c r="X38" s="1">
        <f t="shared" si="21"/>
        <v>-6834.5700109999998</v>
      </c>
      <c r="Y38" s="1"/>
      <c r="Z38" s="5">
        <f t="shared" si="22"/>
        <v>-0.89794097799908146</v>
      </c>
    </row>
    <row r="39" spans="1:26" s="24" customFormat="1" hidden="1" outlineLevel="2" x14ac:dyDescent="0.25">
      <c r="A39" s="28"/>
      <c r="B39" s="11" t="str">
        <f>CONCATENATE("          ", "6111", " - ", "F.I.C.A.")</f>
        <v xml:space="preserve">          6111 - F.I.C.A.</v>
      </c>
      <c r="C39" s="11"/>
      <c r="D39" s="7">
        <v>76.819999999999993</v>
      </c>
      <c r="E39" s="2"/>
      <c r="F39" s="6">
        <f t="shared" si="15"/>
        <v>4.2916201117318433</v>
      </c>
      <c r="G39" s="2"/>
      <c r="H39" s="7">
        <v>471.72326700000002</v>
      </c>
      <c r="I39" s="2"/>
      <c r="J39" s="6">
        <f t="shared" si="16"/>
        <v>3.2418615009277715E-2</v>
      </c>
      <c r="K39" s="2"/>
      <c r="L39" s="7">
        <f t="shared" si="17"/>
        <v>-394.90326700000003</v>
      </c>
      <c r="M39" s="2"/>
      <c r="N39" s="6">
        <f t="shared" si="18"/>
        <v>-0.83715028413046244</v>
      </c>
      <c r="O39" s="11"/>
      <c r="P39" s="7">
        <v>483.22</v>
      </c>
      <c r="Q39" s="2"/>
      <c r="R39" s="6">
        <f t="shared" si="19"/>
        <v>2.2673696222583421E-2</v>
      </c>
      <c r="S39" s="2"/>
      <c r="T39" s="7">
        <v>1624.670676</v>
      </c>
      <c r="U39" s="2"/>
      <c r="V39" s="6">
        <f t="shared" si="20"/>
        <v>4.7212329303731253E-2</v>
      </c>
      <c r="W39" s="2"/>
      <c r="X39" s="7">
        <f t="shared" si="21"/>
        <v>-1141.4506759999999</v>
      </c>
      <c r="Y39" s="2"/>
      <c r="Z39" s="6">
        <f t="shared" si="22"/>
        <v>-0.70257356943888116</v>
      </c>
    </row>
    <row r="40" spans="1:26" s="24" customFormat="1" hidden="1" outlineLevel="2" x14ac:dyDescent="0.25">
      <c r="A40" s="28"/>
      <c r="B40" s="11" t="str">
        <f>CONCATENATE("          ", "6112", " - ", "COMPENSATION INSURANCE")</f>
        <v xml:space="preserve">          6112 - COMPENSATION INSURANCE</v>
      </c>
      <c r="C40" s="11"/>
      <c r="D40" s="7">
        <v>120.84</v>
      </c>
      <c r="E40" s="2"/>
      <c r="F40" s="6">
        <f t="shared" si="15"/>
        <v>6.7508379888268166</v>
      </c>
      <c r="G40" s="2"/>
      <c r="H40" s="7">
        <v>154.14329499999999</v>
      </c>
      <c r="I40" s="2"/>
      <c r="J40" s="6">
        <f t="shared" si="16"/>
        <v>1.0593312830733283E-2</v>
      </c>
      <c r="K40" s="2"/>
      <c r="L40" s="7">
        <f t="shared" si="17"/>
        <v>-33.303294999999991</v>
      </c>
      <c r="M40" s="2"/>
      <c r="N40" s="6">
        <f t="shared" si="18"/>
        <v>-0.21605412677859256</v>
      </c>
      <c r="O40" s="11"/>
      <c r="P40" s="7">
        <v>255.57</v>
      </c>
      <c r="Q40" s="2"/>
      <c r="R40" s="6">
        <f t="shared" si="19"/>
        <v>1.1991880600152403E-2</v>
      </c>
      <c r="S40" s="2"/>
      <c r="T40" s="7">
        <v>485.99222500000002</v>
      </c>
      <c r="U40" s="2"/>
      <c r="V40" s="6">
        <f t="shared" si="20"/>
        <v>1.4122754417063815E-2</v>
      </c>
      <c r="W40" s="2"/>
      <c r="X40" s="7">
        <f t="shared" si="21"/>
        <v>-230.42222500000003</v>
      </c>
      <c r="Y40" s="2"/>
      <c r="Z40" s="6">
        <f t="shared" si="22"/>
        <v>-0.4741273895894117</v>
      </c>
    </row>
    <row r="41" spans="1:26" s="24" customFormat="1" hidden="1" outlineLevel="2" x14ac:dyDescent="0.25">
      <c r="A41" s="28"/>
      <c r="B41" s="11" t="str">
        <f>CONCATENATE("          ", "6113", " - ", "GROUP INSURANCE")</f>
        <v xml:space="preserve">          6113 - GROUP INSURANCE</v>
      </c>
      <c r="C41" s="11"/>
      <c r="D41" s="7"/>
      <c r="E41" s="2"/>
      <c r="F41" s="6">
        <f t="shared" si="15"/>
        <v>0</v>
      </c>
      <c r="G41" s="2"/>
      <c r="H41" s="7">
        <v>665</v>
      </c>
      <c r="I41" s="2"/>
      <c r="J41" s="6">
        <f t="shared" si="16"/>
        <v>4.5701326369321699E-2</v>
      </c>
      <c r="K41" s="2"/>
      <c r="L41" s="7">
        <f t="shared" si="17"/>
        <v>-665</v>
      </c>
      <c r="M41" s="2"/>
      <c r="N41" s="6">
        <f t="shared" si="18"/>
        <v>-1</v>
      </c>
      <c r="O41" s="11"/>
      <c r="P41" s="7"/>
      <c r="Q41" s="2"/>
      <c r="R41" s="6">
        <f t="shared" si="19"/>
        <v>0</v>
      </c>
      <c r="S41" s="2"/>
      <c r="T41" s="7">
        <v>2660</v>
      </c>
      <c r="U41" s="2"/>
      <c r="V41" s="6">
        <f t="shared" si="20"/>
        <v>7.7298616761594788E-2</v>
      </c>
      <c r="W41" s="2"/>
      <c r="X41" s="7">
        <f t="shared" si="21"/>
        <v>-2660</v>
      </c>
      <c r="Y41" s="2"/>
      <c r="Z41" s="6">
        <f t="shared" si="22"/>
        <v>-1</v>
      </c>
    </row>
    <row r="42" spans="1:26" s="24" customFormat="1" hidden="1" outlineLevel="2" x14ac:dyDescent="0.25">
      <c r="A42" s="28"/>
      <c r="B42" s="11" t="str">
        <f>CONCATENATE("          ", "6114", " - ", "STATE UNEMPLOYMENT INSURANCE")</f>
        <v xml:space="preserve">          6114 - STATE UNEMPLOYMENT INSURANCE</v>
      </c>
      <c r="C42" s="11"/>
      <c r="D42" s="7">
        <v>16.98</v>
      </c>
      <c r="E42" s="2"/>
      <c r="F42" s="6">
        <f t="shared" si="15"/>
        <v>0.94860335195530732</v>
      </c>
      <c r="G42" s="2"/>
      <c r="H42" s="7">
        <v>21.663381999999999</v>
      </c>
      <c r="I42" s="2"/>
      <c r="J42" s="6">
        <f t="shared" si="16"/>
        <v>1.4887899113462991E-3</v>
      </c>
      <c r="K42" s="2"/>
      <c r="L42" s="7">
        <f t="shared" si="17"/>
        <v>-4.6833819999999982</v>
      </c>
      <c r="M42" s="2"/>
      <c r="N42" s="6">
        <f t="shared" si="18"/>
        <v>-0.21618886653985969</v>
      </c>
      <c r="O42" s="11"/>
      <c r="P42" s="7">
        <v>38.020000000000003</v>
      </c>
      <c r="Q42" s="2"/>
      <c r="R42" s="6">
        <f t="shared" si="19"/>
        <v>1.7839781680862169E-3</v>
      </c>
      <c r="S42" s="2"/>
      <c r="T42" s="7">
        <v>68.301609999999997</v>
      </c>
      <c r="U42" s="2"/>
      <c r="V42" s="6">
        <f t="shared" si="20"/>
        <v>1.9848195396954551E-3</v>
      </c>
      <c r="W42" s="2"/>
      <c r="X42" s="7">
        <f t="shared" si="21"/>
        <v>-30.281609999999993</v>
      </c>
      <c r="Y42" s="2"/>
      <c r="Z42" s="6">
        <f t="shared" si="22"/>
        <v>-0.44335133534919596</v>
      </c>
    </row>
    <row r="43" spans="1:26" s="24" customFormat="1" hidden="1" outlineLevel="2" x14ac:dyDescent="0.25">
      <c r="A43" s="28"/>
      <c r="B43" s="11" t="str">
        <f>CONCATENATE("          ", "6115", " - ", "P.E.R.S.")</f>
        <v xml:space="preserve">          6115 - P.E.R.S.</v>
      </c>
      <c r="C43" s="11"/>
      <c r="D43" s="7"/>
      <c r="E43" s="2"/>
      <c r="F43" s="6">
        <f t="shared" si="15"/>
        <v>0</v>
      </c>
      <c r="G43" s="2"/>
      <c r="H43" s="7">
        <v>447.2</v>
      </c>
      <c r="I43" s="2"/>
      <c r="J43" s="6">
        <f t="shared" si="16"/>
        <v>3.0733282935880693E-2</v>
      </c>
      <c r="K43" s="2"/>
      <c r="L43" s="7">
        <f t="shared" si="17"/>
        <v>-447.2</v>
      </c>
      <c r="M43" s="2"/>
      <c r="N43" s="6">
        <f t="shared" si="18"/>
        <v>-1</v>
      </c>
      <c r="O43" s="11"/>
      <c r="P43" s="7"/>
      <c r="Q43" s="2"/>
      <c r="R43" s="6">
        <f t="shared" si="19"/>
        <v>0</v>
      </c>
      <c r="S43" s="2"/>
      <c r="T43" s="7">
        <v>1609.92</v>
      </c>
      <c r="U43" s="2"/>
      <c r="V43" s="6">
        <f t="shared" si="20"/>
        <v>4.6783680111588982E-2</v>
      </c>
      <c r="W43" s="2"/>
      <c r="X43" s="7">
        <f t="shared" si="21"/>
        <v>-1609.92</v>
      </c>
      <c r="Y43" s="2"/>
      <c r="Z43" s="6">
        <f t="shared" si="22"/>
        <v>-1</v>
      </c>
    </row>
    <row r="44" spans="1:26" s="24" customFormat="1" hidden="1" outlineLevel="2" x14ac:dyDescent="0.25">
      <c r="A44" s="28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5"/>
        <v>0</v>
      </c>
      <c r="G44" s="2"/>
      <c r="H44" s="7">
        <v>0</v>
      </c>
      <c r="I44" s="2"/>
      <c r="J44" s="6">
        <f t="shared" si="16"/>
        <v>0</v>
      </c>
      <c r="K44" s="2"/>
      <c r="L44" s="7">
        <f t="shared" si="17"/>
        <v>0</v>
      </c>
      <c r="M44" s="2"/>
      <c r="N44" s="6">
        <f t="shared" si="18"/>
        <v>0</v>
      </c>
      <c r="O44" s="11"/>
      <c r="P44" s="7"/>
      <c r="Q44" s="2"/>
      <c r="R44" s="6">
        <f t="shared" si="19"/>
        <v>0</v>
      </c>
      <c r="S44" s="2"/>
      <c r="T44" s="7">
        <v>0</v>
      </c>
      <c r="U44" s="2"/>
      <c r="V44" s="6">
        <f t="shared" si="20"/>
        <v>0</v>
      </c>
      <c r="W44" s="2"/>
      <c r="X44" s="7">
        <f t="shared" si="21"/>
        <v>0</v>
      </c>
      <c r="Y44" s="2"/>
      <c r="Z44" s="6">
        <f t="shared" si="22"/>
        <v>0</v>
      </c>
    </row>
    <row r="45" spans="1:26" s="24" customFormat="1" hidden="1" outlineLevel="2" x14ac:dyDescent="0.25">
      <c r="A45" s="28"/>
      <c r="B45" s="11" t="str">
        <f>CONCATENATE("          ", "6118", " - ", "VACATION")</f>
        <v xml:space="preserve">          6118 - VACATION</v>
      </c>
      <c r="C45" s="11"/>
      <c r="D45" s="7"/>
      <c r="E45" s="2"/>
      <c r="F45" s="6">
        <f t="shared" si="15"/>
        <v>0</v>
      </c>
      <c r="G45" s="2"/>
      <c r="H45" s="7">
        <v>156</v>
      </c>
      <c r="I45" s="2"/>
      <c r="J45" s="6">
        <f t="shared" si="16"/>
        <v>1.0720912652051405E-2</v>
      </c>
      <c r="K45" s="2"/>
      <c r="L45" s="7">
        <f t="shared" si="17"/>
        <v>-156</v>
      </c>
      <c r="M45" s="2"/>
      <c r="N45" s="6">
        <f t="shared" si="18"/>
        <v>-1</v>
      </c>
      <c r="O45" s="11"/>
      <c r="P45" s="7"/>
      <c r="Q45" s="2"/>
      <c r="R45" s="6">
        <f t="shared" si="19"/>
        <v>0</v>
      </c>
      <c r="S45" s="2"/>
      <c r="T45" s="7">
        <v>561.6</v>
      </c>
      <c r="U45" s="2"/>
      <c r="V45" s="6">
        <f t="shared" si="20"/>
        <v>1.6319888411019414E-2</v>
      </c>
      <c r="W45" s="2"/>
      <c r="X45" s="7">
        <f t="shared" si="21"/>
        <v>-561.6</v>
      </c>
      <c r="Y45" s="2"/>
      <c r="Z45" s="6">
        <f t="shared" si="22"/>
        <v>-1</v>
      </c>
    </row>
    <row r="46" spans="1:26" s="24" customFormat="1" hidden="1" outlineLevel="2" x14ac:dyDescent="0.25">
      <c r="A46" s="28"/>
      <c r="B46" s="11" t="str">
        <f>CONCATENATE("          ", "6119", " - ", "SICK LEAVE")</f>
        <v xml:space="preserve">          6119 - SICK LEAVE</v>
      </c>
      <c r="C46" s="11"/>
      <c r="D46" s="7"/>
      <c r="E46" s="2"/>
      <c r="F46" s="6">
        <f t="shared" si="15"/>
        <v>0</v>
      </c>
      <c r="G46" s="2"/>
      <c r="H46" s="7">
        <v>197.96209999999999</v>
      </c>
      <c r="I46" s="2"/>
      <c r="J46" s="6">
        <f t="shared" si="16"/>
        <v>1.3604707580235034E-2</v>
      </c>
      <c r="K46" s="2"/>
      <c r="L46" s="7">
        <f t="shared" si="17"/>
        <v>-197.96209999999999</v>
      </c>
      <c r="M46" s="2"/>
      <c r="N46" s="6">
        <f t="shared" si="18"/>
        <v>-1</v>
      </c>
      <c r="O46" s="11"/>
      <c r="P46" s="7"/>
      <c r="Q46" s="2"/>
      <c r="R46" s="6">
        <f t="shared" si="19"/>
        <v>0</v>
      </c>
      <c r="S46" s="2"/>
      <c r="T46" s="7">
        <v>600.89549999999997</v>
      </c>
      <c r="U46" s="2"/>
      <c r="V46" s="6">
        <f t="shared" si="20"/>
        <v>1.7461801115889804E-2</v>
      </c>
      <c r="W46" s="2"/>
      <c r="X46" s="7">
        <f t="shared" si="21"/>
        <v>-600.89549999999997</v>
      </c>
      <c r="Y46" s="2"/>
      <c r="Z46" s="6">
        <f t="shared" si="22"/>
        <v>-1</v>
      </c>
    </row>
    <row r="47" spans="1:26" s="27" customFormat="1" outlineLevel="1" collapsed="1" x14ac:dyDescent="0.25">
      <c r="A47" s="29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891.38</v>
      </c>
      <c r="E47" s="1"/>
      <c r="F47" s="5">
        <f t="shared" ref="F47:F57" si="23">IF(D$12=0,0,D47/D$12)</f>
        <v>49.797765363128498</v>
      </c>
      <c r="G47" s="1"/>
      <c r="H47" s="1">
        <f>SUM(OSRRefH22_1x_0)</f>
        <v>8072.07</v>
      </c>
      <c r="I47" s="1"/>
      <c r="J47" s="5">
        <f t="shared" ref="J47:J57" si="24">IF(H$12=0,0,H47/H$12)</f>
        <v>0.55474331661054221</v>
      </c>
      <c r="K47" s="1"/>
      <c r="L47" s="1">
        <f t="shared" ref="L47:L57" si="25">+D47-H47</f>
        <v>-7180.69</v>
      </c>
      <c r="M47" s="1"/>
      <c r="N47" s="5">
        <f t="shared" ref="N47:N57" si="26">IF(H47=0,0,L47/H47)</f>
        <v>-0.88957231540360771</v>
      </c>
      <c r="O47" s="14"/>
      <c r="P47" s="1">
        <f>SUM(OSRRefP22_1x_0)</f>
        <v>8134.35</v>
      </c>
      <c r="Q47" s="1"/>
      <c r="R47" s="5">
        <f t="shared" ref="R47:R57" si="27">IF(P$12=0,0,P47/P$12)</f>
        <v>0.38168076832120246</v>
      </c>
      <c r="S47" s="1"/>
      <c r="T47" s="1">
        <f>SUM(OSRRefT22_1x_0)</f>
        <v>25333.85</v>
      </c>
      <c r="U47" s="1"/>
      <c r="V47" s="5">
        <f t="shared" ref="V47:V57" si="28">IF(T$12=0,0,T47/T$12)</f>
        <v>0.73619231663373241</v>
      </c>
      <c r="W47" s="1"/>
      <c r="X47" s="1">
        <f t="shared" ref="X47:X57" si="29">+P47-T47</f>
        <v>-17199.5</v>
      </c>
      <c r="Y47" s="1"/>
      <c r="Z47" s="5">
        <f t="shared" ref="Z47:Z57" si="30">IF(T47=0,0,X47/T47)</f>
        <v>-0.67891378531095747</v>
      </c>
    </row>
    <row r="48" spans="1:26" s="24" customFormat="1" hidden="1" outlineLevel="2" x14ac:dyDescent="0.25">
      <c r="A48" s="28"/>
      <c r="B48" s="11" t="str">
        <f>CONCATENATE("          ", "6001", " - ", "ADMINISTRATIVE SALARIES")</f>
        <v xml:space="preserve">          6001 - ADMINISTRATIVE SALARIES</v>
      </c>
      <c r="C48" s="11"/>
      <c r="D48" s="7"/>
      <c r="E48" s="2"/>
      <c r="F48" s="6">
        <f t="shared" si="23"/>
        <v>0</v>
      </c>
      <c r="G48" s="2"/>
      <c r="H48" s="7">
        <v>4940</v>
      </c>
      <c r="I48" s="2"/>
      <c r="J48" s="6">
        <f t="shared" si="24"/>
        <v>0.33949556731496117</v>
      </c>
      <c r="K48" s="2"/>
      <c r="L48" s="7">
        <f t="shared" si="25"/>
        <v>-4940</v>
      </c>
      <c r="M48" s="2"/>
      <c r="N48" s="6">
        <f t="shared" si="26"/>
        <v>-1</v>
      </c>
      <c r="O48" s="11"/>
      <c r="P48" s="7"/>
      <c r="Q48" s="2"/>
      <c r="R48" s="6">
        <f t="shared" si="27"/>
        <v>0</v>
      </c>
      <c r="S48" s="2"/>
      <c r="T48" s="7">
        <v>17784</v>
      </c>
      <c r="U48" s="2"/>
      <c r="V48" s="6">
        <f t="shared" si="28"/>
        <v>0.51679646634894805</v>
      </c>
      <c r="W48" s="2"/>
      <c r="X48" s="7">
        <f t="shared" si="29"/>
        <v>-17784</v>
      </c>
      <c r="Y48" s="2"/>
      <c r="Z48" s="6">
        <f t="shared" si="30"/>
        <v>-1</v>
      </c>
    </row>
    <row r="49" spans="1:26" s="24" customFormat="1" hidden="1" outlineLevel="2" x14ac:dyDescent="0.25">
      <c r="A49" s="28"/>
      <c r="B49" s="11" t="str">
        <f>CONCATENATE("          ", "6002", " - ", "STAFF SALARIES")</f>
        <v xml:space="preserve">          6002 - STAFF SALARIES</v>
      </c>
      <c r="C49" s="11"/>
      <c r="D49" s="7"/>
      <c r="E49" s="2"/>
      <c r="F49" s="6">
        <f t="shared" si="23"/>
        <v>0</v>
      </c>
      <c r="G49" s="2"/>
      <c r="H49" s="7">
        <v>0</v>
      </c>
      <c r="I49" s="2"/>
      <c r="J49" s="6">
        <f t="shared" si="24"/>
        <v>0</v>
      </c>
      <c r="K49" s="2"/>
      <c r="L49" s="7">
        <f t="shared" si="25"/>
        <v>0</v>
      </c>
      <c r="M49" s="2"/>
      <c r="N49" s="6">
        <f t="shared" si="26"/>
        <v>0</v>
      </c>
      <c r="O49" s="11"/>
      <c r="P49" s="7"/>
      <c r="Q49" s="2"/>
      <c r="R49" s="6">
        <f t="shared" si="27"/>
        <v>0</v>
      </c>
      <c r="S49" s="2"/>
      <c r="T49" s="7">
        <v>0</v>
      </c>
      <c r="U49" s="2"/>
      <c r="V49" s="6">
        <f t="shared" si="28"/>
        <v>0</v>
      </c>
      <c r="W49" s="2"/>
      <c r="X49" s="7">
        <f t="shared" si="29"/>
        <v>0</v>
      </c>
      <c r="Y49" s="2"/>
      <c r="Z49" s="6">
        <f t="shared" si="30"/>
        <v>0</v>
      </c>
    </row>
    <row r="50" spans="1:26" s="24" customFormat="1" hidden="1" outlineLevel="2" x14ac:dyDescent="0.25">
      <c r="A50" s="28"/>
      <c r="B50" s="11" t="str">
        <f>CONCATENATE("          ", "6003", " - ", "STAFF HOURLY-9 MONTH")</f>
        <v xml:space="preserve">          6003 - STAFF HOURLY-9 MONTH</v>
      </c>
      <c r="C50" s="11"/>
      <c r="D50" s="7"/>
      <c r="E50" s="2"/>
      <c r="F50" s="6">
        <f t="shared" si="23"/>
        <v>0</v>
      </c>
      <c r="G50" s="2"/>
      <c r="H50" s="7">
        <v>0</v>
      </c>
      <c r="I50" s="2"/>
      <c r="J50" s="6">
        <f t="shared" si="24"/>
        <v>0</v>
      </c>
      <c r="K50" s="2"/>
      <c r="L50" s="7">
        <f t="shared" si="25"/>
        <v>0</v>
      </c>
      <c r="M50" s="2"/>
      <c r="N50" s="6">
        <f t="shared" si="26"/>
        <v>0</v>
      </c>
      <c r="O50" s="11"/>
      <c r="P50" s="7"/>
      <c r="Q50" s="2"/>
      <c r="R50" s="6">
        <f t="shared" si="27"/>
        <v>0</v>
      </c>
      <c r="S50" s="2"/>
      <c r="T50" s="7">
        <v>0</v>
      </c>
      <c r="U50" s="2"/>
      <c r="V50" s="6">
        <f t="shared" si="28"/>
        <v>0</v>
      </c>
      <c r="W50" s="2"/>
      <c r="X50" s="7">
        <f t="shared" si="29"/>
        <v>0</v>
      </c>
      <c r="Y50" s="2"/>
      <c r="Z50" s="6">
        <f t="shared" si="30"/>
        <v>0</v>
      </c>
    </row>
    <row r="51" spans="1:26" s="24" customFormat="1" hidden="1" outlineLevel="2" x14ac:dyDescent="0.25">
      <c r="A51" s="28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6">
        <f t="shared" si="23"/>
        <v>0</v>
      </c>
      <c r="G51" s="2"/>
      <c r="H51" s="7">
        <v>963.9</v>
      </c>
      <c r="I51" s="2"/>
      <c r="J51" s="6">
        <f t="shared" si="24"/>
        <v>6.6242869905848392E-2</v>
      </c>
      <c r="K51" s="2"/>
      <c r="L51" s="7">
        <f t="shared" si="25"/>
        <v>-963.9</v>
      </c>
      <c r="M51" s="2"/>
      <c r="N51" s="6">
        <f t="shared" si="26"/>
        <v>-1</v>
      </c>
      <c r="O51" s="11"/>
      <c r="P51" s="7"/>
      <c r="Q51" s="2"/>
      <c r="R51" s="6">
        <f t="shared" si="27"/>
        <v>0</v>
      </c>
      <c r="S51" s="2"/>
      <c r="T51" s="7">
        <v>2509.1999999999998</v>
      </c>
      <c r="U51" s="2"/>
      <c r="V51" s="6">
        <f t="shared" si="28"/>
        <v>7.2916424503080321E-2</v>
      </c>
      <c r="W51" s="2"/>
      <c r="X51" s="7">
        <f t="shared" si="29"/>
        <v>-2509.1999999999998</v>
      </c>
      <c r="Y51" s="2"/>
      <c r="Z51" s="6">
        <f t="shared" si="30"/>
        <v>-1</v>
      </c>
    </row>
    <row r="52" spans="1:26" s="24" customFormat="1" hidden="1" outlineLevel="2" x14ac:dyDescent="0.25">
      <c r="A52" s="28"/>
      <c r="B52" s="11" t="str">
        <f>CONCATENATE("          ", "6005", " - ", "TEMPORARY WAGES-HOURLY")</f>
        <v xml:space="preserve">          6005 - TEMPORARY WAGES-HOURLY</v>
      </c>
      <c r="C52" s="11"/>
      <c r="D52" s="7">
        <v>1004.55</v>
      </c>
      <c r="E52" s="2"/>
      <c r="F52" s="6">
        <f t="shared" si="23"/>
        <v>56.120111731843579</v>
      </c>
      <c r="G52" s="2"/>
      <c r="H52" s="7">
        <v>0</v>
      </c>
      <c r="I52" s="2"/>
      <c r="J52" s="6">
        <f t="shared" si="24"/>
        <v>0</v>
      </c>
      <c r="K52" s="2"/>
      <c r="L52" s="7">
        <f t="shared" si="25"/>
        <v>1004.55</v>
      </c>
      <c r="M52" s="2"/>
      <c r="N52" s="6">
        <f t="shared" si="26"/>
        <v>0</v>
      </c>
      <c r="O52" s="11"/>
      <c r="P52" s="7">
        <v>5361</v>
      </c>
      <c r="Q52" s="2"/>
      <c r="R52" s="6">
        <f t="shared" si="27"/>
        <v>0.25154936767780661</v>
      </c>
      <c r="S52" s="2"/>
      <c r="T52" s="7">
        <v>0</v>
      </c>
      <c r="U52" s="2"/>
      <c r="V52" s="6">
        <f t="shared" si="28"/>
        <v>0</v>
      </c>
      <c r="W52" s="2"/>
      <c r="X52" s="7">
        <f t="shared" si="29"/>
        <v>5361</v>
      </c>
      <c r="Y52" s="2"/>
      <c r="Z52" s="6">
        <f t="shared" si="30"/>
        <v>0</v>
      </c>
    </row>
    <row r="53" spans="1:26" s="24" customFormat="1" hidden="1" outlineLevel="2" x14ac:dyDescent="0.25">
      <c r="A53" s="28"/>
      <c r="B53" s="11" t="str">
        <f>CONCATENATE("          ", "6006", " - ", "TEMPORARY PART TIME")</f>
        <v xml:space="preserve">          6006 - TEMPORARY PART TIME</v>
      </c>
      <c r="C53" s="11"/>
      <c r="D53" s="7"/>
      <c r="E53" s="2"/>
      <c r="F53" s="6">
        <f t="shared" si="23"/>
        <v>0</v>
      </c>
      <c r="G53" s="2"/>
      <c r="H53" s="7">
        <v>0</v>
      </c>
      <c r="I53" s="2"/>
      <c r="J53" s="6">
        <f t="shared" si="24"/>
        <v>0</v>
      </c>
      <c r="K53" s="2"/>
      <c r="L53" s="7">
        <f t="shared" si="25"/>
        <v>0</v>
      </c>
      <c r="M53" s="2"/>
      <c r="N53" s="6">
        <f t="shared" si="26"/>
        <v>0</v>
      </c>
      <c r="O53" s="11"/>
      <c r="P53" s="7"/>
      <c r="Q53" s="2"/>
      <c r="R53" s="6">
        <f t="shared" si="27"/>
        <v>0</v>
      </c>
      <c r="S53" s="2"/>
      <c r="T53" s="7">
        <v>0</v>
      </c>
      <c r="U53" s="2"/>
      <c r="V53" s="6">
        <f t="shared" si="28"/>
        <v>0</v>
      </c>
      <c r="W53" s="2"/>
      <c r="X53" s="7">
        <f t="shared" si="29"/>
        <v>0</v>
      </c>
      <c r="Y53" s="2"/>
      <c r="Z53" s="6">
        <f t="shared" si="30"/>
        <v>0</v>
      </c>
    </row>
    <row r="54" spans="1:26" s="24" customFormat="1" hidden="1" outlineLevel="2" x14ac:dyDescent="0.25">
      <c r="A54" s="28"/>
      <c r="B54" s="11" t="str">
        <f>CONCATENATE("          ", "6007", " - ", "STUDENT HOURLY")</f>
        <v xml:space="preserve">          6007 - STUDENT HOURLY</v>
      </c>
      <c r="C54" s="11"/>
      <c r="D54" s="7">
        <v>-113.17</v>
      </c>
      <c r="E54" s="2"/>
      <c r="F54" s="6">
        <f t="shared" si="23"/>
        <v>-6.3223463687150847</v>
      </c>
      <c r="G54" s="2"/>
      <c r="H54" s="7">
        <v>0</v>
      </c>
      <c r="I54" s="2"/>
      <c r="J54" s="6">
        <f t="shared" si="24"/>
        <v>0</v>
      </c>
      <c r="K54" s="2"/>
      <c r="L54" s="7">
        <f t="shared" si="25"/>
        <v>-113.17</v>
      </c>
      <c r="M54" s="2"/>
      <c r="N54" s="6">
        <f t="shared" si="26"/>
        <v>0</v>
      </c>
      <c r="O54" s="11"/>
      <c r="P54" s="7">
        <v>2773.35</v>
      </c>
      <c r="Q54" s="2"/>
      <c r="R54" s="6">
        <f t="shared" si="27"/>
        <v>0.13013140064339582</v>
      </c>
      <c r="S54" s="2"/>
      <c r="T54" s="7">
        <v>0</v>
      </c>
      <c r="U54" s="2"/>
      <c r="V54" s="6">
        <f t="shared" si="28"/>
        <v>0</v>
      </c>
      <c r="W54" s="2"/>
      <c r="X54" s="7">
        <f t="shared" si="29"/>
        <v>2773.35</v>
      </c>
      <c r="Y54" s="2"/>
      <c r="Z54" s="6">
        <f t="shared" si="30"/>
        <v>0</v>
      </c>
    </row>
    <row r="55" spans="1:26" s="24" customFormat="1" hidden="1" outlineLevel="2" x14ac:dyDescent="0.25">
      <c r="A55" s="28"/>
      <c r="B55" s="11" t="str">
        <f>CONCATENATE("          ", "6008", " - ", "STUDENT HOURLY-FICA EXEMPT")</f>
        <v xml:space="preserve">          6008 - STUDENT HOURLY-FICA EXEMPT</v>
      </c>
      <c r="C55" s="11"/>
      <c r="D55" s="7"/>
      <c r="E55" s="2"/>
      <c r="F55" s="6">
        <f t="shared" si="23"/>
        <v>0</v>
      </c>
      <c r="G55" s="2"/>
      <c r="H55" s="7">
        <v>2168.17</v>
      </c>
      <c r="I55" s="2"/>
      <c r="J55" s="6">
        <f t="shared" si="24"/>
        <v>0.14900487938973267</v>
      </c>
      <c r="K55" s="2"/>
      <c r="L55" s="7">
        <f t="shared" si="25"/>
        <v>-2168.17</v>
      </c>
      <c r="M55" s="2"/>
      <c r="N55" s="6">
        <f t="shared" si="26"/>
        <v>-1</v>
      </c>
      <c r="O55" s="11"/>
      <c r="P55" s="7"/>
      <c r="Q55" s="2"/>
      <c r="R55" s="6">
        <f t="shared" si="27"/>
        <v>0</v>
      </c>
      <c r="S55" s="2"/>
      <c r="T55" s="7">
        <v>5040.6499999999996</v>
      </c>
      <c r="U55" s="2"/>
      <c r="V55" s="6">
        <f t="shared" si="28"/>
        <v>0.14647942578170406</v>
      </c>
      <c r="W55" s="2"/>
      <c r="X55" s="7">
        <f t="shared" si="29"/>
        <v>-5040.6499999999996</v>
      </c>
      <c r="Y55" s="2"/>
      <c r="Z55" s="6">
        <f t="shared" si="30"/>
        <v>-1</v>
      </c>
    </row>
    <row r="56" spans="1:26" s="24" customFormat="1" hidden="1" outlineLevel="2" x14ac:dyDescent="0.25">
      <c r="A56" s="28"/>
      <c r="B56" s="11" t="str">
        <f>CONCATENATE("          ", "6009", " - ", "TEMPORARY-SEASONAL")</f>
        <v xml:space="preserve">          6009 - TEMPORARY-SEASONAL</v>
      </c>
      <c r="C56" s="11"/>
      <c r="D56" s="7"/>
      <c r="E56" s="2"/>
      <c r="F56" s="6">
        <f t="shared" si="23"/>
        <v>0</v>
      </c>
      <c r="G56" s="2"/>
      <c r="H56" s="7">
        <v>0</v>
      </c>
      <c r="I56" s="2"/>
      <c r="J56" s="6">
        <f t="shared" si="24"/>
        <v>0</v>
      </c>
      <c r="K56" s="2"/>
      <c r="L56" s="7">
        <f t="shared" si="25"/>
        <v>0</v>
      </c>
      <c r="M56" s="2"/>
      <c r="N56" s="6">
        <f t="shared" si="26"/>
        <v>0</v>
      </c>
      <c r="O56" s="11"/>
      <c r="P56" s="7"/>
      <c r="Q56" s="2"/>
      <c r="R56" s="6">
        <f t="shared" si="27"/>
        <v>0</v>
      </c>
      <c r="S56" s="2"/>
      <c r="T56" s="7">
        <v>0</v>
      </c>
      <c r="U56" s="2"/>
      <c r="V56" s="6">
        <f t="shared" si="28"/>
        <v>0</v>
      </c>
      <c r="W56" s="2"/>
      <c r="X56" s="7">
        <f t="shared" si="29"/>
        <v>0</v>
      </c>
      <c r="Y56" s="2"/>
      <c r="Z56" s="6">
        <f t="shared" si="30"/>
        <v>0</v>
      </c>
    </row>
    <row r="57" spans="1:26" s="24" customFormat="1" hidden="1" outlineLevel="2" x14ac:dyDescent="0.25">
      <c r="A57" s="28"/>
      <c r="B57" s="11" t="str">
        <f>CONCATENATE("          ", "6010", " - ", "GRATUITY")</f>
        <v xml:space="preserve">          6010 - GRATUITY</v>
      </c>
      <c r="C57" s="11"/>
      <c r="D57" s="7"/>
      <c r="E57" s="2"/>
      <c r="F57" s="6">
        <f t="shared" si="23"/>
        <v>0</v>
      </c>
      <c r="G57" s="2"/>
      <c r="H57" s="7">
        <v>0</v>
      </c>
      <c r="I57" s="2"/>
      <c r="J57" s="6">
        <f t="shared" si="24"/>
        <v>0</v>
      </c>
      <c r="K57" s="2"/>
      <c r="L57" s="7">
        <f t="shared" si="25"/>
        <v>0</v>
      </c>
      <c r="M57" s="2"/>
      <c r="N57" s="6">
        <f t="shared" si="26"/>
        <v>0</v>
      </c>
      <c r="O57" s="11"/>
      <c r="P57" s="7"/>
      <c r="Q57" s="2"/>
      <c r="R57" s="6">
        <f t="shared" si="27"/>
        <v>0</v>
      </c>
      <c r="S57" s="2"/>
      <c r="T57" s="7">
        <v>0</v>
      </c>
      <c r="U57" s="2"/>
      <c r="V57" s="6">
        <f t="shared" si="28"/>
        <v>0</v>
      </c>
      <c r="W57" s="2"/>
      <c r="X57" s="7">
        <f t="shared" si="29"/>
        <v>0</v>
      </c>
      <c r="Y57" s="2"/>
      <c r="Z57" s="6">
        <f t="shared" si="30"/>
        <v>0</v>
      </c>
    </row>
    <row r="58" spans="1:26" s="27" customFormat="1" outlineLevel="1" collapsed="1" x14ac:dyDescent="0.25">
      <c r="A58" s="29"/>
      <c r="B58" s="14" t="str">
        <f>CONCATENATE("     ","Advertising/Promo                                 ")</f>
        <v xml:space="preserve">     Advertising/Promo                                 </v>
      </c>
      <c r="C58" s="14"/>
      <c r="D58" s="1">
        <f>SUM(OSRRefD22_2x_0)</f>
        <v>124.72</v>
      </c>
      <c r="E58" s="1"/>
      <c r="F58" s="5">
        <f t="shared" ref="F58:F66" si="31">IF(D$12=0,0,D58/D$12)</f>
        <v>6.9675977653631289</v>
      </c>
      <c r="G58" s="1"/>
      <c r="H58" s="1">
        <f>SUM(OSRRefH22_2x_0)</f>
        <v>100</v>
      </c>
      <c r="I58" s="1"/>
      <c r="J58" s="5">
        <f t="shared" ref="J58:J66" si="32">IF(H$12=0,0,H58/H$12)</f>
        <v>6.8723799051611575E-3</v>
      </c>
      <c r="K58" s="1"/>
      <c r="L58" s="1">
        <f t="shared" ref="L58:L66" si="33">+D58-H58</f>
        <v>24.72</v>
      </c>
      <c r="M58" s="1"/>
      <c r="N58" s="5">
        <f t="shared" ref="N58:N66" si="34">IF(H58=0,0,L58/H58)</f>
        <v>0.24719999999999998</v>
      </c>
      <c r="O58" s="14"/>
      <c r="P58" s="1">
        <f>SUM(OSRRefP22_2x_0)</f>
        <v>124.72</v>
      </c>
      <c r="Q58" s="1"/>
      <c r="R58" s="5">
        <f t="shared" ref="R58:R66" si="35">IF(P$12=0,0,P58/P$12)</f>
        <v>5.8521240695347957E-3</v>
      </c>
      <c r="S58" s="1"/>
      <c r="T58" s="1">
        <f>SUM(OSRRefT22_2x_0)</f>
        <v>300</v>
      </c>
      <c r="U58" s="1"/>
      <c r="V58" s="5">
        <f t="shared" ref="V58:V66" si="36">IF(T$12=0,0,T58/T$12)</f>
        <v>8.7178891084505397E-3</v>
      </c>
      <c r="W58" s="1"/>
      <c r="X58" s="1">
        <f t="shared" ref="X58:X66" si="37">+P58-T58</f>
        <v>-175.28</v>
      </c>
      <c r="Y58" s="1"/>
      <c r="Z58" s="5">
        <f t="shared" ref="Z58:Z66" si="38">IF(T58=0,0,X58/T58)</f>
        <v>-0.58426666666666671</v>
      </c>
    </row>
    <row r="59" spans="1:26" s="24" customFormat="1" hidden="1" outlineLevel="2" x14ac:dyDescent="0.25">
      <c r="A59" s="28"/>
      <c r="B59" s="11" t="str">
        <f>CONCATENATE("          ", "6362", " - ", "ADVERTISING EXPENSE")</f>
        <v xml:space="preserve">          6362 - ADVERTISING EXPENSE</v>
      </c>
      <c r="C59" s="11"/>
      <c r="D59" s="7">
        <v>124.72</v>
      </c>
      <c r="E59" s="2"/>
      <c r="F59" s="6">
        <f t="shared" si="31"/>
        <v>6.9675977653631289</v>
      </c>
      <c r="G59" s="2"/>
      <c r="H59" s="7">
        <v>100</v>
      </c>
      <c r="I59" s="2"/>
      <c r="J59" s="6">
        <f t="shared" si="32"/>
        <v>6.8723799051611575E-3</v>
      </c>
      <c r="K59" s="2"/>
      <c r="L59" s="7">
        <f t="shared" si="33"/>
        <v>24.72</v>
      </c>
      <c r="M59" s="2"/>
      <c r="N59" s="6">
        <f t="shared" si="34"/>
        <v>0.24719999999999998</v>
      </c>
      <c r="O59" s="11"/>
      <c r="P59" s="7">
        <v>124.72</v>
      </c>
      <c r="Q59" s="2"/>
      <c r="R59" s="6">
        <f t="shared" si="35"/>
        <v>5.8521240695347957E-3</v>
      </c>
      <c r="S59" s="2"/>
      <c r="T59" s="7">
        <v>300</v>
      </c>
      <c r="U59" s="2"/>
      <c r="V59" s="6">
        <f t="shared" si="36"/>
        <v>8.7178891084505397E-3</v>
      </c>
      <c r="W59" s="2"/>
      <c r="X59" s="7">
        <f t="shared" si="37"/>
        <v>-175.28</v>
      </c>
      <c r="Y59" s="2"/>
      <c r="Z59" s="6">
        <f t="shared" si="38"/>
        <v>-0.58426666666666671</v>
      </c>
    </row>
    <row r="60" spans="1:26" s="27" customFormat="1" outlineLevel="1" collapsed="1" x14ac:dyDescent="0.25">
      <c r="A60" s="29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SUM(OSRRefD22_3x_0)</f>
        <v>0</v>
      </c>
      <c r="E60" s="1"/>
      <c r="F60" s="5">
        <f t="shared" si="31"/>
        <v>0</v>
      </c>
      <c r="G60" s="1"/>
      <c r="H60" s="1">
        <f>SUM(OSRRefH22_3x_0)</f>
        <v>0</v>
      </c>
      <c r="I60" s="1"/>
      <c r="J60" s="5">
        <f t="shared" si="32"/>
        <v>0</v>
      </c>
      <c r="K60" s="1"/>
      <c r="L60" s="1">
        <f t="shared" si="33"/>
        <v>0</v>
      </c>
      <c r="M60" s="1"/>
      <c r="N60" s="5">
        <f t="shared" si="34"/>
        <v>0</v>
      </c>
      <c r="O60" s="14"/>
      <c r="P60" s="1">
        <f>SUM(OSRRefP22_3x_0)</f>
        <v>1.1000000000000001</v>
      </c>
      <c r="Q60" s="1"/>
      <c r="R60" s="5">
        <f t="shared" si="35"/>
        <v>5.1614307861516002E-5</v>
      </c>
      <c r="S60" s="1"/>
      <c r="T60" s="1">
        <f>SUM(OSRRefT22_3x_0)</f>
        <v>0</v>
      </c>
      <c r="U60" s="1"/>
      <c r="V60" s="5">
        <f t="shared" si="36"/>
        <v>0</v>
      </c>
      <c r="W60" s="1"/>
      <c r="X60" s="1">
        <f t="shared" si="37"/>
        <v>1.1000000000000001</v>
      </c>
      <c r="Y60" s="1"/>
      <c r="Z60" s="5">
        <f t="shared" si="38"/>
        <v>0</v>
      </c>
    </row>
    <row r="61" spans="1:26" s="24" customFormat="1" hidden="1" outlineLevel="2" x14ac:dyDescent="0.25">
      <c r="A61" s="28"/>
      <c r="B61" s="11" t="str">
        <f>CONCATENATE("          ", "6272", " - ", "CASH (OVER/SHORT)")</f>
        <v xml:space="preserve">          6272 - CASH (OVER/SHORT)</v>
      </c>
      <c r="C61" s="11"/>
      <c r="D61" s="7"/>
      <c r="E61" s="2"/>
      <c r="F61" s="6">
        <f t="shared" si="31"/>
        <v>0</v>
      </c>
      <c r="G61" s="2"/>
      <c r="H61" s="7"/>
      <c r="I61" s="2"/>
      <c r="J61" s="6">
        <f t="shared" si="32"/>
        <v>0</v>
      </c>
      <c r="K61" s="2"/>
      <c r="L61" s="7">
        <f t="shared" si="33"/>
        <v>0</v>
      </c>
      <c r="M61" s="2"/>
      <c r="N61" s="6">
        <f t="shared" si="34"/>
        <v>0</v>
      </c>
      <c r="O61" s="11"/>
      <c r="P61" s="7">
        <v>1.1000000000000001</v>
      </c>
      <c r="Q61" s="2"/>
      <c r="R61" s="6">
        <f t="shared" si="35"/>
        <v>5.1614307861516002E-5</v>
      </c>
      <c r="S61" s="2"/>
      <c r="T61" s="7"/>
      <c r="U61" s="2"/>
      <c r="V61" s="6">
        <f t="shared" si="36"/>
        <v>0</v>
      </c>
      <c r="W61" s="2"/>
      <c r="X61" s="7">
        <f t="shared" si="37"/>
        <v>1.1000000000000001</v>
      </c>
      <c r="Y61" s="2"/>
      <c r="Z61" s="6">
        <f t="shared" si="38"/>
        <v>0</v>
      </c>
    </row>
    <row r="62" spans="1:26" s="27" customFormat="1" outlineLevel="1" collapsed="1" x14ac:dyDescent="0.25">
      <c r="A62" s="29"/>
      <c r="B62" s="14" t="str">
        <f>CONCATENATE("     ","Bank/card Fees                                    ")</f>
        <v xml:space="preserve">     Bank/card Fees                                    </v>
      </c>
      <c r="C62" s="14"/>
      <c r="D62" s="1">
        <f>SUM(OSRRefD22_4x_0)</f>
        <v>0</v>
      </c>
      <c r="E62" s="1"/>
      <c r="F62" s="5">
        <f t="shared" si="31"/>
        <v>0</v>
      </c>
      <c r="G62" s="1"/>
      <c r="H62" s="1">
        <f>SUM(OSRRefH22_4x_0)</f>
        <v>1002</v>
      </c>
      <c r="I62" s="1"/>
      <c r="J62" s="5">
        <f t="shared" si="32"/>
        <v>6.8861246649714797E-2</v>
      </c>
      <c r="K62" s="1"/>
      <c r="L62" s="1">
        <f t="shared" si="33"/>
        <v>-1002</v>
      </c>
      <c r="M62" s="1"/>
      <c r="N62" s="5">
        <f t="shared" si="34"/>
        <v>-1</v>
      </c>
      <c r="O62" s="14"/>
      <c r="P62" s="1">
        <f>SUM(OSRRefP22_4x_0)</f>
        <v>0</v>
      </c>
      <c r="Q62" s="1"/>
      <c r="R62" s="5">
        <f t="shared" si="35"/>
        <v>0</v>
      </c>
      <c r="S62" s="1"/>
      <c r="T62" s="1">
        <f>SUM(OSRRefT22_4x_0)</f>
        <v>2163</v>
      </c>
      <c r="U62" s="1"/>
      <c r="V62" s="5">
        <f t="shared" si="36"/>
        <v>6.2855980471928391E-2</v>
      </c>
      <c r="W62" s="1"/>
      <c r="X62" s="1">
        <f t="shared" si="37"/>
        <v>-2163</v>
      </c>
      <c r="Y62" s="1"/>
      <c r="Z62" s="5">
        <f t="shared" si="38"/>
        <v>-1</v>
      </c>
    </row>
    <row r="63" spans="1:26" s="24" customFormat="1" hidden="1" outlineLevel="2" x14ac:dyDescent="0.25">
      <c r="A63" s="28"/>
      <c r="B63" s="11" t="str">
        <f>CONCATENATE("          ", "6381", " - ", "BANK/CREDIT CARD FEES")</f>
        <v xml:space="preserve">          6381 - BANK/CREDIT CARD FEES</v>
      </c>
      <c r="C63" s="11"/>
      <c r="D63" s="7"/>
      <c r="E63" s="2"/>
      <c r="F63" s="6">
        <f t="shared" si="31"/>
        <v>0</v>
      </c>
      <c r="G63" s="2"/>
      <c r="H63" s="7">
        <v>1002</v>
      </c>
      <c r="I63" s="2"/>
      <c r="J63" s="6">
        <f t="shared" si="32"/>
        <v>6.8861246649714797E-2</v>
      </c>
      <c r="K63" s="2"/>
      <c r="L63" s="7">
        <f t="shared" si="33"/>
        <v>-1002</v>
      </c>
      <c r="M63" s="2"/>
      <c r="N63" s="6">
        <f t="shared" si="34"/>
        <v>-1</v>
      </c>
      <c r="O63" s="11"/>
      <c r="P63" s="7"/>
      <c r="Q63" s="2"/>
      <c r="R63" s="6">
        <f t="shared" si="35"/>
        <v>0</v>
      </c>
      <c r="S63" s="2"/>
      <c r="T63" s="7">
        <v>2163</v>
      </c>
      <c r="U63" s="2"/>
      <c r="V63" s="6">
        <f t="shared" si="36"/>
        <v>6.2855980471928391E-2</v>
      </c>
      <c r="W63" s="2"/>
      <c r="X63" s="7">
        <f t="shared" si="37"/>
        <v>-2163</v>
      </c>
      <c r="Y63" s="2"/>
      <c r="Z63" s="6">
        <f t="shared" si="38"/>
        <v>-1</v>
      </c>
    </row>
    <row r="64" spans="1:26" s="27" customFormat="1" outlineLevel="1" collapsed="1" x14ac:dyDescent="0.25">
      <c r="A64" s="29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SUM(OSRRefD22_5x_0)</f>
        <v>-418.85</v>
      </c>
      <c r="E64" s="1"/>
      <c r="F64" s="5">
        <f t="shared" si="31"/>
        <v>-23.399441340782126</v>
      </c>
      <c r="G64" s="1"/>
      <c r="H64" s="1">
        <f>SUM(OSRRefH22_5x_0)</f>
        <v>320</v>
      </c>
      <c r="I64" s="1"/>
      <c r="J64" s="5">
        <f t="shared" si="32"/>
        <v>2.1991615696515702E-2</v>
      </c>
      <c r="K64" s="1"/>
      <c r="L64" s="1">
        <f t="shared" si="33"/>
        <v>-738.85</v>
      </c>
      <c r="M64" s="1"/>
      <c r="N64" s="5">
        <f t="shared" si="34"/>
        <v>-2.3089062500000002</v>
      </c>
      <c r="O64" s="14"/>
      <c r="P64" s="1">
        <f>SUM(OSRRefP22_5x_0)</f>
        <v>-418.85</v>
      </c>
      <c r="Q64" s="1"/>
      <c r="R64" s="5">
        <f t="shared" si="35"/>
        <v>-1.9653320770723615E-2</v>
      </c>
      <c r="S64" s="1"/>
      <c r="T64" s="1">
        <f>SUM(OSRRefT22_5x_0)</f>
        <v>740</v>
      </c>
      <c r="U64" s="1"/>
      <c r="V64" s="5">
        <f t="shared" si="36"/>
        <v>2.1504126467511334E-2</v>
      </c>
      <c r="W64" s="1"/>
      <c r="X64" s="1">
        <f t="shared" si="37"/>
        <v>-1158.8499999999999</v>
      </c>
      <c r="Y64" s="1"/>
      <c r="Z64" s="5">
        <f t="shared" si="38"/>
        <v>-1.5660135135135134</v>
      </c>
    </row>
    <row r="65" spans="1:26" s="24" customFormat="1" hidden="1" outlineLevel="2" x14ac:dyDescent="0.25">
      <c r="A65" s="28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31"/>
        <v>0</v>
      </c>
      <c r="G65" s="2"/>
      <c r="H65" s="7">
        <v>320</v>
      </c>
      <c r="I65" s="2"/>
      <c r="J65" s="6">
        <f t="shared" si="32"/>
        <v>2.1991615696515702E-2</v>
      </c>
      <c r="K65" s="2"/>
      <c r="L65" s="7">
        <f t="shared" si="33"/>
        <v>-320</v>
      </c>
      <c r="M65" s="2"/>
      <c r="N65" s="6">
        <f t="shared" si="34"/>
        <v>-1</v>
      </c>
      <c r="O65" s="11"/>
      <c r="P65" s="7"/>
      <c r="Q65" s="2"/>
      <c r="R65" s="6">
        <f t="shared" si="35"/>
        <v>0</v>
      </c>
      <c r="S65" s="2"/>
      <c r="T65" s="7">
        <v>740</v>
      </c>
      <c r="U65" s="2"/>
      <c r="V65" s="6">
        <f t="shared" si="36"/>
        <v>2.1504126467511334E-2</v>
      </c>
      <c r="W65" s="2"/>
      <c r="X65" s="7">
        <f t="shared" si="37"/>
        <v>-740</v>
      </c>
      <c r="Y65" s="2"/>
      <c r="Z65" s="6">
        <f t="shared" si="38"/>
        <v>-1</v>
      </c>
    </row>
    <row r="66" spans="1:26" s="24" customFormat="1" hidden="1" outlineLevel="2" x14ac:dyDescent="0.25">
      <c r="A66" s="28"/>
      <c r="B66" s="11" t="str">
        <f>CONCATENATE("          ", "9175", " - ", "EARNED DISCOUNTS")</f>
        <v xml:space="preserve">          9175 - EARNED DISCOUNTS</v>
      </c>
      <c r="C66" s="11"/>
      <c r="D66" s="7">
        <v>-418.85</v>
      </c>
      <c r="E66" s="2"/>
      <c r="F66" s="6">
        <f t="shared" si="31"/>
        <v>-23.399441340782126</v>
      </c>
      <c r="G66" s="2"/>
      <c r="H66" s="7"/>
      <c r="I66" s="2"/>
      <c r="J66" s="6">
        <f t="shared" si="32"/>
        <v>0</v>
      </c>
      <c r="K66" s="2"/>
      <c r="L66" s="7">
        <f t="shared" si="33"/>
        <v>-418.85</v>
      </c>
      <c r="M66" s="2"/>
      <c r="N66" s="6">
        <f t="shared" si="34"/>
        <v>0</v>
      </c>
      <c r="O66" s="11"/>
      <c r="P66" s="7">
        <v>-418.85</v>
      </c>
      <c r="Q66" s="2"/>
      <c r="R66" s="6">
        <f t="shared" si="35"/>
        <v>-1.9653320770723615E-2</v>
      </c>
      <c r="S66" s="2"/>
      <c r="T66" s="7"/>
      <c r="U66" s="2"/>
      <c r="V66" s="6">
        <f t="shared" si="36"/>
        <v>0</v>
      </c>
      <c r="W66" s="2"/>
      <c r="X66" s="7">
        <f t="shared" si="37"/>
        <v>-418.85</v>
      </c>
      <c r="Y66" s="2"/>
      <c r="Z66" s="6">
        <f t="shared" si="38"/>
        <v>0</v>
      </c>
    </row>
    <row r="67" spans="1:26" s="27" customFormat="1" outlineLevel="1" collapsed="1" x14ac:dyDescent="0.25">
      <c r="A67" s="29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0</v>
      </c>
      <c r="E67" s="1"/>
      <c r="F67" s="5">
        <f t="shared" ref="F67:F75" si="39">IF(D$12=0,0,D67/D$12)</f>
        <v>0</v>
      </c>
      <c r="G67" s="1"/>
      <c r="H67" s="1">
        <f>SUM(OSRRefH22_6x_0)</f>
        <v>198</v>
      </c>
      <c r="I67" s="1"/>
      <c r="J67" s="5">
        <f t="shared" ref="J67:J75" si="40">IF(H$12=0,0,H67/H$12)</f>
        <v>1.3607312212219091E-2</v>
      </c>
      <c r="K67" s="1"/>
      <c r="L67" s="1">
        <f t="shared" ref="L67:L75" si="41">+D67-H67</f>
        <v>-198</v>
      </c>
      <c r="M67" s="1"/>
      <c r="N67" s="5">
        <f t="shared" ref="N67:N75" si="42">IF(H67=0,0,L67/H67)</f>
        <v>-1</v>
      </c>
      <c r="O67" s="14"/>
      <c r="P67" s="1">
        <f>SUM(OSRRefP22_6x_0)</f>
        <v>0</v>
      </c>
      <c r="Q67" s="1"/>
      <c r="R67" s="5">
        <f t="shared" ref="R67:R75" si="43">IF(P$12=0,0,P67/P$12)</f>
        <v>0</v>
      </c>
      <c r="S67" s="1"/>
      <c r="T67" s="1">
        <f>SUM(OSRRefT22_6x_0)</f>
        <v>786</v>
      </c>
      <c r="U67" s="1"/>
      <c r="V67" s="5">
        <f t="shared" ref="V67:V75" si="44">IF(T$12=0,0,T67/T$12)</f>
        <v>2.2840869464140417E-2</v>
      </c>
      <c r="W67" s="1"/>
      <c r="X67" s="1">
        <f t="shared" ref="X67:X75" si="45">+P67-T67</f>
        <v>-786</v>
      </c>
      <c r="Y67" s="1"/>
      <c r="Z67" s="5">
        <f t="shared" ref="Z67:Z75" si="46">IF(T67=0,0,X67/T67)</f>
        <v>-1</v>
      </c>
    </row>
    <row r="68" spans="1:26" s="24" customFormat="1" hidden="1" outlineLevel="2" x14ac:dyDescent="0.25">
      <c r="A68" s="28"/>
      <c r="B68" s="11" t="str">
        <f>CONCATENATE("          ", "6305", " - ", "FREIGHT OUT")</f>
        <v xml:space="preserve">          6305 - FREIGHT OUT</v>
      </c>
      <c r="C68" s="11"/>
      <c r="D68" s="7"/>
      <c r="E68" s="2"/>
      <c r="F68" s="6">
        <f t="shared" si="39"/>
        <v>0</v>
      </c>
      <c r="G68" s="2"/>
      <c r="H68" s="7">
        <v>198</v>
      </c>
      <c r="I68" s="2"/>
      <c r="J68" s="6">
        <f t="shared" si="40"/>
        <v>1.3607312212219091E-2</v>
      </c>
      <c r="K68" s="2"/>
      <c r="L68" s="7">
        <f t="shared" si="41"/>
        <v>-198</v>
      </c>
      <c r="M68" s="2"/>
      <c r="N68" s="6">
        <f t="shared" si="42"/>
        <v>-1</v>
      </c>
      <c r="O68" s="11"/>
      <c r="P68" s="7"/>
      <c r="Q68" s="2"/>
      <c r="R68" s="6">
        <f t="shared" si="43"/>
        <v>0</v>
      </c>
      <c r="S68" s="2"/>
      <c r="T68" s="7">
        <v>786</v>
      </c>
      <c r="U68" s="2"/>
      <c r="V68" s="6">
        <f t="shared" si="44"/>
        <v>2.2840869464140417E-2</v>
      </c>
      <c r="W68" s="2"/>
      <c r="X68" s="7">
        <f t="shared" si="45"/>
        <v>-786</v>
      </c>
      <c r="Y68" s="2"/>
      <c r="Z68" s="6">
        <f t="shared" si="46"/>
        <v>-1</v>
      </c>
    </row>
    <row r="69" spans="1:26" s="27" customFormat="1" outlineLevel="1" collapsed="1" x14ac:dyDescent="0.25">
      <c r="A69" s="29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SUM(OSRRefD22_7x_0)</f>
        <v>0</v>
      </c>
      <c r="E69" s="1"/>
      <c r="F69" s="5">
        <f t="shared" si="39"/>
        <v>0</v>
      </c>
      <c r="G69" s="1"/>
      <c r="H69" s="1">
        <f>SUM(OSRRefH22_7x_0)</f>
        <v>0</v>
      </c>
      <c r="I69" s="1"/>
      <c r="J69" s="5">
        <f t="shared" si="40"/>
        <v>0</v>
      </c>
      <c r="K69" s="1"/>
      <c r="L69" s="1">
        <f t="shared" si="41"/>
        <v>0</v>
      </c>
      <c r="M69" s="1"/>
      <c r="N69" s="5">
        <f t="shared" si="42"/>
        <v>0</v>
      </c>
      <c r="O69" s="14"/>
      <c r="P69" s="1">
        <f>SUM(OSRRefP22_7x_0)</f>
        <v>719.55</v>
      </c>
      <c r="Q69" s="1"/>
      <c r="R69" s="5">
        <f t="shared" si="43"/>
        <v>3.3762795656139849E-2</v>
      </c>
      <c r="S69" s="1"/>
      <c r="T69" s="1">
        <f>SUM(OSRRefT22_7x_0)</f>
        <v>1000</v>
      </c>
      <c r="U69" s="1"/>
      <c r="V69" s="5">
        <f t="shared" si="44"/>
        <v>2.90596303615018E-2</v>
      </c>
      <c r="W69" s="1"/>
      <c r="X69" s="1">
        <f t="shared" si="45"/>
        <v>-280.45000000000005</v>
      </c>
      <c r="Y69" s="1"/>
      <c r="Z69" s="5">
        <f t="shared" si="46"/>
        <v>-0.28045000000000003</v>
      </c>
    </row>
    <row r="70" spans="1:26" s="24" customFormat="1" hidden="1" outlineLevel="2" x14ac:dyDescent="0.25">
      <c r="A70" s="28"/>
      <c r="B70" s="11" t="str">
        <f>CONCATENATE("          ", "6279", " - ", "GENERAL EXPENSE")</f>
        <v xml:space="preserve">          6279 - GENERAL EXPENSE</v>
      </c>
      <c r="C70" s="11"/>
      <c r="D70" s="7"/>
      <c r="E70" s="2"/>
      <c r="F70" s="6">
        <f t="shared" si="39"/>
        <v>0</v>
      </c>
      <c r="G70" s="2"/>
      <c r="H70" s="7"/>
      <c r="I70" s="2"/>
      <c r="J70" s="6">
        <f t="shared" si="40"/>
        <v>0</v>
      </c>
      <c r="K70" s="2"/>
      <c r="L70" s="7">
        <f t="shared" si="41"/>
        <v>0</v>
      </c>
      <c r="M70" s="2"/>
      <c r="N70" s="6">
        <f t="shared" si="42"/>
        <v>0</v>
      </c>
      <c r="O70" s="11"/>
      <c r="P70" s="7">
        <v>719.55</v>
      </c>
      <c r="Q70" s="2"/>
      <c r="R70" s="6">
        <f t="shared" si="43"/>
        <v>3.3762795656139849E-2</v>
      </c>
      <c r="S70" s="2"/>
      <c r="T70" s="7">
        <v>1000</v>
      </c>
      <c r="U70" s="2"/>
      <c r="V70" s="6">
        <f t="shared" si="44"/>
        <v>2.90596303615018E-2</v>
      </c>
      <c r="W70" s="2"/>
      <c r="X70" s="7">
        <f t="shared" si="45"/>
        <v>-280.45000000000005</v>
      </c>
      <c r="Y70" s="2"/>
      <c r="Z70" s="6">
        <f t="shared" si="46"/>
        <v>-0.28045000000000003</v>
      </c>
    </row>
    <row r="71" spans="1:26" s="27" customFormat="1" outlineLevel="1" collapsed="1" x14ac:dyDescent="0.25">
      <c r="A71" s="29"/>
      <c r="B71" s="14" t="str">
        <f>CONCATENATE("     ","Professional Services                             ")</f>
        <v xml:space="preserve">     Professional Services                             </v>
      </c>
      <c r="C71" s="14"/>
      <c r="D71" s="1">
        <f>SUM(OSRRefD22_8x_0)</f>
        <v>0</v>
      </c>
      <c r="E71" s="1"/>
      <c r="F71" s="5">
        <f t="shared" si="39"/>
        <v>0</v>
      </c>
      <c r="G71" s="1"/>
      <c r="H71" s="1">
        <f>SUM(OSRRefH22_8x_0)</f>
        <v>0</v>
      </c>
      <c r="I71" s="1"/>
      <c r="J71" s="5">
        <f t="shared" si="40"/>
        <v>0</v>
      </c>
      <c r="K71" s="1"/>
      <c r="L71" s="1">
        <f t="shared" si="41"/>
        <v>0</v>
      </c>
      <c r="M71" s="1"/>
      <c r="N71" s="5">
        <f t="shared" si="42"/>
        <v>0</v>
      </c>
      <c r="O71" s="14"/>
      <c r="P71" s="1">
        <f>SUM(OSRRefP22_8x_0)</f>
        <v>0</v>
      </c>
      <c r="Q71" s="1"/>
      <c r="R71" s="5">
        <f t="shared" si="43"/>
        <v>0</v>
      </c>
      <c r="S71" s="1"/>
      <c r="T71" s="1">
        <f>SUM(OSRRefT22_8x_0)</f>
        <v>800</v>
      </c>
      <c r="U71" s="1"/>
      <c r="V71" s="5">
        <f t="shared" si="44"/>
        <v>2.3247704289201442E-2</v>
      </c>
      <c r="W71" s="1"/>
      <c r="X71" s="1">
        <f t="shared" si="45"/>
        <v>-800</v>
      </c>
      <c r="Y71" s="1"/>
      <c r="Z71" s="5">
        <f t="shared" si="46"/>
        <v>-1</v>
      </c>
    </row>
    <row r="72" spans="1:26" s="24" customFormat="1" hidden="1" outlineLevel="2" x14ac:dyDescent="0.25">
      <c r="A72" s="28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39"/>
        <v>0</v>
      </c>
      <c r="G72" s="2"/>
      <c r="H72" s="7"/>
      <c r="I72" s="2"/>
      <c r="J72" s="6">
        <f t="shared" si="40"/>
        <v>0</v>
      </c>
      <c r="K72" s="2"/>
      <c r="L72" s="7">
        <f t="shared" si="41"/>
        <v>0</v>
      </c>
      <c r="M72" s="2"/>
      <c r="N72" s="6">
        <f t="shared" si="42"/>
        <v>0</v>
      </c>
      <c r="O72" s="11"/>
      <c r="P72" s="7"/>
      <c r="Q72" s="2"/>
      <c r="R72" s="6">
        <f t="shared" si="43"/>
        <v>0</v>
      </c>
      <c r="S72" s="2"/>
      <c r="T72" s="7">
        <v>800</v>
      </c>
      <c r="U72" s="2"/>
      <c r="V72" s="6">
        <f t="shared" si="44"/>
        <v>2.3247704289201442E-2</v>
      </c>
      <c r="W72" s="2"/>
      <c r="X72" s="7">
        <f t="shared" si="45"/>
        <v>-800</v>
      </c>
      <c r="Y72" s="2"/>
      <c r="Z72" s="6">
        <f t="shared" si="46"/>
        <v>-1</v>
      </c>
    </row>
    <row r="73" spans="1:26" s="27" customFormat="1" outlineLevel="1" collapsed="1" x14ac:dyDescent="0.25">
      <c r="A73" s="29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SUM(OSRRefD22_9x_0)</f>
        <v>0</v>
      </c>
      <c r="E73" s="1"/>
      <c r="F73" s="5">
        <f t="shared" si="39"/>
        <v>0</v>
      </c>
      <c r="G73" s="1"/>
      <c r="H73" s="1">
        <f>SUM(OSRRefH22_9x_0)</f>
        <v>100</v>
      </c>
      <c r="I73" s="1"/>
      <c r="J73" s="5">
        <f t="shared" si="40"/>
        <v>6.8723799051611575E-3</v>
      </c>
      <c r="K73" s="1"/>
      <c r="L73" s="1">
        <f t="shared" si="41"/>
        <v>-100</v>
      </c>
      <c r="M73" s="1"/>
      <c r="N73" s="5">
        <f t="shared" si="42"/>
        <v>-1</v>
      </c>
      <c r="O73" s="14"/>
      <c r="P73" s="1">
        <f>SUM(OSRRefP22_9x_0)</f>
        <v>139.71</v>
      </c>
      <c r="Q73" s="1"/>
      <c r="R73" s="5">
        <f t="shared" si="43"/>
        <v>6.555486319393092E-3</v>
      </c>
      <c r="S73" s="1"/>
      <c r="T73" s="1">
        <f>SUM(OSRRefT22_9x_0)</f>
        <v>400</v>
      </c>
      <c r="U73" s="1"/>
      <c r="V73" s="5">
        <f t="shared" si="44"/>
        <v>1.1623852144600721E-2</v>
      </c>
      <c r="W73" s="1"/>
      <c r="X73" s="1">
        <f t="shared" si="45"/>
        <v>-260.28999999999996</v>
      </c>
      <c r="Y73" s="1"/>
      <c r="Z73" s="5">
        <f t="shared" si="46"/>
        <v>-0.65072499999999989</v>
      </c>
    </row>
    <row r="74" spans="1:26" s="24" customFormat="1" hidden="1" outlineLevel="2" x14ac:dyDescent="0.25">
      <c r="A74" s="28"/>
      <c r="B74" s="11" t="str">
        <f>CONCATENATE("          ", "6373", " - ", "MAINTENANCE CONTRACTS")</f>
        <v xml:space="preserve">          6373 - MAINTENANCE CONTRACTS</v>
      </c>
      <c r="C74" s="11"/>
      <c r="D74" s="7"/>
      <c r="E74" s="2"/>
      <c r="F74" s="6">
        <f t="shared" si="39"/>
        <v>0</v>
      </c>
      <c r="G74" s="2"/>
      <c r="H74" s="7"/>
      <c r="I74" s="2"/>
      <c r="J74" s="6">
        <f t="shared" si="40"/>
        <v>0</v>
      </c>
      <c r="K74" s="2"/>
      <c r="L74" s="7">
        <f t="shared" si="41"/>
        <v>0</v>
      </c>
      <c r="M74" s="2"/>
      <c r="N74" s="6">
        <f t="shared" si="42"/>
        <v>0</v>
      </c>
      <c r="O74" s="11"/>
      <c r="P74" s="7">
        <v>139.71</v>
      </c>
      <c r="Q74" s="2"/>
      <c r="R74" s="6">
        <f t="shared" si="43"/>
        <v>6.555486319393092E-3</v>
      </c>
      <c r="S74" s="2"/>
      <c r="T74" s="7"/>
      <c r="U74" s="2"/>
      <c r="V74" s="6">
        <f t="shared" si="44"/>
        <v>0</v>
      </c>
      <c r="W74" s="2"/>
      <c r="X74" s="7">
        <f t="shared" si="45"/>
        <v>139.71</v>
      </c>
      <c r="Y74" s="2"/>
      <c r="Z74" s="6">
        <f t="shared" si="46"/>
        <v>0</v>
      </c>
    </row>
    <row r="75" spans="1:26" s="24" customFormat="1" hidden="1" outlineLevel="2" x14ac:dyDescent="0.25">
      <c r="A75" s="28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9"/>
        <v>0</v>
      </c>
      <c r="G75" s="2"/>
      <c r="H75" s="7">
        <v>100</v>
      </c>
      <c r="I75" s="2"/>
      <c r="J75" s="6">
        <f t="shared" si="40"/>
        <v>6.8723799051611575E-3</v>
      </c>
      <c r="K75" s="2"/>
      <c r="L75" s="7">
        <f t="shared" si="41"/>
        <v>-100</v>
      </c>
      <c r="M75" s="2"/>
      <c r="N75" s="6">
        <f t="shared" si="42"/>
        <v>-1</v>
      </c>
      <c r="O75" s="11"/>
      <c r="P75" s="7"/>
      <c r="Q75" s="2"/>
      <c r="R75" s="6">
        <f t="shared" si="43"/>
        <v>0</v>
      </c>
      <c r="S75" s="2"/>
      <c r="T75" s="7">
        <v>400</v>
      </c>
      <c r="U75" s="2"/>
      <c r="V75" s="6">
        <f t="shared" si="44"/>
        <v>1.1623852144600721E-2</v>
      </c>
      <c r="W75" s="2"/>
      <c r="X75" s="7">
        <f t="shared" si="45"/>
        <v>-400</v>
      </c>
      <c r="Y75" s="2"/>
      <c r="Z75" s="6">
        <f t="shared" si="46"/>
        <v>-1</v>
      </c>
    </row>
    <row r="76" spans="1:26" s="27" customFormat="1" outlineLevel="1" collapsed="1" x14ac:dyDescent="0.25">
      <c r="A76" s="29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SUM(OSRRefD22_10x_0)</f>
        <v>0</v>
      </c>
      <c r="E76" s="1"/>
      <c r="F76" s="5">
        <f t="shared" ref="F76:F78" si="47">IF(D$12=0,0,D76/D$12)</f>
        <v>0</v>
      </c>
      <c r="G76" s="1"/>
      <c r="H76" s="1">
        <f>SUM(OSRRefH22_10x_0)</f>
        <v>274</v>
      </c>
      <c r="I76" s="1"/>
      <c r="J76" s="5">
        <f t="shared" ref="J76:J78" si="48">IF(H$12=0,0,H76/H$12)</f>
        <v>1.883032094014157E-2</v>
      </c>
      <c r="K76" s="1"/>
      <c r="L76" s="1">
        <f t="shared" ref="L76:L78" si="49">+D76-H76</f>
        <v>-274</v>
      </c>
      <c r="M76" s="1"/>
      <c r="N76" s="5">
        <f t="shared" ref="N76:N78" si="50">IF(H76=0,0,L76/H76)</f>
        <v>-1</v>
      </c>
      <c r="O76" s="14"/>
      <c r="P76" s="1">
        <f>SUM(OSRRefP22_10x_0)</f>
        <v>-25.5</v>
      </c>
      <c r="Q76" s="1"/>
      <c r="R76" s="5">
        <f t="shared" ref="R76:R78" si="51">IF(P$12=0,0,P76/P$12)</f>
        <v>-1.1965135004260528E-3</v>
      </c>
      <c r="S76" s="1"/>
      <c r="T76" s="1">
        <f>SUM(OSRRefT22_10x_0)</f>
        <v>822</v>
      </c>
      <c r="U76" s="1"/>
      <c r="V76" s="5">
        <f t="shared" ref="V76:V78" si="52">IF(T$12=0,0,T76/T$12)</f>
        <v>2.3887016157154481E-2</v>
      </c>
      <c r="W76" s="1"/>
      <c r="X76" s="1">
        <f t="shared" ref="X76:X78" si="53">+P76-T76</f>
        <v>-847.5</v>
      </c>
      <c r="Y76" s="1"/>
      <c r="Z76" s="5">
        <f t="shared" ref="Z76:Z78" si="54">IF(T76=0,0,X76/T76)</f>
        <v>-1.031021897810219</v>
      </c>
    </row>
    <row r="77" spans="1:26" s="24" customFormat="1" hidden="1" outlineLevel="2" x14ac:dyDescent="0.25">
      <c r="A77" s="28"/>
      <c r="B77" s="11" t="str">
        <f>CONCATENATE("          ", "6282", " - ", "JANITORIAL/EXTERMINATOR EXPENS")</f>
        <v xml:space="preserve">          6282 - JANITORIAL/EXTERMINATOR EXPENS</v>
      </c>
      <c r="C77" s="11"/>
      <c r="D77" s="7"/>
      <c r="E77" s="2"/>
      <c r="F77" s="6">
        <f t="shared" si="47"/>
        <v>0</v>
      </c>
      <c r="G77" s="2"/>
      <c r="H77" s="7"/>
      <c r="I77" s="2"/>
      <c r="J77" s="6">
        <f t="shared" si="48"/>
        <v>0</v>
      </c>
      <c r="K77" s="2"/>
      <c r="L77" s="7">
        <f t="shared" si="49"/>
        <v>0</v>
      </c>
      <c r="M77" s="2"/>
      <c r="N77" s="6">
        <f t="shared" si="50"/>
        <v>0</v>
      </c>
      <c r="O77" s="11"/>
      <c r="P77" s="7">
        <v>132</v>
      </c>
      <c r="Q77" s="2"/>
      <c r="R77" s="6">
        <f t="shared" si="51"/>
        <v>6.1937169433819205E-3</v>
      </c>
      <c r="S77" s="2"/>
      <c r="T77" s="7"/>
      <c r="U77" s="2"/>
      <c r="V77" s="6">
        <f t="shared" si="52"/>
        <v>0</v>
      </c>
      <c r="W77" s="2"/>
      <c r="X77" s="7">
        <f t="shared" si="53"/>
        <v>132</v>
      </c>
      <c r="Y77" s="2"/>
      <c r="Z77" s="6">
        <f t="shared" si="54"/>
        <v>0</v>
      </c>
    </row>
    <row r="78" spans="1:26" s="24" customFormat="1" hidden="1" outlineLevel="2" x14ac:dyDescent="0.25">
      <c r="A78" s="28"/>
      <c r="B78" s="11" t="str">
        <f>CONCATENATE("          ", "6285", " - ", "JANITORIAL SERVICES")</f>
        <v xml:space="preserve">          6285 - JANITORIAL SERVICES</v>
      </c>
      <c r="C78" s="11"/>
      <c r="D78" s="7"/>
      <c r="E78" s="2"/>
      <c r="F78" s="6">
        <f t="shared" si="47"/>
        <v>0</v>
      </c>
      <c r="G78" s="2"/>
      <c r="H78" s="7">
        <v>274</v>
      </c>
      <c r="I78" s="2"/>
      <c r="J78" s="6">
        <f t="shared" si="48"/>
        <v>1.883032094014157E-2</v>
      </c>
      <c r="K78" s="2"/>
      <c r="L78" s="7">
        <f t="shared" si="49"/>
        <v>-274</v>
      </c>
      <c r="M78" s="2"/>
      <c r="N78" s="6">
        <f t="shared" si="50"/>
        <v>-1</v>
      </c>
      <c r="O78" s="11"/>
      <c r="P78" s="7">
        <v>-157.5</v>
      </c>
      <c r="Q78" s="2"/>
      <c r="R78" s="6">
        <f t="shared" si="51"/>
        <v>-7.3902304438079732E-3</v>
      </c>
      <c r="S78" s="2"/>
      <c r="T78" s="7">
        <v>822</v>
      </c>
      <c r="U78" s="2"/>
      <c r="V78" s="6">
        <f t="shared" si="52"/>
        <v>2.3887016157154481E-2</v>
      </c>
      <c r="W78" s="2"/>
      <c r="X78" s="7">
        <f t="shared" si="53"/>
        <v>-979.5</v>
      </c>
      <c r="Y78" s="2"/>
      <c r="Z78" s="6">
        <f t="shared" si="54"/>
        <v>-1.1916058394160585</v>
      </c>
    </row>
    <row r="79" spans="1:26" s="27" customFormat="1" outlineLevel="1" collapsed="1" x14ac:dyDescent="0.25">
      <c r="A79" s="29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SUM(OSRRefD22_11x_0)</f>
        <v>544.6</v>
      </c>
      <c r="E79" s="1"/>
      <c r="F79" s="5">
        <f t="shared" ref="F79:F83" si="55">IF(D$12=0,0,D79/D$12)</f>
        <v>30.424581005586596</v>
      </c>
      <c r="G79" s="1"/>
      <c r="H79" s="1">
        <f>SUM(OSRRefH22_11x_0)</f>
        <v>300</v>
      </c>
      <c r="I79" s="1"/>
      <c r="J79" s="5">
        <f t="shared" ref="J79:J83" si="56">IF(H$12=0,0,H79/H$12)</f>
        <v>2.0617139715483471E-2</v>
      </c>
      <c r="K79" s="1"/>
      <c r="L79" s="1">
        <f t="shared" ref="L79:L83" si="57">+D79-H79</f>
        <v>244.60000000000002</v>
      </c>
      <c r="M79" s="1"/>
      <c r="N79" s="5">
        <f t="shared" ref="N79:N83" si="58">IF(H79=0,0,L79/H79)</f>
        <v>0.81533333333333335</v>
      </c>
      <c r="O79" s="14"/>
      <c r="P79" s="1">
        <f>SUM(OSRRefP22_11x_0)</f>
        <v>1892.27</v>
      </c>
      <c r="Q79" s="1"/>
      <c r="R79" s="5">
        <f t="shared" ref="R79:R83" si="59">IF(P$12=0,0,P79/P$12)</f>
        <v>8.8789278488282622E-2</v>
      </c>
      <c r="S79" s="1"/>
      <c r="T79" s="1">
        <f>SUM(OSRRefT22_11x_0)</f>
        <v>1000</v>
      </c>
      <c r="U79" s="1"/>
      <c r="V79" s="5">
        <f t="shared" ref="V79:V83" si="60">IF(T$12=0,0,T79/T$12)</f>
        <v>2.90596303615018E-2</v>
      </c>
      <c r="W79" s="1"/>
      <c r="X79" s="1">
        <f t="shared" ref="X79:X83" si="61">+P79-T79</f>
        <v>892.27</v>
      </c>
      <c r="Y79" s="1"/>
      <c r="Z79" s="5">
        <f t="shared" ref="Z79:Z83" si="62">IF(T79=0,0,X79/T79)</f>
        <v>0.89227000000000001</v>
      </c>
    </row>
    <row r="80" spans="1:26" s="24" customFormat="1" hidden="1" outlineLevel="2" x14ac:dyDescent="0.25">
      <c r="A80" s="28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5"/>
        <v>0</v>
      </c>
      <c r="G80" s="2"/>
      <c r="H80" s="7">
        <v>200</v>
      </c>
      <c r="I80" s="2"/>
      <c r="J80" s="6">
        <f t="shared" si="56"/>
        <v>1.3744759810322315E-2</v>
      </c>
      <c r="K80" s="2"/>
      <c r="L80" s="7">
        <f t="shared" si="57"/>
        <v>-200</v>
      </c>
      <c r="M80" s="2"/>
      <c r="N80" s="6">
        <f t="shared" si="58"/>
        <v>-1</v>
      </c>
      <c r="O80" s="11"/>
      <c r="P80" s="7">
        <v>444.3</v>
      </c>
      <c r="Q80" s="2"/>
      <c r="R80" s="6">
        <f t="shared" si="59"/>
        <v>2.0847488166246871E-2</v>
      </c>
      <c r="S80" s="2"/>
      <c r="T80" s="7">
        <v>600</v>
      </c>
      <c r="U80" s="2"/>
      <c r="V80" s="6">
        <f t="shared" si="60"/>
        <v>1.7435778216901079E-2</v>
      </c>
      <c r="W80" s="2"/>
      <c r="X80" s="7">
        <f t="shared" si="61"/>
        <v>-155.69999999999999</v>
      </c>
      <c r="Y80" s="2"/>
      <c r="Z80" s="6">
        <f t="shared" si="62"/>
        <v>-0.25950000000000001</v>
      </c>
    </row>
    <row r="81" spans="1:26" s="24" customFormat="1" hidden="1" outlineLevel="2" x14ac:dyDescent="0.25">
      <c r="A81" s="28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5"/>
        <v>0</v>
      </c>
      <c r="G81" s="2"/>
      <c r="H81" s="7"/>
      <c r="I81" s="2"/>
      <c r="J81" s="6">
        <f t="shared" si="56"/>
        <v>0</v>
      </c>
      <c r="K81" s="2"/>
      <c r="L81" s="7">
        <f t="shared" si="57"/>
        <v>0</v>
      </c>
      <c r="M81" s="2"/>
      <c r="N81" s="6">
        <f t="shared" si="58"/>
        <v>0</v>
      </c>
      <c r="O81" s="11"/>
      <c r="P81" s="7">
        <v>225.24</v>
      </c>
      <c r="Q81" s="2"/>
      <c r="R81" s="6">
        <f t="shared" si="59"/>
        <v>1.056873336611624E-2</v>
      </c>
      <c r="S81" s="2"/>
      <c r="T81" s="7"/>
      <c r="U81" s="2"/>
      <c r="V81" s="6">
        <f t="shared" si="60"/>
        <v>0</v>
      </c>
      <c r="W81" s="2"/>
      <c r="X81" s="7">
        <f t="shared" si="61"/>
        <v>225.24</v>
      </c>
      <c r="Y81" s="2"/>
      <c r="Z81" s="6">
        <f t="shared" si="62"/>
        <v>0</v>
      </c>
    </row>
    <row r="82" spans="1:26" s="24" customFormat="1" hidden="1" outlineLevel="2" x14ac:dyDescent="0.25">
      <c r="A82" s="28"/>
      <c r="B82" s="11" t="str">
        <f>CONCATENATE("          ", "6247", " - ", "STORE SUPPLIES")</f>
        <v xml:space="preserve">          6247 - STORE SUPPLIES</v>
      </c>
      <c r="C82" s="11"/>
      <c r="D82" s="7">
        <v>544.6</v>
      </c>
      <c r="E82" s="2"/>
      <c r="F82" s="6">
        <f t="shared" si="55"/>
        <v>30.424581005586596</v>
      </c>
      <c r="G82" s="2"/>
      <c r="H82" s="7">
        <v>100</v>
      </c>
      <c r="I82" s="2"/>
      <c r="J82" s="6">
        <f t="shared" si="56"/>
        <v>6.8723799051611575E-3</v>
      </c>
      <c r="K82" s="2"/>
      <c r="L82" s="7">
        <f t="shared" si="57"/>
        <v>444.6</v>
      </c>
      <c r="M82" s="2"/>
      <c r="N82" s="6">
        <f t="shared" si="58"/>
        <v>4.4460000000000006</v>
      </c>
      <c r="O82" s="11"/>
      <c r="P82" s="7">
        <v>1222.73</v>
      </c>
      <c r="Q82" s="2"/>
      <c r="R82" s="6">
        <f t="shared" si="59"/>
        <v>5.7373056955919509E-2</v>
      </c>
      <c r="S82" s="2"/>
      <c r="T82" s="7">
        <v>300</v>
      </c>
      <c r="U82" s="2"/>
      <c r="V82" s="6">
        <f t="shared" si="60"/>
        <v>8.7178891084505397E-3</v>
      </c>
      <c r="W82" s="2"/>
      <c r="X82" s="7">
        <f t="shared" si="61"/>
        <v>922.73</v>
      </c>
      <c r="Y82" s="2"/>
      <c r="Z82" s="6">
        <f t="shared" si="62"/>
        <v>3.0757666666666665</v>
      </c>
    </row>
    <row r="83" spans="1:26" s="24" customFormat="1" hidden="1" outlineLevel="2" x14ac:dyDescent="0.25">
      <c r="A83" s="28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5"/>
        <v>0</v>
      </c>
      <c r="G83" s="2"/>
      <c r="H83" s="7"/>
      <c r="I83" s="2"/>
      <c r="J83" s="6">
        <f t="shared" si="56"/>
        <v>0</v>
      </c>
      <c r="K83" s="2"/>
      <c r="L83" s="7">
        <f t="shared" si="57"/>
        <v>0</v>
      </c>
      <c r="M83" s="2"/>
      <c r="N83" s="6">
        <f t="shared" si="58"/>
        <v>0</v>
      </c>
      <c r="O83" s="11"/>
      <c r="P83" s="7"/>
      <c r="Q83" s="2"/>
      <c r="R83" s="6">
        <f t="shared" si="59"/>
        <v>0</v>
      </c>
      <c r="S83" s="2"/>
      <c r="T83" s="7">
        <v>100</v>
      </c>
      <c r="U83" s="2"/>
      <c r="V83" s="6">
        <f t="shared" si="60"/>
        <v>2.9059630361501802E-3</v>
      </c>
      <c r="W83" s="2"/>
      <c r="X83" s="7">
        <f t="shared" si="61"/>
        <v>-100</v>
      </c>
      <c r="Y83" s="2"/>
      <c r="Z83" s="6">
        <f t="shared" si="62"/>
        <v>-1</v>
      </c>
    </row>
    <row r="84" spans="1:26" s="27" customFormat="1" outlineLevel="1" collapsed="1" x14ac:dyDescent="0.25">
      <c r="A84" s="29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SUM(OSRRefD22_12x_0)</f>
        <v>53.9</v>
      </c>
      <c r="E84" s="1"/>
      <c r="F84" s="5">
        <f t="shared" ref="F84:F86" si="63">IF(D$12=0,0,D84/D$12)</f>
        <v>3.011173184357542</v>
      </c>
      <c r="G84" s="1"/>
      <c r="H84" s="1">
        <f>SUM(OSRRefH22_12x_0)</f>
        <v>100</v>
      </c>
      <c r="I84" s="1"/>
      <c r="J84" s="5">
        <f t="shared" ref="J84:J86" si="64">IF(H$12=0,0,H84/H$12)</f>
        <v>6.8723799051611575E-3</v>
      </c>
      <c r="K84" s="1"/>
      <c r="L84" s="1">
        <f t="shared" ref="L84:L86" si="65">+D84-H84</f>
        <v>-46.1</v>
      </c>
      <c r="M84" s="1"/>
      <c r="N84" s="5">
        <f t="shared" ref="N84:N86" si="66">IF(H84=0,0,L84/H84)</f>
        <v>-0.46100000000000002</v>
      </c>
      <c r="O84" s="14"/>
      <c r="P84" s="1">
        <f>SUM(OSRRefP22_12x_0)</f>
        <v>259.89999999999998</v>
      </c>
      <c r="Q84" s="1"/>
      <c r="R84" s="5">
        <f t="shared" ref="R84:R86" si="67">IF(P$12=0,0,P84/P$12)</f>
        <v>1.2195053284734553E-2</v>
      </c>
      <c r="S84" s="1"/>
      <c r="T84" s="1">
        <f>SUM(OSRRefT22_12x_0)</f>
        <v>400</v>
      </c>
      <c r="U84" s="1"/>
      <c r="V84" s="5">
        <f t="shared" ref="V84:V86" si="68">IF(T$12=0,0,T84/T$12)</f>
        <v>1.1623852144600721E-2</v>
      </c>
      <c r="W84" s="1"/>
      <c r="X84" s="1">
        <f t="shared" ref="X84:X86" si="69">+P84-T84</f>
        <v>-140.10000000000002</v>
      </c>
      <c r="Y84" s="1"/>
      <c r="Z84" s="5">
        <f t="shared" ref="Z84:Z86" si="70">IF(T84=0,0,X84/T84)</f>
        <v>-0.35025000000000006</v>
      </c>
    </row>
    <row r="85" spans="1:26" s="24" customFormat="1" hidden="1" outlineLevel="2" x14ac:dyDescent="0.25">
      <c r="A85" s="28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3"/>
        <v>0</v>
      </c>
      <c r="G85" s="2"/>
      <c r="H85" s="7">
        <v>100</v>
      </c>
      <c r="I85" s="2"/>
      <c r="J85" s="6">
        <f t="shared" si="64"/>
        <v>6.8723799051611575E-3</v>
      </c>
      <c r="K85" s="2"/>
      <c r="L85" s="7">
        <f t="shared" si="65"/>
        <v>-100</v>
      </c>
      <c r="M85" s="2"/>
      <c r="N85" s="6">
        <f t="shared" si="66"/>
        <v>-1</v>
      </c>
      <c r="O85" s="11"/>
      <c r="P85" s="7"/>
      <c r="Q85" s="2"/>
      <c r="R85" s="6">
        <f t="shared" si="67"/>
        <v>0</v>
      </c>
      <c r="S85" s="2"/>
      <c r="T85" s="7">
        <v>400</v>
      </c>
      <c r="U85" s="2"/>
      <c r="V85" s="6">
        <f t="shared" si="68"/>
        <v>1.1623852144600721E-2</v>
      </c>
      <c r="W85" s="2"/>
      <c r="X85" s="7">
        <f t="shared" si="69"/>
        <v>-400</v>
      </c>
      <c r="Y85" s="2"/>
      <c r="Z85" s="6">
        <f t="shared" si="70"/>
        <v>-1</v>
      </c>
    </row>
    <row r="86" spans="1:26" s="24" customFormat="1" hidden="1" outlineLevel="2" x14ac:dyDescent="0.25">
      <c r="A86" s="28"/>
      <c r="B86" s="11" t="str">
        <f>CONCATENATE("          ", "6309", " - ", "TELEPHONE")</f>
        <v xml:space="preserve">          6309 - TELEPHONE</v>
      </c>
      <c r="C86" s="11"/>
      <c r="D86" s="7">
        <v>53.9</v>
      </c>
      <c r="E86" s="2"/>
      <c r="F86" s="6">
        <f t="shared" si="63"/>
        <v>3.011173184357542</v>
      </c>
      <c r="G86" s="2"/>
      <c r="H86" s="7"/>
      <c r="I86" s="2"/>
      <c r="J86" s="6">
        <f t="shared" si="64"/>
        <v>0</v>
      </c>
      <c r="K86" s="2"/>
      <c r="L86" s="7">
        <f t="shared" si="65"/>
        <v>53.9</v>
      </c>
      <c r="M86" s="2"/>
      <c r="N86" s="6">
        <f t="shared" si="66"/>
        <v>0</v>
      </c>
      <c r="O86" s="11"/>
      <c r="P86" s="7">
        <v>259.89999999999998</v>
      </c>
      <c r="Q86" s="2"/>
      <c r="R86" s="6">
        <f t="shared" si="67"/>
        <v>1.2195053284734553E-2</v>
      </c>
      <c r="S86" s="2"/>
      <c r="T86" s="7"/>
      <c r="U86" s="2"/>
      <c r="V86" s="6">
        <f t="shared" si="68"/>
        <v>0</v>
      </c>
      <c r="W86" s="2"/>
      <c r="X86" s="7">
        <f t="shared" si="69"/>
        <v>259.89999999999998</v>
      </c>
      <c r="Y86" s="2"/>
      <c r="Z86" s="6">
        <f t="shared" si="70"/>
        <v>0</v>
      </c>
    </row>
    <row r="87" spans="1:26" s="27" customFormat="1" outlineLevel="1" collapsed="1" x14ac:dyDescent="0.25">
      <c r="A87" s="29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SUM(OSRRefD22_13x_0)</f>
        <v>14</v>
      </c>
      <c r="E87" s="1"/>
      <c r="F87" s="5">
        <f t="shared" ref="F87:F88" si="71">IF(D$12=0,0,D87/D$12)</f>
        <v>0.78212290502793302</v>
      </c>
      <c r="G87" s="1"/>
      <c r="H87" s="1">
        <f>SUM(OSRRefH22_13x_0)</f>
        <v>0</v>
      </c>
      <c r="I87" s="1"/>
      <c r="J87" s="5">
        <f t="shared" ref="J87:J88" si="72">IF(H$12=0,0,H87/H$12)</f>
        <v>0</v>
      </c>
      <c r="K87" s="1"/>
      <c r="L87" s="1">
        <f t="shared" ref="L87:L88" si="73">+D87-H87</f>
        <v>14</v>
      </c>
      <c r="M87" s="1"/>
      <c r="N87" s="5">
        <f t="shared" ref="N87:N88" si="74">IF(H87=0,0,L87/H87)</f>
        <v>0</v>
      </c>
      <c r="O87" s="14"/>
      <c r="P87" s="1">
        <f>SUM(OSRRefP22_13x_0)</f>
        <v>14</v>
      </c>
      <c r="Q87" s="1"/>
      <c r="R87" s="5">
        <f t="shared" ref="R87:R88" si="75">IF(P$12=0,0,P87/P$12)</f>
        <v>6.5690937278293094E-4</v>
      </c>
      <c r="S87" s="1"/>
      <c r="T87" s="1">
        <f>SUM(OSRRefT22_13x_0)</f>
        <v>60</v>
      </c>
      <c r="U87" s="1"/>
      <c r="V87" s="5">
        <f t="shared" ref="V87:V88" si="76">IF(T$12=0,0,T87/T$12)</f>
        <v>1.7435778216901082E-3</v>
      </c>
      <c r="W87" s="1"/>
      <c r="X87" s="1">
        <f t="shared" ref="X87:X88" si="77">+P87-T87</f>
        <v>-46</v>
      </c>
      <c r="Y87" s="1"/>
      <c r="Z87" s="5">
        <f t="shared" ref="Z87:Z88" si="78">IF(T87=0,0,X87/T87)</f>
        <v>-0.76666666666666672</v>
      </c>
    </row>
    <row r="88" spans="1:26" s="24" customFormat="1" hidden="1" outlineLevel="2" x14ac:dyDescent="0.25">
      <c r="A88" s="28"/>
      <c r="B88" s="11" t="str">
        <f>CONCATENATE("          ", "6376", " - ", "TRAINING")</f>
        <v xml:space="preserve">          6376 - TRAINING</v>
      </c>
      <c r="C88" s="11"/>
      <c r="D88" s="7">
        <v>14</v>
      </c>
      <c r="E88" s="2"/>
      <c r="F88" s="6">
        <f t="shared" si="71"/>
        <v>0.78212290502793302</v>
      </c>
      <c r="G88" s="2"/>
      <c r="H88" s="7"/>
      <c r="I88" s="2"/>
      <c r="J88" s="6">
        <f t="shared" si="72"/>
        <v>0</v>
      </c>
      <c r="K88" s="2"/>
      <c r="L88" s="7">
        <f t="shared" si="73"/>
        <v>14</v>
      </c>
      <c r="M88" s="2"/>
      <c r="N88" s="6">
        <f t="shared" si="74"/>
        <v>0</v>
      </c>
      <c r="O88" s="11"/>
      <c r="P88" s="7">
        <v>14</v>
      </c>
      <c r="Q88" s="2"/>
      <c r="R88" s="6">
        <f t="shared" si="75"/>
        <v>6.5690937278293094E-4</v>
      </c>
      <c r="S88" s="2"/>
      <c r="T88" s="7">
        <v>60</v>
      </c>
      <c r="U88" s="2"/>
      <c r="V88" s="6">
        <f t="shared" si="76"/>
        <v>1.7435778216901082E-3</v>
      </c>
      <c r="W88" s="2"/>
      <c r="X88" s="7">
        <f t="shared" si="77"/>
        <v>-46</v>
      </c>
      <c r="Y88" s="2"/>
      <c r="Z88" s="6">
        <f t="shared" si="78"/>
        <v>-0.76666666666666672</v>
      </c>
    </row>
    <row r="89" spans="1:26" s="6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5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6" t="s">
        <v>3</v>
      </c>
      <c r="C92" s="26"/>
      <c r="D92" s="20">
        <f>+D35-D37+D90</f>
        <v>-1406.4899999999957</v>
      </c>
      <c r="E92" s="13"/>
      <c r="F92" s="19">
        <f>IF(D$12=0,0,D92/D$12)</f>
        <v>-78.574860335195297</v>
      </c>
      <c r="G92" s="13"/>
      <c r="H92" s="20">
        <f>+H35-H37+H90</f>
        <v>-5356.7620439999992</v>
      </c>
      <c r="I92" s="13"/>
      <c r="J92" s="19">
        <f>IF(H$12=0,0,H92/H$12)</f>
        <v>-0.368137038279156</v>
      </c>
      <c r="K92" s="15"/>
      <c r="L92" s="20">
        <f>+D92-H92</f>
        <v>3950.2720440000035</v>
      </c>
      <c r="M92" s="15"/>
      <c r="N92" s="19">
        <f>IF(H92=0,0,L92/H92)</f>
        <v>-0.73743653564462941</v>
      </c>
      <c r="O92" s="25"/>
      <c r="P92" s="20">
        <f>+P35-P37+P90</f>
        <v>-4489.1899999999914</v>
      </c>
      <c r="Q92" s="13"/>
      <c r="R92" s="19">
        <f>IF(P$12=0,0,P92/P$12)</f>
        <v>-0.21064221337167144</v>
      </c>
      <c r="S92" s="13"/>
      <c r="T92" s="20">
        <f>+T35-T37+T90</f>
        <v>-24652.230011</v>
      </c>
      <c r="U92" s="13"/>
      <c r="V92" s="19">
        <f>IF(T$12=0,0,T92/T$12)</f>
        <v>-0.71638469170638153</v>
      </c>
      <c r="W92" s="15"/>
      <c r="X92" s="20">
        <f>+P92-T92</f>
        <v>20163.040011000008</v>
      </c>
      <c r="Y92" s="15"/>
      <c r="Z92" s="19">
        <f>IF(T92=0,0,X92/T92)</f>
        <v>-0.81789923272673981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671.8</v>
      </c>
      <c r="E94" s="4"/>
      <c r="F94" s="12">
        <f>IF(D$12=0,0,D94/D$12)</f>
        <v>37.530726256983243</v>
      </c>
      <c r="G94" s="4"/>
      <c r="H94" s="4">
        <v>2165</v>
      </c>
      <c r="I94" s="4"/>
      <c r="J94" s="12">
        <f>IF(H$12=0,0,H94/H$12)</f>
        <v>0.14878702494673907</v>
      </c>
      <c r="K94" s="4"/>
      <c r="L94" s="4">
        <f>+D94-H94</f>
        <v>-1493.2</v>
      </c>
      <c r="M94" s="4"/>
      <c r="N94" s="12">
        <f>IF(H94=0,0,L94/H94)</f>
        <v>-0.68969976905311781</v>
      </c>
      <c r="O94" s="10"/>
      <c r="P94" s="4">
        <v>4616.62</v>
      </c>
      <c r="Q94" s="4"/>
      <c r="R94" s="12">
        <f>IF(P$12=0,0,P94/P$12)</f>
        <v>0.21662149632693817</v>
      </c>
      <c r="S94" s="4"/>
      <c r="T94" s="4">
        <v>7140</v>
      </c>
      <c r="U94" s="4"/>
      <c r="V94" s="12">
        <f>IF(T$12=0,0,T94/T$12)</f>
        <v>0.20748576078112285</v>
      </c>
      <c r="W94" s="4"/>
      <c r="X94" s="4">
        <f>+P94-T94</f>
        <v>-2523.38</v>
      </c>
      <c r="Y94" s="4"/>
      <c r="Z94" s="12">
        <f>IF(T94=0,0,X94/T94)</f>
        <v>-0.35341456582633057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4</v>
      </c>
      <c r="C96" s="26"/>
      <c r="D96" s="34">
        <f>+D92-D94</f>
        <v>-2078.2899999999954</v>
      </c>
      <c r="E96" s="13"/>
      <c r="F96" s="35">
        <f>IF(D$12=0,0,D96/D$12)</f>
        <v>-116.10558659217853</v>
      </c>
      <c r="G96" s="13"/>
      <c r="H96" s="34">
        <f>+H92-H94</f>
        <v>-7521.7620439999992</v>
      </c>
      <c r="I96" s="13"/>
      <c r="J96" s="35">
        <f>IF(H$12=0,0,H96/H$12)</f>
        <v>-0.51692406322589501</v>
      </c>
      <c r="K96" s="15"/>
      <c r="L96" s="34">
        <f>D96-H96</f>
        <v>5443.4720440000037</v>
      </c>
      <c r="M96" s="15"/>
      <c r="N96" s="35">
        <f>IF(H96=0,0,L96/H96)</f>
        <v>-0.72369639083998716</v>
      </c>
      <c r="O96" s="25"/>
      <c r="P96" s="34">
        <f>+P92-P94</f>
        <v>-9105.8099999999904</v>
      </c>
      <c r="Q96" s="13"/>
      <c r="R96" s="35">
        <f>IF(P$12=0,0,P96/P$12)</f>
        <v>-0.42726370969860955</v>
      </c>
      <c r="S96" s="13"/>
      <c r="T96" s="34">
        <f>+T92-T94</f>
        <v>-31792.230011</v>
      </c>
      <c r="U96" s="13"/>
      <c r="V96" s="35">
        <f>IF(T$12=0,0,T96/T$12)</f>
        <v>-0.92387045248750432</v>
      </c>
      <c r="W96" s="15"/>
      <c r="X96" s="34">
        <f>P96-T96</f>
        <v>22686.420011000009</v>
      </c>
      <c r="Y96" s="15"/>
      <c r="Z96" s="35">
        <f>IF(T96=0,0,X96/T96)</f>
        <v>-0.71358379085551993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5</v>
      </c>
      <c r="C99" s="26"/>
      <c r="D99" s="30">
        <f>SUM(D96:D98)</f>
        <v>-2078.2899999999954</v>
      </c>
      <c r="E99" s="13"/>
      <c r="F99" s="32">
        <f>IF(D$12=0,0,D99/D$12)</f>
        <v>-116.10558659217853</v>
      </c>
      <c r="G99" s="13"/>
      <c r="H99" s="30">
        <f>SUM(H96:H98)</f>
        <v>-7521.7620439999992</v>
      </c>
      <c r="I99" s="13"/>
      <c r="J99" s="32">
        <f>IF(H$12=0,0,H99/H$12)</f>
        <v>-0.51692406322589501</v>
      </c>
      <c r="K99" s="15"/>
      <c r="L99" s="30">
        <f>+D99-H99</f>
        <v>5443.4720440000037</v>
      </c>
      <c r="M99" s="15"/>
      <c r="N99" s="32">
        <f>IF(H99=0,0,L99/H99)</f>
        <v>-0.72369639083998716</v>
      </c>
      <c r="O99" s="25"/>
      <c r="P99" s="30">
        <f>SUM(P96:P98)</f>
        <v>-9105.8099999999904</v>
      </c>
      <c r="Q99" s="13"/>
      <c r="R99" s="32">
        <f>IF(P$12=0,0,P99/P$12)</f>
        <v>-0.42726370969860955</v>
      </c>
      <c r="S99" s="13"/>
      <c r="T99" s="30">
        <f>SUM(T96:T98)</f>
        <v>-31792.230011</v>
      </c>
      <c r="U99" s="13"/>
      <c r="V99" s="32">
        <f>IF(T$12=0,0,T99/T$12)</f>
        <v>-0.92387045248750432</v>
      </c>
      <c r="W99" s="15"/>
      <c r="X99" s="30">
        <f>+P99-T99</f>
        <v>22686.420011000009</v>
      </c>
      <c r="Y99" s="15"/>
      <c r="Z99" s="32">
        <f>IF(T99=0,0,X99/T99)</f>
        <v>-0.71358379085551993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0">
        <v>44151.567792326387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8" t="s">
        <v>314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3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","307", " - ", "Art Store")</f>
        <v>Department 307 - Art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17.899999999999999</v>
      </c>
      <c r="E12" s="4"/>
      <c r="F12" s="12"/>
      <c r="G12" s="4"/>
      <c r="H12" s="4">
        <f>SUM(OSRRefH13x_0)</f>
        <v>14551</v>
      </c>
      <c r="I12" s="4"/>
      <c r="J12" s="12"/>
      <c r="K12" s="4"/>
      <c r="L12" s="4">
        <f t="shared" ref="L12:L23" si="0">+D12-H12</f>
        <v>-14533.1</v>
      </c>
      <c r="M12" s="4"/>
      <c r="N12" s="12">
        <f t="shared" ref="N12:N23" si="1">IF(H12=0,0,L12/H12)</f>
        <v>-0.99876984399697621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34412</v>
      </c>
      <c r="U12" s="4"/>
      <c r="V12" s="12"/>
      <c r="W12" s="4"/>
      <c r="X12" s="4">
        <f t="shared" ref="X12:X23" si="2">+P12-T12</f>
        <v>-13100.080000000002</v>
      </c>
      <c r="Y12" s="4"/>
      <c r="Z12" s="12">
        <f t="shared" ref="Z12:Z23" si="3">IF(T12=0,0,X12/T12)</f>
        <v>-0.38068348250610257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-1.74</f>
        <v>-1.74</v>
      </c>
      <c r="E13" s="2"/>
      <c r="F13" s="22"/>
      <c r="G13" s="2"/>
      <c r="H13" s="2"/>
      <c r="I13" s="2"/>
      <c r="J13" s="22"/>
      <c r="K13" s="2"/>
      <c r="L13" s="2">
        <f t="shared" si="0"/>
        <v>-1.74</v>
      </c>
      <c r="M13" s="2"/>
      <c r="N13" s="22">
        <f t="shared" si="1"/>
        <v>0</v>
      </c>
      <c r="O13" s="11"/>
      <c r="P13" s="2">
        <f>-1096.44</f>
        <v>-1096.44</v>
      </c>
      <c r="Q13" s="2"/>
      <c r="R13" s="22"/>
      <c r="S13" s="2"/>
      <c r="T13" s="2"/>
      <c r="U13" s="2"/>
      <c r="V13" s="22"/>
      <c r="W13" s="2"/>
      <c r="X13" s="2">
        <f t="shared" si="2"/>
        <v>-1096.44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6" si="4">0</f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--5.18</f>
        <v>5.18</v>
      </c>
      <c r="E17" s="2"/>
      <c r="F17" s="22"/>
      <c r="G17" s="2"/>
      <c r="H17" s="2"/>
      <c r="I17" s="2"/>
      <c r="J17" s="22"/>
      <c r="K17" s="2"/>
      <c r="L17" s="2">
        <f t="shared" si="0"/>
        <v>5.18</v>
      </c>
      <c r="M17" s="2"/>
      <c r="N17" s="22">
        <f t="shared" si="1"/>
        <v>0</v>
      </c>
      <c r="O17" s="11"/>
      <c r="P17" s="2">
        <f>--374.55</f>
        <v>374.55</v>
      </c>
      <c r="Q17" s="2"/>
      <c r="R17" s="22"/>
      <c r="S17" s="2"/>
      <c r="T17" s="2"/>
      <c r="U17" s="2"/>
      <c r="V17" s="22"/>
      <c r="W17" s="2"/>
      <c r="X17" s="2">
        <f t="shared" si="2"/>
        <v>374.55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ref="D18:D20" si="5"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5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 t="shared" si="5"/>
        <v>0</v>
      </c>
      <c r="E20" s="2"/>
      <c r="F20" s="22"/>
      <c r="G20" s="2"/>
      <c r="H20" s="2">
        <v>14551</v>
      </c>
      <c r="I20" s="2"/>
      <c r="J20" s="22"/>
      <c r="K20" s="2"/>
      <c r="L20" s="2">
        <f t="shared" si="0"/>
        <v>-14551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34412</v>
      </c>
      <c r="U20" s="2"/>
      <c r="V20" s="22"/>
      <c r="W20" s="2"/>
      <c r="X20" s="2">
        <f t="shared" si="2"/>
        <v>-34412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>--14.46</f>
        <v>14.46</v>
      </c>
      <c r="E21" s="2"/>
      <c r="F21" s="22"/>
      <c r="G21" s="2"/>
      <c r="H21" s="2"/>
      <c r="I21" s="2"/>
      <c r="J21" s="22"/>
      <c r="K21" s="2"/>
      <c r="L21" s="2">
        <f t="shared" si="0"/>
        <v>14.46</v>
      </c>
      <c r="M21" s="2"/>
      <c r="N21" s="22">
        <f t="shared" si="1"/>
        <v>0</v>
      </c>
      <c r="O21" s="11"/>
      <c r="P21" s="2">
        <f>--1847.16</f>
        <v>1847.16</v>
      </c>
      <c r="Q21" s="2"/>
      <c r="R21" s="22"/>
      <c r="S21" s="2"/>
      <c r="T21" s="2"/>
      <c r="U21" s="2"/>
      <c r="V21" s="22"/>
      <c r="W21" s="2"/>
      <c r="X21" s="2">
        <f t="shared" si="2"/>
        <v>1847.16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ref="D22:D23" si="6">0</f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6"/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5" t="s">
        <v>8</v>
      </c>
      <c r="C25" s="10"/>
      <c r="D25" s="4">
        <f>SUM(OSRRefD16x_0)</f>
        <v>-4.3769432522822171E-12</v>
      </c>
      <c r="E25" s="4"/>
      <c r="F25" s="12">
        <f t="shared" ref="F25:F33" si="7">IF(D$12=0,0,D25/D$12)</f>
        <v>-2.4452196940124118E-13</v>
      </c>
      <c r="G25" s="4"/>
      <c r="H25" s="4">
        <f>SUM(OSRRefH16x_0)</f>
        <v>7328</v>
      </c>
      <c r="I25" s="4"/>
      <c r="J25" s="12">
        <f t="shared" ref="J25:J33" si="8">IF(H$12=0,0,H25/H$12)</f>
        <v>0.50360799945020962</v>
      </c>
      <c r="K25" s="4"/>
      <c r="L25" s="4">
        <f t="shared" ref="L25:L33" si="9">+D25-H25</f>
        <v>-7328.0000000000045</v>
      </c>
      <c r="M25" s="4"/>
      <c r="N25" s="12">
        <f t="shared" ref="N25:N33" si="10">IF(H25=0,0,L25/H25)</f>
        <v>-1.0000000000000007</v>
      </c>
      <c r="O25" s="10"/>
      <c r="P25" s="4">
        <f>SUM(OSRRefP16x_0)</f>
        <v>14183.049999999994</v>
      </c>
      <c r="Q25" s="4"/>
      <c r="R25" s="12">
        <f t="shared" ref="R25:R33" si="11">IF(P$12=0,0,P25/P$12)</f>
        <v>0.66549846283206748</v>
      </c>
      <c r="S25" s="4"/>
      <c r="T25" s="4">
        <f>SUM(OSRRefT16x_0)</f>
        <v>17648</v>
      </c>
      <c r="U25" s="4"/>
      <c r="V25" s="12">
        <f t="shared" ref="V25:V33" si="12">IF(T$12=0,0,T25/T$12)</f>
        <v>0.51284435661978378</v>
      </c>
      <c r="W25" s="4"/>
      <c r="X25" s="4">
        <f t="shared" ref="X25:X33" si="13">+P25-T25</f>
        <v>-3464.9500000000062</v>
      </c>
      <c r="Y25" s="4"/>
      <c r="Z25" s="12">
        <f t="shared" ref="Z25:Z33" si="14">IF(T25=0,0,X25/T25)</f>
        <v>-0.19633669537624696</v>
      </c>
    </row>
    <row r="26" spans="1:26" s="24" customFormat="1" hidden="1" outlineLevel="1" x14ac:dyDescent="0.2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7"/>
        <v>0</v>
      </c>
      <c r="G26" s="2"/>
      <c r="H26" s="2">
        <v>7328</v>
      </c>
      <c r="I26" s="2"/>
      <c r="J26" s="22">
        <f t="shared" si="8"/>
        <v>0.50360799945020962</v>
      </c>
      <c r="K26" s="2"/>
      <c r="L26" s="2">
        <f t="shared" si="9"/>
        <v>-7328</v>
      </c>
      <c r="M26" s="2"/>
      <c r="N26" s="22">
        <f t="shared" si="10"/>
        <v>-1</v>
      </c>
      <c r="O26" s="11"/>
      <c r="P26" s="2"/>
      <c r="Q26" s="2"/>
      <c r="R26" s="22">
        <f t="shared" si="11"/>
        <v>0</v>
      </c>
      <c r="S26" s="2"/>
      <c r="T26" s="2">
        <v>17648</v>
      </c>
      <c r="U26" s="2"/>
      <c r="V26" s="22">
        <f t="shared" si="12"/>
        <v>0.51284435661978378</v>
      </c>
      <c r="W26" s="2"/>
      <c r="X26" s="2">
        <f t="shared" si="13"/>
        <v>-17648</v>
      </c>
      <c r="Y26" s="2"/>
      <c r="Z26" s="22">
        <f t="shared" si="14"/>
        <v>-1</v>
      </c>
    </row>
    <row r="27" spans="1:26" s="24" customFormat="1" hidden="1" outlineLevel="1" x14ac:dyDescent="0.25">
      <c r="A27" s="51"/>
      <c r="B27" s="11" t="str">
        <f>CONCATENATE("          ", "5026", " - ", "PURCHASES @ COST-WRITING INSTR")</f>
        <v xml:space="preserve">          5026 - PURCHASES @ COST-WRITING INSTR</v>
      </c>
      <c r="C27" s="11"/>
      <c r="D27" s="2">
        <v>370.02</v>
      </c>
      <c r="E27" s="2"/>
      <c r="F27" s="22">
        <f t="shared" si="7"/>
        <v>20.67150837988827</v>
      </c>
      <c r="G27" s="2"/>
      <c r="H27" s="2"/>
      <c r="I27" s="2"/>
      <c r="J27" s="22">
        <f t="shared" si="8"/>
        <v>0</v>
      </c>
      <c r="K27" s="2"/>
      <c r="L27" s="2">
        <f t="shared" si="9"/>
        <v>370.02</v>
      </c>
      <c r="M27" s="2"/>
      <c r="N27" s="22">
        <f t="shared" si="10"/>
        <v>0</v>
      </c>
      <c r="O27" s="11"/>
      <c r="P27" s="2">
        <v>370.02</v>
      </c>
      <c r="Q27" s="2"/>
      <c r="R27" s="22">
        <f t="shared" si="11"/>
        <v>1.7362114722652863E-2</v>
      </c>
      <c r="S27" s="2"/>
      <c r="T27" s="2"/>
      <c r="U27" s="2"/>
      <c r="V27" s="22">
        <f t="shared" si="12"/>
        <v>0</v>
      </c>
      <c r="W27" s="2"/>
      <c r="X27" s="2">
        <f t="shared" si="13"/>
        <v>370.02</v>
      </c>
      <c r="Y27" s="2"/>
      <c r="Z27" s="22">
        <f t="shared" si="14"/>
        <v>0</v>
      </c>
    </row>
    <row r="28" spans="1:26" s="24" customFormat="1" hidden="1" outlineLevel="1" x14ac:dyDescent="0.25">
      <c r="A28" s="51"/>
      <c r="B28" s="11" t="str">
        <f>CONCATENATE("          ", "5027", " - ", "PURCHASES @ COST-SCHOOL SUPPLI")</f>
        <v xml:space="preserve">          5027 - PURCHASES @ COST-SCHOOL SUPPLI</v>
      </c>
      <c r="C28" s="11"/>
      <c r="D28" s="2">
        <v>895.47</v>
      </c>
      <c r="E28" s="2"/>
      <c r="F28" s="22">
        <f t="shared" si="7"/>
        <v>50.026256983240231</v>
      </c>
      <c r="G28" s="2"/>
      <c r="H28" s="2"/>
      <c r="I28" s="2"/>
      <c r="J28" s="22">
        <f t="shared" si="8"/>
        <v>0</v>
      </c>
      <c r="K28" s="2"/>
      <c r="L28" s="2">
        <f t="shared" si="9"/>
        <v>895.47</v>
      </c>
      <c r="M28" s="2"/>
      <c r="N28" s="22">
        <f t="shared" si="10"/>
        <v>0</v>
      </c>
      <c r="O28" s="11"/>
      <c r="P28" s="2">
        <v>895.47</v>
      </c>
      <c r="Q28" s="2"/>
      <c r="R28" s="22">
        <f t="shared" si="11"/>
        <v>4.201733114613794E-2</v>
      </c>
      <c r="S28" s="2"/>
      <c r="T28" s="2"/>
      <c r="U28" s="2"/>
      <c r="V28" s="22">
        <f t="shared" si="12"/>
        <v>0</v>
      </c>
      <c r="W28" s="2"/>
      <c r="X28" s="2">
        <f t="shared" si="13"/>
        <v>895.47</v>
      </c>
      <c r="Y28" s="2"/>
      <c r="Z28" s="22">
        <f t="shared" si="14"/>
        <v>0</v>
      </c>
    </row>
    <row r="29" spans="1:26" s="24" customFormat="1" hidden="1" outlineLevel="1" x14ac:dyDescent="0.25">
      <c r="A29" s="51"/>
      <c r="B29" s="11" t="str">
        <f>CONCATENATE("          ", "5028", " - ", "PURCHASES @ COST-ART/TECH")</f>
        <v xml:space="preserve">          5028 - PURCHASES @ COST-ART/TECH</v>
      </c>
      <c r="C29" s="11"/>
      <c r="D29" s="2">
        <v>41425.96</v>
      </c>
      <c r="E29" s="2"/>
      <c r="F29" s="22">
        <f t="shared" si="7"/>
        <v>2314.2994413407823</v>
      </c>
      <c r="G29" s="2"/>
      <c r="H29" s="2"/>
      <c r="I29" s="2"/>
      <c r="J29" s="22">
        <f t="shared" si="8"/>
        <v>0</v>
      </c>
      <c r="K29" s="2"/>
      <c r="L29" s="2">
        <f t="shared" si="9"/>
        <v>41425.96</v>
      </c>
      <c r="M29" s="2"/>
      <c r="N29" s="22">
        <f t="shared" si="10"/>
        <v>0</v>
      </c>
      <c r="O29" s="11"/>
      <c r="P29" s="2">
        <v>41425.96</v>
      </c>
      <c r="Q29" s="2"/>
      <c r="R29" s="22">
        <f t="shared" si="11"/>
        <v>1.9437929571807704</v>
      </c>
      <c r="S29" s="2"/>
      <c r="T29" s="2"/>
      <c r="U29" s="2"/>
      <c r="V29" s="22">
        <f t="shared" si="12"/>
        <v>0</v>
      </c>
      <c r="W29" s="2"/>
      <c r="X29" s="2">
        <f t="shared" si="13"/>
        <v>41425.96</v>
      </c>
      <c r="Y29" s="2"/>
      <c r="Z29" s="22">
        <f t="shared" si="14"/>
        <v>0</v>
      </c>
    </row>
    <row r="30" spans="1:26" s="24" customFormat="1" hidden="1" outlineLevel="1" x14ac:dyDescent="0.25">
      <c r="A30" s="51"/>
      <c r="B30" s="11" t="str">
        <f>CONCATENATE("          ", "5031", " - ", "PURCHASES @ COST-FOOD")</f>
        <v xml:space="preserve">          5031 - PURCHASES @ COST-FOOD</v>
      </c>
      <c r="C30" s="11"/>
      <c r="D30" s="2">
        <v>47.26</v>
      </c>
      <c r="E30" s="2"/>
      <c r="F30" s="22">
        <f t="shared" si="7"/>
        <v>2.6402234636871511</v>
      </c>
      <c r="G30" s="2"/>
      <c r="H30" s="2"/>
      <c r="I30" s="2"/>
      <c r="J30" s="22">
        <f t="shared" si="8"/>
        <v>0</v>
      </c>
      <c r="K30" s="2"/>
      <c r="L30" s="2">
        <f t="shared" si="9"/>
        <v>47.26</v>
      </c>
      <c r="M30" s="2"/>
      <c r="N30" s="22">
        <f t="shared" si="10"/>
        <v>0</v>
      </c>
      <c r="O30" s="11"/>
      <c r="P30" s="2">
        <v>2929.67</v>
      </c>
      <c r="Q30" s="2"/>
      <c r="R30" s="22">
        <f t="shared" si="11"/>
        <v>0.13746626301149781</v>
      </c>
      <c r="S30" s="2"/>
      <c r="T30" s="2"/>
      <c r="U30" s="2"/>
      <c r="V30" s="22">
        <f t="shared" si="12"/>
        <v>0</v>
      </c>
      <c r="W30" s="2"/>
      <c r="X30" s="2">
        <f t="shared" si="13"/>
        <v>2929.67</v>
      </c>
      <c r="Y30" s="2"/>
      <c r="Z30" s="22">
        <f t="shared" si="14"/>
        <v>0</v>
      </c>
    </row>
    <row r="31" spans="1:26" s="24" customFormat="1" hidden="1" outlineLevel="1" x14ac:dyDescent="0.25">
      <c r="A31" s="51"/>
      <c r="B31" s="11" t="str">
        <f>CONCATENATE("          ", "5200", " - ", "PURCHASES OFFSET")</f>
        <v xml:space="preserve">          5200 - PURCHASES OFFSET</v>
      </c>
      <c r="C31" s="11"/>
      <c r="D31" s="2">
        <v>-42974.16</v>
      </c>
      <c r="E31" s="2"/>
      <c r="F31" s="22">
        <f t="shared" si="7"/>
        <v>-2400.7910614525144</v>
      </c>
      <c r="G31" s="2"/>
      <c r="H31" s="2"/>
      <c r="I31" s="2"/>
      <c r="J31" s="22">
        <f t="shared" si="8"/>
        <v>0</v>
      </c>
      <c r="K31" s="2"/>
      <c r="L31" s="2">
        <f t="shared" si="9"/>
        <v>-42974.16</v>
      </c>
      <c r="M31" s="2"/>
      <c r="N31" s="22">
        <f t="shared" si="10"/>
        <v>0</v>
      </c>
      <c r="O31" s="11"/>
      <c r="P31" s="2">
        <v>-45863.33</v>
      </c>
      <c r="Q31" s="2"/>
      <c r="R31" s="22">
        <f t="shared" si="11"/>
        <v>-2.1520036674311842</v>
      </c>
      <c r="S31" s="2"/>
      <c r="T31" s="2"/>
      <c r="U31" s="2"/>
      <c r="V31" s="22">
        <f t="shared" si="12"/>
        <v>0</v>
      </c>
      <c r="W31" s="2"/>
      <c r="X31" s="2">
        <f t="shared" si="13"/>
        <v>-45863.33</v>
      </c>
      <c r="Y31" s="2"/>
      <c r="Z31" s="22">
        <f t="shared" si="14"/>
        <v>0</v>
      </c>
    </row>
    <row r="32" spans="1:26" s="24" customFormat="1" hidden="1" outlineLevel="1" x14ac:dyDescent="0.25">
      <c r="A32" s="51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22">
        <f t="shared" si="7"/>
        <v>0</v>
      </c>
      <c r="G32" s="2"/>
      <c r="H32" s="2"/>
      <c r="I32" s="2"/>
      <c r="J32" s="22">
        <f t="shared" si="8"/>
        <v>0</v>
      </c>
      <c r="K32" s="2"/>
      <c r="L32" s="2">
        <f t="shared" si="9"/>
        <v>0</v>
      </c>
      <c r="M32" s="2"/>
      <c r="N32" s="22">
        <f t="shared" si="10"/>
        <v>0</v>
      </c>
      <c r="O32" s="11"/>
      <c r="P32" s="2">
        <v>14145</v>
      </c>
      <c r="Q32" s="2"/>
      <c r="R32" s="22">
        <f t="shared" si="11"/>
        <v>0.66371307700103988</v>
      </c>
      <c r="S32" s="2"/>
      <c r="T32" s="2"/>
      <c r="U32" s="2"/>
      <c r="V32" s="22">
        <f t="shared" si="12"/>
        <v>0</v>
      </c>
      <c r="W32" s="2"/>
      <c r="X32" s="2">
        <f t="shared" si="13"/>
        <v>14145</v>
      </c>
      <c r="Y32" s="2"/>
      <c r="Z32" s="22">
        <f t="shared" si="14"/>
        <v>0</v>
      </c>
    </row>
    <row r="33" spans="1:26" s="24" customFormat="1" hidden="1" outlineLevel="1" x14ac:dyDescent="0.25">
      <c r="A33" s="51"/>
      <c r="B33" s="11" t="str">
        <f>CONCATENATE("          ", "5528", " - ", "FREIGHT-IN-ART/TECH")</f>
        <v xml:space="preserve">          5528 - FREIGHT-IN-ART/TECH</v>
      </c>
      <c r="C33" s="11"/>
      <c r="D33" s="2">
        <v>235.45</v>
      </c>
      <c r="E33" s="2"/>
      <c r="F33" s="22">
        <f t="shared" si="7"/>
        <v>13.153631284916202</v>
      </c>
      <c r="G33" s="2"/>
      <c r="H33" s="2"/>
      <c r="I33" s="2"/>
      <c r="J33" s="22">
        <f t="shared" si="8"/>
        <v>0</v>
      </c>
      <c r="K33" s="2"/>
      <c r="L33" s="2">
        <f t="shared" si="9"/>
        <v>235.45</v>
      </c>
      <c r="M33" s="2"/>
      <c r="N33" s="22">
        <f t="shared" si="10"/>
        <v>0</v>
      </c>
      <c r="O33" s="11"/>
      <c r="P33" s="2">
        <v>280.26</v>
      </c>
      <c r="Q33" s="2"/>
      <c r="R33" s="22">
        <f t="shared" si="11"/>
        <v>1.3150387201153158E-2</v>
      </c>
      <c r="S33" s="2"/>
      <c r="T33" s="2"/>
      <c r="U33" s="2"/>
      <c r="V33" s="22">
        <f t="shared" si="12"/>
        <v>0</v>
      </c>
      <c r="W33" s="2"/>
      <c r="X33" s="2">
        <f t="shared" si="13"/>
        <v>280.26</v>
      </c>
      <c r="Y33" s="2"/>
      <c r="Z33" s="22">
        <f t="shared" si="14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6" t="s">
        <v>6</v>
      </c>
      <c r="C35" s="26"/>
      <c r="D35" s="20">
        <f>D12-D25</f>
        <v>17.900000000004376</v>
      </c>
      <c r="E35" s="13"/>
      <c r="F35" s="19">
        <f>IF(D$12=0,0,D35/D$12)</f>
        <v>1.0000000000002445</v>
      </c>
      <c r="G35" s="13"/>
      <c r="H35" s="20">
        <f>H12-H25</f>
        <v>7223</v>
      </c>
      <c r="I35" s="13"/>
      <c r="J35" s="19">
        <f>IF(H$12=0,0,H35/H$12)</f>
        <v>0.49639200054979038</v>
      </c>
      <c r="K35" s="15"/>
      <c r="L35" s="20">
        <f>+D35-H35</f>
        <v>-7205.0999999999958</v>
      </c>
      <c r="M35" s="15"/>
      <c r="N35" s="19">
        <f>IF(H35=0,0,L35/H35)</f>
        <v>-0.99752180534403934</v>
      </c>
      <c r="O35" s="25"/>
      <c r="P35" s="20">
        <f>P12-P25</f>
        <v>7128.8700000000044</v>
      </c>
      <c r="Q35" s="13"/>
      <c r="R35" s="19">
        <f>IF(P$12=0,0,P35/P$12)</f>
        <v>0.33450153716793257</v>
      </c>
      <c r="S35" s="13"/>
      <c r="T35" s="20">
        <f>T12-T25</f>
        <v>16764</v>
      </c>
      <c r="U35" s="13"/>
      <c r="V35" s="19">
        <f>IF(T$12=0,0,T35/T$12)</f>
        <v>0.48715564338021622</v>
      </c>
      <c r="W35" s="15"/>
      <c r="X35" s="20">
        <f>+P35-T35</f>
        <v>-9635.1299999999956</v>
      </c>
      <c r="Y35" s="15"/>
      <c r="Z35" s="19">
        <f>IF(T35=0,0,X35/T35)</f>
        <v>-0.57475125268432325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5" t="s">
        <v>9</v>
      </c>
      <c r="C37" s="10"/>
      <c r="D37" s="21">
        <f>SUM(OSRRefD22x_0)</f>
        <v>1424.39</v>
      </c>
      <c r="E37" s="21"/>
      <c r="F37" s="31">
        <f t="shared" ref="F37:F46" si="15">IF(D$12=0,0,D37/D$12)</f>
        <v>79.574860335195538</v>
      </c>
      <c r="G37" s="21"/>
      <c r="H37" s="21">
        <f>SUM(OSRRefH22x_0)</f>
        <v>12579.762043999999</v>
      </c>
      <c r="I37" s="21"/>
      <c r="J37" s="31">
        <f t="shared" ref="J37:J46" si="16">IF(H$12=0,0,H37/H$12)</f>
        <v>0.86452903882894638</v>
      </c>
      <c r="K37" s="4"/>
      <c r="L37" s="21">
        <f t="shared" ref="L37:L46" si="17">+D37-H37</f>
        <v>-11155.372044</v>
      </c>
      <c r="M37" s="4"/>
      <c r="N37" s="31">
        <f t="shared" ref="N37:N46" si="18">IF(H37=0,0,L37/H37)</f>
        <v>-0.88677130815209881</v>
      </c>
      <c r="O37" s="10"/>
      <c r="P37" s="21">
        <f>SUM(OSRRefP22x_0)</f>
        <v>11618.059999999996</v>
      </c>
      <c r="Q37" s="21"/>
      <c r="R37" s="31">
        <f t="shared" ref="R37:R46" si="19">IF(P$12=0,0,P37/P$12)</f>
        <v>0.54514375053960396</v>
      </c>
      <c r="S37" s="21"/>
      <c r="T37" s="21">
        <f>SUM(OSRRefT22x_0)</f>
        <v>41416.230011</v>
      </c>
      <c r="U37" s="21"/>
      <c r="V37" s="31">
        <f t="shared" ref="V37:V46" si="20">IF(T$12=0,0,T37/T$12)</f>
        <v>1.2035403350865976</v>
      </c>
      <c r="W37" s="4"/>
      <c r="X37" s="21">
        <f t="shared" ref="X37:X46" si="21">+P37-T37</f>
        <v>-29798.170011000002</v>
      </c>
      <c r="Y37" s="4"/>
      <c r="Z37" s="31">
        <f t="shared" ref="Z37:Z46" si="22">IF(T37=0,0,X37/T37)</f>
        <v>-0.71948050324922663</v>
      </c>
    </row>
    <row r="38" spans="1:26" s="27" customFormat="1" outlineLevel="1" collapsed="1" x14ac:dyDescent="0.25">
      <c r="A38" s="29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214.64</v>
      </c>
      <c r="E38" s="1"/>
      <c r="F38" s="5">
        <f t="shared" si="15"/>
        <v>11.991061452513966</v>
      </c>
      <c r="G38" s="1"/>
      <c r="H38" s="1">
        <f>SUM(OSRRefH22_0x_0)</f>
        <v>2113.6920440000004</v>
      </c>
      <c r="I38" s="1"/>
      <c r="J38" s="5">
        <f t="shared" si="16"/>
        <v>0.14526094728884614</v>
      </c>
      <c r="K38" s="1"/>
      <c r="L38" s="1">
        <f t="shared" si="17"/>
        <v>-1899.0520440000005</v>
      </c>
      <c r="M38" s="1"/>
      <c r="N38" s="5">
        <f t="shared" si="18"/>
        <v>-0.89845256757753122</v>
      </c>
      <c r="O38" s="14"/>
      <c r="P38" s="1">
        <f>SUM(OSRRefP22_0x_0)</f>
        <v>776.81</v>
      </c>
      <c r="Q38" s="1"/>
      <c r="R38" s="5">
        <f t="shared" si="19"/>
        <v>3.6449554990822038E-2</v>
      </c>
      <c r="S38" s="1"/>
      <c r="T38" s="1">
        <f>SUM(OSRRefT22_0x_0)</f>
        <v>7611.3800110000002</v>
      </c>
      <c r="U38" s="1"/>
      <c r="V38" s="5">
        <f t="shared" si="20"/>
        <v>0.22118388966058353</v>
      </c>
      <c r="W38" s="1"/>
      <c r="X38" s="1">
        <f t="shared" si="21"/>
        <v>-6834.5700109999998</v>
      </c>
      <c r="Y38" s="1"/>
      <c r="Z38" s="5">
        <f t="shared" si="22"/>
        <v>-0.89794097799908146</v>
      </c>
    </row>
    <row r="39" spans="1:26" s="24" customFormat="1" hidden="1" outlineLevel="2" x14ac:dyDescent="0.25">
      <c r="A39" s="28"/>
      <c r="B39" s="11" t="str">
        <f>CONCATENATE("          ", "6111", " - ", "F.I.C.A.")</f>
        <v xml:space="preserve">          6111 - F.I.C.A.</v>
      </c>
      <c r="C39" s="11"/>
      <c r="D39" s="7">
        <v>76.819999999999993</v>
      </c>
      <c r="E39" s="2"/>
      <c r="F39" s="6">
        <f t="shared" si="15"/>
        <v>4.2916201117318433</v>
      </c>
      <c r="G39" s="2"/>
      <c r="H39" s="7">
        <v>471.72326700000002</v>
      </c>
      <c r="I39" s="2"/>
      <c r="J39" s="6">
        <f t="shared" si="16"/>
        <v>3.2418615009277715E-2</v>
      </c>
      <c r="K39" s="2"/>
      <c r="L39" s="7">
        <f t="shared" si="17"/>
        <v>-394.90326700000003</v>
      </c>
      <c r="M39" s="2"/>
      <c r="N39" s="6">
        <f t="shared" si="18"/>
        <v>-0.83715028413046244</v>
      </c>
      <c r="O39" s="11"/>
      <c r="P39" s="7">
        <v>483.22</v>
      </c>
      <c r="Q39" s="2"/>
      <c r="R39" s="6">
        <f t="shared" si="19"/>
        <v>2.2673696222583421E-2</v>
      </c>
      <c r="S39" s="2"/>
      <c r="T39" s="7">
        <v>1624.670676</v>
      </c>
      <c r="U39" s="2"/>
      <c r="V39" s="6">
        <f t="shared" si="20"/>
        <v>4.7212329303731253E-2</v>
      </c>
      <c r="W39" s="2"/>
      <c r="X39" s="7">
        <f t="shared" si="21"/>
        <v>-1141.4506759999999</v>
      </c>
      <c r="Y39" s="2"/>
      <c r="Z39" s="6">
        <f t="shared" si="22"/>
        <v>-0.70257356943888116</v>
      </c>
    </row>
    <row r="40" spans="1:26" s="24" customFormat="1" hidden="1" outlineLevel="2" x14ac:dyDescent="0.25">
      <c r="A40" s="28"/>
      <c r="B40" s="11" t="str">
        <f>CONCATENATE("          ", "6112", " - ", "COMPENSATION INSURANCE")</f>
        <v xml:space="preserve">          6112 - COMPENSATION INSURANCE</v>
      </c>
      <c r="C40" s="11"/>
      <c r="D40" s="7">
        <v>120.84</v>
      </c>
      <c r="E40" s="2"/>
      <c r="F40" s="6">
        <f t="shared" si="15"/>
        <v>6.7508379888268166</v>
      </c>
      <c r="G40" s="2"/>
      <c r="H40" s="7">
        <v>154.14329499999999</v>
      </c>
      <c r="I40" s="2"/>
      <c r="J40" s="6">
        <f t="shared" si="16"/>
        <v>1.0593312830733283E-2</v>
      </c>
      <c r="K40" s="2"/>
      <c r="L40" s="7">
        <f t="shared" si="17"/>
        <v>-33.303294999999991</v>
      </c>
      <c r="M40" s="2"/>
      <c r="N40" s="6">
        <f t="shared" si="18"/>
        <v>-0.21605412677859256</v>
      </c>
      <c r="O40" s="11"/>
      <c r="P40" s="7">
        <v>255.57</v>
      </c>
      <c r="Q40" s="2"/>
      <c r="R40" s="6">
        <f t="shared" si="19"/>
        <v>1.1991880600152403E-2</v>
      </c>
      <c r="S40" s="2"/>
      <c r="T40" s="7">
        <v>485.99222500000002</v>
      </c>
      <c r="U40" s="2"/>
      <c r="V40" s="6">
        <f t="shared" si="20"/>
        <v>1.4122754417063815E-2</v>
      </c>
      <c r="W40" s="2"/>
      <c r="X40" s="7">
        <f t="shared" si="21"/>
        <v>-230.42222500000003</v>
      </c>
      <c r="Y40" s="2"/>
      <c r="Z40" s="6">
        <f t="shared" si="22"/>
        <v>-0.4741273895894117</v>
      </c>
    </row>
    <row r="41" spans="1:26" s="24" customFormat="1" hidden="1" outlineLevel="2" x14ac:dyDescent="0.25">
      <c r="A41" s="28"/>
      <c r="B41" s="11" t="str">
        <f>CONCATENATE("          ", "6113", " - ", "GROUP INSURANCE")</f>
        <v xml:space="preserve">          6113 - GROUP INSURANCE</v>
      </c>
      <c r="C41" s="11"/>
      <c r="D41" s="7"/>
      <c r="E41" s="2"/>
      <c r="F41" s="6">
        <f t="shared" si="15"/>
        <v>0</v>
      </c>
      <c r="G41" s="2"/>
      <c r="H41" s="7">
        <v>665</v>
      </c>
      <c r="I41" s="2"/>
      <c r="J41" s="6">
        <f t="shared" si="16"/>
        <v>4.5701326369321699E-2</v>
      </c>
      <c r="K41" s="2"/>
      <c r="L41" s="7">
        <f t="shared" si="17"/>
        <v>-665</v>
      </c>
      <c r="M41" s="2"/>
      <c r="N41" s="6">
        <f t="shared" si="18"/>
        <v>-1</v>
      </c>
      <c r="O41" s="11"/>
      <c r="P41" s="7"/>
      <c r="Q41" s="2"/>
      <c r="R41" s="6">
        <f t="shared" si="19"/>
        <v>0</v>
      </c>
      <c r="S41" s="2"/>
      <c r="T41" s="7">
        <v>2660</v>
      </c>
      <c r="U41" s="2"/>
      <c r="V41" s="6">
        <f t="shared" si="20"/>
        <v>7.7298616761594788E-2</v>
      </c>
      <c r="W41" s="2"/>
      <c r="X41" s="7">
        <f t="shared" si="21"/>
        <v>-2660</v>
      </c>
      <c r="Y41" s="2"/>
      <c r="Z41" s="6">
        <f t="shared" si="22"/>
        <v>-1</v>
      </c>
    </row>
    <row r="42" spans="1:26" s="24" customFormat="1" hidden="1" outlineLevel="2" x14ac:dyDescent="0.25">
      <c r="A42" s="28"/>
      <c r="B42" s="11" t="str">
        <f>CONCATENATE("          ", "6114", " - ", "STATE UNEMPLOYMENT INSURANCE")</f>
        <v xml:space="preserve">          6114 - STATE UNEMPLOYMENT INSURANCE</v>
      </c>
      <c r="C42" s="11"/>
      <c r="D42" s="7">
        <v>16.98</v>
      </c>
      <c r="E42" s="2"/>
      <c r="F42" s="6">
        <f t="shared" si="15"/>
        <v>0.94860335195530732</v>
      </c>
      <c r="G42" s="2"/>
      <c r="H42" s="7">
        <v>21.663381999999999</v>
      </c>
      <c r="I42" s="2"/>
      <c r="J42" s="6">
        <f t="shared" si="16"/>
        <v>1.4887899113462991E-3</v>
      </c>
      <c r="K42" s="2"/>
      <c r="L42" s="7">
        <f t="shared" si="17"/>
        <v>-4.6833819999999982</v>
      </c>
      <c r="M42" s="2"/>
      <c r="N42" s="6">
        <f t="shared" si="18"/>
        <v>-0.21618886653985969</v>
      </c>
      <c r="O42" s="11"/>
      <c r="P42" s="7">
        <v>38.020000000000003</v>
      </c>
      <c r="Q42" s="2"/>
      <c r="R42" s="6">
        <f t="shared" si="19"/>
        <v>1.7839781680862169E-3</v>
      </c>
      <c r="S42" s="2"/>
      <c r="T42" s="7">
        <v>68.301609999999997</v>
      </c>
      <c r="U42" s="2"/>
      <c r="V42" s="6">
        <f t="shared" si="20"/>
        <v>1.9848195396954551E-3</v>
      </c>
      <c r="W42" s="2"/>
      <c r="X42" s="7">
        <f t="shared" si="21"/>
        <v>-30.281609999999993</v>
      </c>
      <c r="Y42" s="2"/>
      <c r="Z42" s="6">
        <f t="shared" si="22"/>
        <v>-0.44335133534919596</v>
      </c>
    </row>
    <row r="43" spans="1:26" s="24" customFormat="1" hidden="1" outlineLevel="2" x14ac:dyDescent="0.25">
      <c r="A43" s="28"/>
      <c r="B43" s="11" t="str">
        <f>CONCATENATE("          ", "6115", " - ", "P.E.R.S.")</f>
        <v xml:space="preserve">          6115 - P.E.R.S.</v>
      </c>
      <c r="C43" s="11"/>
      <c r="D43" s="7"/>
      <c r="E43" s="2"/>
      <c r="F43" s="6">
        <f t="shared" si="15"/>
        <v>0</v>
      </c>
      <c r="G43" s="2"/>
      <c r="H43" s="7">
        <v>447.2</v>
      </c>
      <c r="I43" s="2"/>
      <c r="J43" s="6">
        <f t="shared" si="16"/>
        <v>3.0733282935880693E-2</v>
      </c>
      <c r="K43" s="2"/>
      <c r="L43" s="7">
        <f t="shared" si="17"/>
        <v>-447.2</v>
      </c>
      <c r="M43" s="2"/>
      <c r="N43" s="6">
        <f t="shared" si="18"/>
        <v>-1</v>
      </c>
      <c r="O43" s="11"/>
      <c r="P43" s="7"/>
      <c r="Q43" s="2"/>
      <c r="R43" s="6">
        <f t="shared" si="19"/>
        <v>0</v>
      </c>
      <c r="S43" s="2"/>
      <c r="T43" s="7">
        <v>1609.92</v>
      </c>
      <c r="U43" s="2"/>
      <c r="V43" s="6">
        <f t="shared" si="20"/>
        <v>4.6783680111588982E-2</v>
      </c>
      <c r="W43" s="2"/>
      <c r="X43" s="7">
        <f t="shared" si="21"/>
        <v>-1609.92</v>
      </c>
      <c r="Y43" s="2"/>
      <c r="Z43" s="6">
        <f t="shared" si="22"/>
        <v>-1</v>
      </c>
    </row>
    <row r="44" spans="1:26" s="24" customFormat="1" hidden="1" outlineLevel="2" x14ac:dyDescent="0.25">
      <c r="A44" s="28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5"/>
        <v>0</v>
      </c>
      <c r="G44" s="2"/>
      <c r="H44" s="7">
        <v>0</v>
      </c>
      <c r="I44" s="2"/>
      <c r="J44" s="6">
        <f t="shared" si="16"/>
        <v>0</v>
      </c>
      <c r="K44" s="2"/>
      <c r="L44" s="7">
        <f t="shared" si="17"/>
        <v>0</v>
      </c>
      <c r="M44" s="2"/>
      <c r="N44" s="6">
        <f t="shared" si="18"/>
        <v>0</v>
      </c>
      <c r="O44" s="11"/>
      <c r="P44" s="7"/>
      <c r="Q44" s="2"/>
      <c r="R44" s="6">
        <f t="shared" si="19"/>
        <v>0</v>
      </c>
      <c r="S44" s="2"/>
      <c r="T44" s="7">
        <v>0</v>
      </c>
      <c r="U44" s="2"/>
      <c r="V44" s="6">
        <f t="shared" si="20"/>
        <v>0</v>
      </c>
      <c r="W44" s="2"/>
      <c r="X44" s="7">
        <f t="shared" si="21"/>
        <v>0</v>
      </c>
      <c r="Y44" s="2"/>
      <c r="Z44" s="6">
        <f t="shared" si="22"/>
        <v>0</v>
      </c>
    </row>
    <row r="45" spans="1:26" s="24" customFormat="1" hidden="1" outlineLevel="2" x14ac:dyDescent="0.25">
      <c r="A45" s="28"/>
      <c r="B45" s="11" t="str">
        <f>CONCATENATE("          ", "6118", " - ", "VACATION")</f>
        <v xml:space="preserve">          6118 - VACATION</v>
      </c>
      <c r="C45" s="11"/>
      <c r="D45" s="7"/>
      <c r="E45" s="2"/>
      <c r="F45" s="6">
        <f t="shared" si="15"/>
        <v>0</v>
      </c>
      <c r="G45" s="2"/>
      <c r="H45" s="7">
        <v>156</v>
      </c>
      <c r="I45" s="2"/>
      <c r="J45" s="6">
        <f t="shared" si="16"/>
        <v>1.0720912652051405E-2</v>
      </c>
      <c r="K45" s="2"/>
      <c r="L45" s="7">
        <f t="shared" si="17"/>
        <v>-156</v>
      </c>
      <c r="M45" s="2"/>
      <c r="N45" s="6">
        <f t="shared" si="18"/>
        <v>-1</v>
      </c>
      <c r="O45" s="11"/>
      <c r="P45" s="7"/>
      <c r="Q45" s="2"/>
      <c r="R45" s="6">
        <f t="shared" si="19"/>
        <v>0</v>
      </c>
      <c r="S45" s="2"/>
      <c r="T45" s="7">
        <v>561.6</v>
      </c>
      <c r="U45" s="2"/>
      <c r="V45" s="6">
        <f t="shared" si="20"/>
        <v>1.6319888411019414E-2</v>
      </c>
      <c r="W45" s="2"/>
      <c r="X45" s="7">
        <f t="shared" si="21"/>
        <v>-561.6</v>
      </c>
      <c r="Y45" s="2"/>
      <c r="Z45" s="6">
        <f t="shared" si="22"/>
        <v>-1</v>
      </c>
    </row>
    <row r="46" spans="1:26" s="24" customFormat="1" hidden="1" outlineLevel="2" x14ac:dyDescent="0.25">
      <c r="A46" s="28"/>
      <c r="B46" s="11" t="str">
        <f>CONCATENATE("          ", "6119", " - ", "SICK LEAVE")</f>
        <v xml:space="preserve">          6119 - SICK LEAVE</v>
      </c>
      <c r="C46" s="11"/>
      <c r="D46" s="7"/>
      <c r="E46" s="2"/>
      <c r="F46" s="6">
        <f t="shared" si="15"/>
        <v>0</v>
      </c>
      <c r="G46" s="2"/>
      <c r="H46" s="7">
        <v>197.96209999999999</v>
      </c>
      <c r="I46" s="2"/>
      <c r="J46" s="6">
        <f t="shared" si="16"/>
        <v>1.3604707580235034E-2</v>
      </c>
      <c r="K46" s="2"/>
      <c r="L46" s="7">
        <f t="shared" si="17"/>
        <v>-197.96209999999999</v>
      </c>
      <c r="M46" s="2"/>
      <c r="N46" s="6">
        <f t="shared" si="18"/>
        <v>-1</v>
      </c>
      <c r="O46" s="11"/>
      <c r="P46" s="7"/>
      <c r="Q46" s="2"/>
      <c r="R46" s="6">
        <f t="shared" si="19"/>
        <v>0</v>
      </c>
      <c r="S46" s="2"/>
      <c r="T46" s="7">
        <v>600.89549999999997</v>
      </c>
      <c r="U46" s="2"/>
      <c r="V46" s="6">
        <f t="shared" si="20"/>
        <v>1.7461801115889804E-2</v>
      </c>
      <c r="W46" s="2"/>
      <c r="X46" s="7">
        <f t="shared" si="21"/>
        <v>-600.89549999999997</v>
      </c>
      <c r="Y46" s="2"/>
      <c r="Z46" s="6">
        <f t="shared" si="22"/>
        <v>-1</v>
      </c>
    </row>
    <row r="47" spans="1:26" s="27" customFormat="1" outlineLevel="1" collapsed="1" x14ac:dyDescent="0.25">
      <c r="A47" s="29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891.38</v>
      </c>
      <c r="E47" s="1"/>
      <c r="F47" s="5">
        <f t="shared" ref="F47:F57" si="23">IF(D$12=0,0,D47/D$12)</f>
        <v>49.797765363128498</v>
      </c>
      <c r="G47" s="1"/>
      <c r="H47" s="1">
        <f>SUM(OSRRefH22_1x_0)</f>
        <v>8072.07</v>
      </c>
      <c r="I47" s="1"/>
      <c r="J47" s="5">
        <f t="shared" ref="J47:J57" si="24">IF(H$12=0,0,H47/H$12)</f>
        <v>0.55474331661054221</v>
      </c>
      <c r="K47" s="1"/>
      <c r="L47" s="1">
        <f t="shared" ref="L47:L57" si="25">+D47-H47</f>
        <v>-7180.69</v>
      </c>
      <c r="M47" s="1"/>
      <c r="N47" s="5">
        <f t="shared" ref="N47:N57" si="26">IF(H47=0,0,L47/H47)</f>
        <v>-0.88957231540360771</v>
      </c>
      <c r="O47" s="14"/>
      <c r="P47" s="1">
        <f>SUM(OSRRefP22_1x_0)</f>
        <v>8134.35</v>
      </c>
      <c r="Q47" s="1"/>
      <c r="R47" s="5">
        <f t="shared" ref="R47:R57" si="27">IF(P$12=0,0,P47/P$12)</f>
        <v>0.38168076832120246</v>
      </c>
      <c r="S47" s="1"/>
      <c r="T47" s="1">
        <f>SUM(OSRRefT22_1x_0)</f>
        <v>25333.85</v>
      </c>
      <c r="U47" s="1"/>
      <c r="V47" s="5">
        <f t="shared" ref="V47:V57" si="28">IF(T$12=0,0,T47/T$12)</f>
        <v>0.73619231663373241</v>
      </c>
      <c r="W47" s="1"/>
      <c r="X47" s="1">
        <f t="shared" ref="X47:X57" si="29">+P47-T47</f>
        <v>-17199.5</v>
      </c>
      <c r="Y47" s="1"/>
      <c r="Z47" s="5">
        <f t="shared" ref="Z47:Z57" si="30">IF(T47=0,0,X47/T47)</f>
        <v>-0.67891378531095747</v>
      </c>
    </row>
    <row r="48" spans="1:26" s="24" customFormat="1" hidden="1" outlineLevel="2" x14ac:dyDescent="0.25">
      <c r="A48" s="28"/>
      <c r="B48" s="11" t="str">
        <f>CONCATENATE("          ", "6001", " - ", "ADMINISTRATIVE SALARIES")</f>
        <v xml:space="preserve">          6001 - ADMINISTRATIVE SALARIES</v>
      </c>
      <c r="C48" s="11"/>
      <c r="D48" s="7"/>
      <c r="E48" s="2"/>
      <c r="F48" s="6">
        <f t="shared" si="23"/>
        <v>0</v>
      </c>
      <c r="G48" s="2"/>
      <c r="H48" s="7">
        <v>4940</v>
      </c>
      <c r="I48" s="2"/>
      <c r="J48" s="6">
        <f t="shared" si="24"/>
        <v>0.33949556731496117</v>
      </c>
      <c r="K48" s="2"/>
      <c r="L48" s="7">
        <f t="shared" si="25"/>
        <v>-4940</v>
      </c>
      <c r="M48" s="2"/>
      <c r="N48" s="6">
        <f t="shared" si="26"/>
        <v>-1</v>
      </c>
      <c r="O48" s="11"/>
      <c r="P48" s="7"/>
      <c r="Q48" s="2"/>
      <c r="R48" s="6">
        <f t="shared" si="27"/>
        <v>0</v>
      </c>
      <c r="S48" s="2"/>
      <c r="T48" s="7">
        <v>17784</v>
      </c>
      <c r="U48" s="2"/>
      <c r="V48" s="6">
        <f t="shared" si="28"/>
        <v>0.51679646634894805</v>
      </c>
      <c r="W48" s="2"/>
      <c r="X48" s="7">
        <f t="shared" si="29"/>
        <v>-17784</v>
      </c>
      <c r="Y48" s="2"/>
      <c r="Z48" s="6">
        <f t="shared" si="30"/>
        <v>-1</v>
      </c>
    </row>
    <row r="49" spans="1:26" s="24" customFormat="1" hidden="1" outlineLevel="2" x14ac:dyDescent="0.25">
      <c r="A49" s="28"/>
      <c r="B49" s="11" t="str">
        <f>CONCATENATE("          ", "6002", " - ", "STAFF SALARIES")</f>
        <v xml:space="preserve">          6002 - STAFF SALARIES</v>
      </c>
      <c r="C49" s="11"/>
      <c r="D49" s="7"/>
      <c r="E49" s="2"/>
      <c r="F49" s="6">
        <f t="shared" si="23"/>
        <v>0</v>
      </c>
      <c r="G49" s="2"/>
      <c r="H49" s="7">
        <v>0</v>
      </c>
      <c r="I49" s="2"/>
      <c r="J49" s="6">
        <f t="shared" si="24"/>
        <v>0</v>
      </c>
      <c r="K49" s="2"/>
      <c r="L49" s="7">
        <f t="shared" si="25"/>
        <v>0</v>
      </c>
      <c r="M49" s="2"/>
      <c r="N49" s="6">
        <f t="shared" si="26"/>
        <v>0</v>
      </c>
      <c r="O49" s="11"/>
      <c r="P49" s="7"/>
      <c r="Q49" s="2"/>
      <c r="R49" s="6">
        <f t="shared" si="27"/>
        <v>0</v>
      </c>
      <c r="S49" s="2"/>
      <c r="T49" s="7">
        <v>0</v>
      </c>
      <c r="U49" s="2"/>
      <c r="V49" s="6">
        <f t="shared" si="28"/>
        <v>0</v>
      </c>
      <c r="W49" s="2"/>
      <c r="X49" s="7">
        <f t="shared" si="29"/>
        <v>0</v>
      </c>
      <c r="Y49" s="2"/>
      <c r="Z49" s="6">
        <f t="shared" si="30"/>
        <v>0</v>
      </c>
    </row>
    <row r="50" spans="1:26" s="24" customFormat="1" hidden="1" outlineLevel="2" x14ac:dyDescent="0.25">
      <c r="A50" s="28"/>
      <c r="B50" s="11" t="str">
        <f>CONCATENATE("          ", "6003", " - ", "STAFF HOURLY-9 MONTH")</f>
        <v xml:space="preserve">          6003 - STAFF HOURLY-9 MONTH</v>
      </c>
      <c r="C50" s="11"/>
      <c r="D50" s="7"/>
      <c r="E50" s="2"/>
      <c r="F50" s="6">
        <f t="shared" si="23"/>
        <v>0</v>
      </c>
      <c r="G50" s="2"/>
      <c r="H50" s="7">
        <v>0</v>
      </c>
      <c r="I50" s="2"/>
      <c r="J50" s="6">
        <f t="shared" si="24"/>
        <v>0</v>
      </c>
      <c r="K50" s="2"/>
      <c r="L50" s="7">
        <f t="shared" si="25"/>
        <v>0</v>
      </c>
      <c r="M50" s="2"/>
      <c r="N50" s="6">
        <f t="shared" si="26"/>
        <v>0</v>
      </c>
      <c r="O50" s="11"/>
      <c r="P50" s="7"/>
      <c r="Q50" s="2"/>
      <c r="R50" s="6">
        <f t="shared" si="27"/>
        <v>0</v>
      </c>
      <c r="S50" s="2"/>
      <c r="T50" s="7">
        <v>0</v>
      </c>
      <c r="U50" s="2"/>
      <c r="V50" s="6">
        <f t="shared" si="28"/>
        <v>0</v>
      </c>
      <c r="W50" s="2"/>
      <c r="X50" s="7">
        <f t="shared" si="29"/>
        <v>0</v>
      </c>
      <c r="Y50" s="2"/>
      <c r="Z50" s="6">
        <f t="shared" si="30"/>
        <v>0</v>
      </c>
    </row>
    <row r="51" spans="1:26" s="24" customFormat="1" hidden="1" outlineLevel="2" x14ac:dyDescent="0.25">
      <c r="A51" s="28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6">
        <f t="shared" si="23"/>
        <v>0</v>
      </c>
      <c r="G51" s="2"/>
      <c r="H51" s="7">
        <v>963.9</v>
      </c>
      <c r="I51" s="2"/>
      <c r="J51" s="6">
        <f t="shared" si="24"/>
        <v>6.6242869905848392E-2</v>
      </c>
      <c r="K51" s="2"/>
      <c r="L51" s="7">
        <f t="shared" si="25"/>
        <v>-963.9</v>
      </c>
      <c r="M51" s="2"/>
      <c r="N51" s="6">
        <f t="shared" si="26"/>
        <v>-1</v>
      </c>
      <c r="O51" s="11"/>
      <c r="P51" s="7"/>
      <c r="Q51" s="2"/>
      <c r="R51" s="6">
        <f t="shared" si="27"/>
        <v>0</v>
      </c>
      <c r="S51" s="2"/>
      <c r="T51" s="7">
        <v>2509.1999999999998</v>
      </c>
      <c r="U51" s="2"/>
      <c r="V51" s="6">
        <f t="shared" si="28"/>
        <v>7.2916424503080321E-2</v>
      </c>
      <c r="W51" s="2"/>
      <c r="X51" s="7">
        <f t="shared" si="29"/>
        <v>-2509.1999999999998</v>
      </c>
      <c r="Y51" s="2"/>
      <c r="Z51" s="6">
        <f t="shared" si="30"/>
        <v>-1</v>
      </c>
    </row>
    <row r="52" spans="1:26" s="24" customFormat="1" hidden="1" outlineLevel="2" x14ac:dyDescent="0.25">
      <c r="A52" s="28"/>
      <c r="B52" s="11" t="str">
        <f>CONCATENATE("          ", "6005", " - ", "TEMPORARY WAGES-HOURLY")</f>
        <v xml:space="preserve">          6005 - TEMPORARY WAGES-HOURLY</v>
      </c>
      <c r="C52" s="11"/>
      <c r="D52" s="7">
        <v>1004.55</v>
      </c>
      <c r="E52" s="2"/>
      <c r="F52" s="6">
        <f t="shared" si="23"/>
        <v>56.120111731843579</v>
      </c>
      <c r="G52" s="2"/>
      <c r="H52" s="7">
        <v>0</v>
      </c>
      <c r="I52" s="2"/>
      <c r="J52" s="6">
        <f t="shared" si="24"/>
        <v>0</v>
      </c>
      <c r="K52" s="2"/>
      <c r="L52" s="7">
        <f t="shared" si="25"/>
        <v>1004.55</v>
      </c>
      <c r="M52" s="2"/>
      <c r="N52" s="6">
        <f t="shared" si="26"/>
        <v>0</v>
      </c>
      <c r="O52" s="11"/>
      <c r="P52" s="7">
        <v>5361</v>
      </c>
      <c r="Q52" s="2"/>
      <c r="R52" s="6">
        <f t="shared" si="27"/>
        <v>0.25154936767780661</v>
      </c>
      <c r="S52" s="2"/>
      <c r="T52" s="7">
        <v>0</v>
      </c>
      <c r="U52" s="2"/>
      <c r="V52" s="6">
        <f t="shared" si="28"/>
        <v>0</v>
      </c>
      <c r="W52" s="2"/>
      <c r="X52" s="7">
        <f t="shared" si="29"/>
        <v>5361</v>
      </c>
      <c r="Y52" s="2"/>
      <c r="Z52" s="6">
        <f t="shared" si="30"/>
        <v>0</v>
      </c>
    </row>
    <row r="53" spans="1:26" s="24" customFormat="1" hidden="1" outlineLevel="2" x14ac:dyDescent="0.25">
      <c r="A53" s="28"/>
      <c r="B53" s="11" t="str">
        <f>CONCATENATE("          ", "6006", " - ", "TEMPORARY PART TIME")</f>
        <v xml:space="preserve">          6006 - TEMPORARY PART TIME</v>
      </c>
      <c r="C53" s="11"/>
      <c r="D53" s="7"/>
      <c r="E53" s="2"/>
      <c r="F53" s="6">
        <f t="shared" si="23"/>
        <v>0</v>
      </c>
      <c r="G53" s="2"/>
      <c r="H53" s="7">
        <v>0</v>
      </c>
      <c r="I53" s="2"/>
      <c r="J53" s="6">
        <f t="shared" si="24"/>
        <v>0</v>
      </c>
      <c r="K53" s="2"/>
      <c r="L53" s="7">
        <f t="shared" si="25"/>
        <v>0</v>
      </c>
      <c r="M53" s="2"/>
      <c r="N53" s="6">
        <f t="shared" si="26"/>
        <v>0</v>
      </c>
      <c r="O53" s="11"/>
      <c r="P53" s="7"/>
      <c r="Q53" s="2"/>
      <c r="R53" s="6">
        <f t="shared" si="27"/>
        <v>0</v>
      </c>
      <c r="S53" s="2"/>
      <c r="T53" s="7">
        <v>0</v>
      </c>
      <c r="U53" s="2"/>
      <c r="V53" s="6">
        <f t="shared" si="28"/>
        <v>0</v>
      </c>
      <c r="W53" s="2"/>
      <c r="X53" s="7">
        <f t="shared" si="29"/>
        <v>0</v>
      </c>
      <c r="Y53" s="2"/>
      <c r="Z53" s="6">
        <f t="shared" si="30"/>
        <v>0</v>
      </c>
    </row>
    <row r="54" spans="1:26" s="24" customFormat="1" hidden="1" outlineLevel="2" x14ac:dyDescent="0.25">
      <c r="A54" s="28"/>
      <c r="B54" s="11" t="str">
        <f>CONCATENATE("          ", "6007", " - ", "STUDENT HOURLY")</f>
        <v xml:space="preserve">          6007 - STUDENT HOURLY</v>
      </c>
      <c r="C54" s="11"/>
      <c r="D54" s="7">
        <v>-113.17</v>
      </c>
      <c r="E54" s="2"/>
      <c r="F54" s="6">
        <f t="shared" si="23"/>
        <v>-6.3223463687150847</v>
      </c>
      <c r="G54" s="2"/>
      <c r="H54" s="7">
        <v>0</v>
      </c>
      <c r="I54" s="2"/>
      <c r="J54" s="6">
        <f t="shared" si="24"/>
        <v>0</v>
      </c>
      <c r="K54" s="2"/>
      <c r="L54" s="7">
        <f t="shared" si="25"/>
        <v>-113.17</v>
      </c>
      <c r="M54" s="2"/>
      <c r="N54" s="6">
        <f t="shared" si="26"/>
        <v>0</v>
      </c>
      <c r="O54" s="11"/>
      <c r="P54" s="7">
        <v>2773.35</v>
      </c>
      <c r="Q54" s="2"/>
      <c r="R54" s="6">
        <f t="shared" si="27"/>
        <v>0.13013140064339582</v>
      </c>
      <c r="S54" s="2"/>
      <c r="T54" s="7">
        <v>0</v>
      </c>
      <c r="U54" s="2"/>
      <c r="V54" s="6">
        <f t="shared" si="28"/>
        <v>0</v>
      </c>
      <c r="W54" s="2"/>
      <c r="X54" s="7">
        <f t="shared" si="29"/>
        <v>2773.35</v>
      </c>
      <c r="Y54" s="2"/>
      <c r="Z54" s="6">
        <f t="shared" si="30"/>
        <v>0</v>
      </c>
    </row>
    <row r="55" spans="1:26" s="24" customFormat="1" hidden="1" outlineLevel="2" x14ac:dyDescent="0.25">
      <c r="A55" s="28"/>
      <c r="B55" s="11" t="str">
        <f>CONCATENATE("          ", "6008", " - ", "STUDENT HOURLY-FICA EXEMPT")</f>
        <v xml:space="preserve">          6008 - STUDENT HOURLY-FICA EXEMPT</v>
      </c>
      <c r="C55" s="11"/>
      <c r="D55" s="7"/>
      <c r="E55" s="2"/>
      <c r="F55" s="6">
        <f t="shared" si="23"/>
        <v>0</v>
      </c>
      <c r="G55" s="2"/>
      <c r="H55" s="7">
        <v>2168.17</v>
      </c>
      <c r="I55" s="2"/>
      <c r="J55" s="6">
        <f t="shared" si="24"/>
        <v>0.14900487938973267</v>
      </c>
      <c r="K55" s="2"/>
      <c r="L55" s="7">
        <f t="shared" si="25"/>
        <v>-2168.17</v>
      </c>
      <c r="M55" s="2"/>
      <c r="N55" s="6">
        <f t="shared" si="26"/>
        <v>-1</v>
      </c>
      <c r="O55" s="11"/>
      <c r="P55" s="7"/>
      <c r="Q55" s="2"/>
      <c r="R55" s="6">
        <f t="shared" si="27"/>
        <v>0</v>
      </c>
      <c r="S55" s="2"/>
      <c r="T55" s="7">
        <v>5040.6499999999996</v>
      </c>
      <c r="U55" s="2"/>
      <c r="V55" s="6">
        <f t="shared" si="28"/>
        <v>0.14647942578170406</v>
      </c>
      <c r="W55" s="2"/>
      <c r="X55" s="7">
        <f t="shared" si="29"/>
        <v>-5040.6499999999996</v>
      </c>
      <c r="Y55" s="2"/>
      <c r="Z55" s="6">
        <f t="shared" si="30"/>
        <v>-1</v>
      </c>
    </row>
    <row r="56" spans="1:26" s="24" customFormat="1" hidden="1" outlineLevel="2" x14ac:dyDescent="0.25">
      <c r="A56" s="28"/>
      <c r="B56" s="11" t="str">
        <f>CONCATENATE("          ", "6009", " - ", "TEMPORARY-SEASONAL")</f>
        <v xml:space="preserve">          6009 - TEMPORARY-SEASONAL</v>
      </c>
      <c r="C56" s="11"/>
      <c r="D56" s="7"/>
      <c r="E56" s="2"/>
      <c r="F56" s="6">
        <f t="shared" si="23"/>
        <v>0</v>
      </c>
      <c r="G56" s="2"/>
      <c r="H56" s="7">
        <v>0</v>
      </c>
      <c r="I56" s="2"/>
      <c r="J56" s="6">
        <f t="shared" si="24"/>
        <v>0</v>
      </c>
      <c r="K56" s="2"/>
      <c r="L56" s="7">
        <f t="shared" si="25"/>
        <v>0</v>
      </c>
      <c r="M56" s="2"/>
      <c r="N56" s="6">
        <f t="shared" si="26"/>
        <v>0</v>
      </c>
      <c r="O56" s="11"/>
      <c r="P56" s="7"/>
      <c r="Q56" s="2"/>
      <c r="R56" s="6">
        <f t="shared" si="27"/>
        <v>0</v>
      </c>
      <c r="S56" s="2"/>
      <c r="T56" s="7">
        <v>0</v>
      </c>
      <c r="U56" s="2"/>
      <c r="V56" s="6">
        <f t="shared" si="28"/>
        <v>0</v>
      </c>
      <c r="W56" s="2"/>
      <c r="X56" s="7">
        <f t="shared" si="29"/>
        <v>0</v>
      </c>
      <c r="Y56" s="2"/>
      <c r="Z56" s="6">
        <f t="shared" si="30"/>
        <v>0</v>
      </c>
    </row>
    <row r="57" spans="1:26" s="24" customFormat="1" hidden="1" outlineLevel="2" x14ac:dyDescent="0.25">
      <c r="A57" s="28"/>
      <c r="B57" s="11" t="str">
        <f>CONCATENATE("          ", "6010", " - ", "GRATUITY")</f>
        <v xml:space="preserve">          6010 - GRATUITY</v>
      </c>
      <c r="C57" s="11"/>
      <c r="D57" s="7"/>
      <c r="E57" s="2"/>
      <c r="F57" s="6">
        <f t="shared" si="23"/>
        <v>0</v>
      </c>
      <c r="G57" s="2"/>
      <c r="H57" s="7">
        <v>0</v>
      </c>
      <c r="I57" s="2"/>
      <c r="J57" s="6">
        <f t="shared" si="24"/>
        <v>0</v>
      </c>
      <c r="K57" s="2"/>
      <c r="L57" s="7">
        <f t="shared" si="25"/>
        <v>0</v>
      </c>
      <c r="M57" s="2"/>
      <c r="N57" s="6">
        <f t="shared" si="26"/>
        <v>0</v>
      </c>
      <c r="O57" s="11"/>
      <c r="P57" s="7"/>
      <c r="Q57" s="2"/>
      <c r="R57" s="6">
        <f t="shared" si="27"/>
        <v>0</v>
      </c>
      <c r="S57" s="2"/>
      <c r="T57" s="7">
        <v>0</v>
      </c>
      <c r="U57" s="2"/>
      <c r="V57" s="6">
        <f t="shared" si="28"/>
        <v>0</v>
      </c>
      <c r="W57" s="2"/>
      <c r="X57" s="7">
        <f t="shared" si="29"/>
        <v>0</v>
      </c>
      <c r="Y57" s="2"/>
      <c r="Z57" s="6">
        <f t="shared" si="30"/>
        <v>0</v>
      </c>
    </row>
    <row r="58" spans="1:26" s="27" customFormat="1" outlineLevel="1" collapsed="1" x14ac:dyDescent="0.25">
      <c r="A58" s="29"/>
      <c r="B58" s="14" t="str">
        <f>CONCATENATE("     ","Advertising/Promo                                 ")</f>
        <v xml:space="preserve">     Advertising/Promo                                 </v>
      </c>
      <c r="C58" s="14"/>
      <c r="D58" s="1">
        <f>SUM(OSRRefD22_2x_0)</f>
        <v>124.72</v>
      </c>
      <c r="E58" s="1"/>
      <c r="F58" s="5">
        <f t="shared" ref="F58:F66" si="31">IF(D$12=0,0,D58/D$12)</f>
        <v>6.9675977653631289</v>
      </c>
      <c r="G58" s="1"/>
      <c r="H58" s="1">
        <f>SUM(OSRRefH22_2x_0)</f>
        <v>100</v>
      </c>
      <c r="I58" s="1"/>
      <c r="J58" s="5">
        <f t="shared" ref="J58:J66" si="32">IF(H$12=0,0,H58/H$12)</f>
        <v>6.8723799051611575E-3</v>
      </c>
      <c r="K58" s="1"/>
      <c r="L58" s="1">
        <f t="shared" ref="L58:L66" si="33">+D58-H58</f>
        <v>24.72</v>
      </c>
      <c r="M58" s="1"/>
      <c r="N58" s="5">
        <f t="shared" ref="N58:N66" si="34">IF(H58=0,0,L58/H58)</f>
        <v>0.24719999999999998</v>
      </c>
      <c r="O58" s="14"/>
      <c r="P58" s="1">
        <f>SUM(OSRRefP22_2x_0)</f>
        <v>124.72</v>
      </c>
      <c r="Q58" s="1"/>
      <c r="R58" s="5">
        <f t="shared" ref="R58:R66" si="35">IF(P$12=0,0,P58/P$12)</f>
        <v>5.8521240695347957E-3</v>
      </c>
      <c r="S58" s="1"/>
      <c r="T58" s="1">
        <f>SUM(OSRRefT22_2x_0)</f>
        <v>300</v>
      </c>
      <c r="U58" s="1"/>
      <c r="V58" s="5">
        <f t="shared" ref="V58:V66" si="36">IF(T$12=0,0,T58/T$12)</f>
        <v>8.7178891084505397E-3</v>
      </c>
      <c r="W58" s="1"/>
      <c r="X58" s="1">
        <f t="shared" ref="X58:X66" si="37">+P58-T58</f>
        <v>-175.28</v>
      </c>
      <c r="Y58" s="1"/>
      <c r="Z58" s="5">
        <f t="shared" ref="Z58:Z66" si="38">IF(T58=0,0,X58/T58)</f>
        <v>-0.58426666666666671</v>
      </c>
    </row>
    <row r="59" spans="1:26" s="24" customFormat="1" hidden="1" outlineLevel="2" x14ac:dyDescent="0.25">
      <c r="A59" s="28"/>
      <c r="B59" s="11" t="str">
        <f>CONCATENATE("          ", "6362", " - ", "ADVERTISING EXPENSE")</f>
        <v xml:space="preserve">          6362 - ADVERTISING EXPENSE</v>
      </c>
      <c r="C59" s="11"/>
      <c r="D59" s="7">
        <v>124.72</v>
      </c>
      <c r="E59" s="2"/>
      <c r="F59" s="6">
        <f t="shared" si="31"/>
        <v>6.9675977653631289</v>
      </c>
      <c r="G59" s="2"/>
      <c r="H59" s="7">
        <v>100</v>
      </c>
      <c r="I59" s="2"/>
      <c r="J59" s="6">
        <f t="shared" si="32"/>
        <v>6.8723799051611575E-3</v>
      </c>
      <c r="K59" s="2"/>
      <c r="L59" s="7">
        <f t="shared" si="33"/>
        <v>24.72</v>
      </c>
      <c r="M59" s="2"/>
      <c r="N59" s="6">
        <f t="shared" si="34"/>
        <v>0.24719999999999998</v>
      </c>
      <c r="O59" s="11"/>
      <c r="P59" s="7">
        <v>124.72</v>
      </c>
      <c r="Q59" s="2"/>
      <c r="R59" s="6">
        <f t="shared" si="35"/>
        <v>5.8521240695347957E-3</v>
      </c>
      <c r="S59" s="2"/>
      <c r="T59" s="7">
        <v>300</v>
      </c>
      <c r="U59" s="2"/>
      <c r="V59" s="6">
        <f t="shared" si="36"/>
        <v>8.7178891084505397E-3</v>
      </c>
      <c r="W59" s="2"/>
      <c r="X59" s="7">
        <f t="shared" si="37"/>
        <v>-175.28</v>
      </c>
      <c r="Y59" s="2"/>
      <c r="Z59" s="6">
        <f t="shared" si="38"/>
        <v>-0.58426666666666671</v>
      </c>
    </row>
    <row r="60" spans="1:26" s="27" customFormat="1" outlineLevel="1" collapsed="1" x14ac:dyDescent="0.25">
      <c r="A60" s="29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SUM(OSRRefD22_3x_0)</f>
        <v>0</v>
      </c>
      <c r="E60" s="1"/>
      <c r="F60" s="5">
        <f t="shared" si="31"/>
        <v>0</v>
      </c>
      <c r="G60" s="1"/>
      <c r="H60" s="1">
        <f>SUM(OSRRefH22_3x_0)</f>
        <v>0</v>
      </c>
      <c r="I60" s="1"/>
      <c r="J60" s="5">
        <f t="shared" si="32"/>
        <v>0</v>
      </c>
      <c r="K60" s="1"/>
      <c r="L60" s="1">
        <f t="shared" si="33"/>
        <v>0</v>
      </c>
      <c r="M60" s="1"/>
      <c r="N60" s="5">
        <f t="shared" si="34"/>
        <v>0</v>
      </c>
      <c r="O60" s="14"/>
      <c r="P60" s="1">
        <f>SUM(OSRRefP22_3x_0)</f>
        <v>1.1000000000000001</v>
      </c>
      <c r="Q60" s="1"/>
      <c r="R60" s="5">
        <f t="shared" si="35"/>
        <v>5.1614307861516002E-5</v>
      </c>
      <c r="S60" s="1"/>
      <c r="T60" s="1">
        <f>SUM(OSRRefT22_3x_0)</f>
        <v>0</v>
      </c>
      <c r="U60" s="1"/>
      <c r="V60" s="5">
        <f t="shared" si="36"/>
        <v>0</v>
      </c>
      <c r="W60" s="1"/>
      <c r="X60" s="1">
        <f t="shared" si="37"/>
        <v>1.1000000000000001</v>
      </c>
      <c r="Y60" s="1"/>
      <c r="Z60" s="5">
        <f t="shared" si="38"/>
        <v>0</v>
      </c>
    </row>
    <row r="61" spans="1:26" s="24" customFormat="1" hidden="1" outlineLevel="2" x14ac:dyDescent="0.25">
      <c r="A61" s="28"/>
      <c r="B61" s="11" t="str">
        <f>CONCATENATE("          ", "6272", " - ", "CASH (OVER/SHORT)")</f>
        <v xml:space="preserve">          6272 - CASH (OVER/SHORT)</v>
      </c>
      <c r="C61" s="11"/>
      <c r="D61" s="7"/>
      <c r="E61" s="2"/>
      <c r="F61" s="6">
        <f t="shared" si="31"/>
        <v>0</v>
      </c>
      <c r="G61" s="2"/>
      <c r="H61" s="7"/>
      <c r="I61" s="2"/>
      <c r="J61" s="6">
        <f t="shared" si="32"/>
        <v>0</v>
      </c>
      <c r="K61" s="2"/>
      <c r="L61" s="7">
        <f t="shared" si="33"/>
        <v>0</v>
      </c>
      <c r="M61" s="2"/>
      <c r="N61" s="6">
        <f t="shared" si="34"/>
        <v>0</v>
      </c>
      <c r="O61" s="11"/>
      <c r="P61" s="7">
        <v>1.1000000000000001</v>
      </c>
      <c r="Q61" s="2"/>
      <c r="R61" s="6">
        <f t="shared" si="35"/>
        <v>5.1614307861516002E-5</v>
      </c>
      <c r="S61" s="2"/>
      <c r="T61" s="7"/>
      <c r="U61" s="2"/>
      <c r="V61" s="6">
        <f t="shared" si="36"/>
        <v>0</v>
      </c>
      <c r="W61" s="2"/>
      <c r="X61" s="7">
        <f t="shared" si="37"/>
        <v>1.1000000000000001</v>
      </c>
      <c r="Y61" s="2"/>
      <c r="Z61" s="6">
        <f t="shared" si="38"/>
        <v>0</v>
      </c>
    </row>
    <row r="62" spans="1:26" s="27" customFormat="1" outlineLevel="1" collapsed="1" x14ac:dyDescent="0.25">
      <c r="A62" s="29"/>
      <c r="B62" s="14" t="str">
        <f>CONCATENATE("     ","Bank/card Fees                                    ")</f>
        <v xml:space="preserve">     Bank/card Fees                                    </v>
      </c>
      <c r="C62" s="14"/>
      <c r="D62" s="1">
        <f>SUM(OSRRefD22_4x_0)</f>
        <v>0</v>
      </c>
      <c r="E62" s="1"/>
      <c r="F62" s="5">
        <f t="shared" si="31"/>
        <v>0</v>
      </c>
      <c r="G62" s="1"/>
      <c r="H62" s="1">
        <f>SUM(OSRRefH22_4x_0)</f>
        <v>1002</v>
      </c>
      <c r="I62" s="1"/>
      <c r="J62" s="5">
        <f t="shared" si="32"/>
        <v>6.8861246649714797E-2</v>
      </c>
      <c r="K62" s="1"/>
      <c r="L62" s="1">
        <f t="shared" si="33"/>
        <v>-1002</v>
      </c>
      <c r="M62" s="1"/>
      <c r="N62" s="5">
        <f t="shared" si="34"/>
        <v>-1</v>
      </c>
      <c r="O62" s="14"/>
      <c r="P62" s="1">
        <f>SUM(OSRRefP22_4x_0)</f>
        <v>0</v>
      </c>
      <c r="Q62" s="1"/>
      <c r="R62" s="5">
        <f t="shared" si="35"/>
        <v>0</v>
      </c>
      <c r="S62" s="1"/>
      <c r="T62" s="1">
        <f>SUM(OSRRefT22_4x_0)</f>
        <v>2163</v>
      </c>
      <c r="U62" s="1"/>
      <c r="V62" s="5">
        <f t="shared" si="36"/>
        <v>6.2855980471928391E-2</v>
      </c>
      <c r="W62" s="1"/>
      <c r="X62" s="1">
        <f t="shared" si="37"/>
        <v>-2163</v>
      </c>
      <c r="Y62" s="1"/>
      <c r="Z62" s="5">
        <f t="shared" si="38"/>
        <v>-1</v>
      </c>
    </row>
    <row r="63" spans="1:26" s="24" customFormat="1" hidden="1" outlineLevel="2" x14ac:dyDescent="0.25">
      <c r="A63" s="28"/>
      <c r="B63" s="11" t="str">
        <f>CONCATENATE("          ", "6381", " - ", "BANK/CREDIT CARD FEES")</f>
        <v xml:space="preserve">          6381 - BANK/CREDIT CARD FEES</v>
      </c>
      <c r="C63" s="11"/>
      <c r="D63" s="7"/>
      <c r="E63" s="2"/>
      <c r="F63" s="6">
        <f t="shared" si="31"/>
        <v>0</v>
      </c>
      <c r="G63" s="2"/>
      <c r="H63" s="7">
        <v>1002</v>
      </c>
      <c r="I63" s="2"/>
      <c r="J63" s="6">
        <f t="shared" si="32"/>
        <v>6.8861246649714797E-2</v>
      </c>
      <c r="K63" s="2"/>
      <c r="L63" s="7">
        <f t="shared" si="33"/>
        <v>-1002</v>
      </c>
      <c r="M63" s="2"/>
      <c r="N63" s="6">
        <f t="shared" si="34"/>
        <v>-1</v>
      </c>
      <c r="O63" s="11"/>
      <c r="P63" s="7"/>
      <c r="Q63" s="2"/>
      <c r="R63" s="6">
        <f t="shared" si="35"/>
        <v>0</v>
      </c>
      <c r="S63" s="2"/>
      <c r="T63" s="7">
        <v>2163</v>
      </c>
      <c r="U63" s="2"/>
      <c r="V63" s="6">
        <f t="shared" si="36"/>
        <v>6.2855980471928391E-2</v>
      </c>
      <c r="W63" s="2"/>
      <c r="X63" s="7">
        <f t="shared" si="37"/>
        <v>-2163</v>
      </c>
      <c r="Y63" s="2"/>
      <c r="Z63" s="6">
        <f t="shared" si="38"/>
        <v>-1</v>
      </c>
    </row>
    <row r="64" spans="1:26" s="27" customFormat="1" outlineLevel="1" collapsed="1" x14ac:dyDescent="0.25">
      <c r="A64" s="29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SUM(OSRRefD22_5x_0)</f>
        <v>-418.85</v>
      </c>
      <c r="E64" s="1"/>
      <c r="F64" s="5">
        <f t="shared" si="31"/>
        <v>-23.399441340782126</v>
      </c>
      <c r="G64" s="1"/>
      <c r="H64" s="1">
        <f>SUM(OSRRefH22_5x_0)</f>
        <v>320</v>
      </c>
      <c r="I64" s="1"/>
      <c r="J64" s="5">
        <f t="shared" si="32"/>
        <v>2.1991615696515702E-2</v>
      </c>
      <c r="K64" s="1"/>
      <c r="L64" s="1">
        <f t="shared" si="33"/>
        <v>-738.85</v>
      </c>
      <c r="M64" s="1"/>
      <c r="N64" s="5">
        <f t="shared" si="34"/>
        <v>-2.3089062500000002</v>
      </c>
      <c r="O64" s="14"/>
      <c r="P64" s="1">
        <f>SUM(OSRRefP22_5x_0)</f>
        <v>-418.85</v>
      </c>
      <c r="Q64" s="1"/>
      <c r="R64" s="5">
        <f t="shared" si="35"/>
        <v>-1.9653320770723615E-2</v>
      </c>
      <c r="S64" s="1"/>
      <c r="T64" s="1">
        <f>SUM(OSRRefT22_5x_0)</f>
        <v>740</v>
      </c>
      <c r="U64" s="1"/>
      <c r="V64" s="5">
        <f t="shared" si="36"/>
        <v>2.1504126467511334E-2</v>
      </c>
      <c r="W64" s="1"/>
      <c r="X64" s="1">
        <f t="shared" si="37"/>
        <v>-1158.8499999999999</v>
      </c>
      <c r="Y64" s="1"/>
      <c r="Z64" s="5">
        <f t="shared" si="38"/>
        <v>-1.5660135135135134</v>
      </c>
    </row>
    <row r="65" spans="1:26" s="24" customFormat="1" hidden="1" outlineLevel="2" x14ac:dyDescent="0.25">
      <c r="A65" s="28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31"/>
        <v>0</v>
      </c>
      <c r="G65" s="2"/>
      <c r="H65" s="7">
        <v>320</v>
      </c>
      <c r="I65" s="2"/>
      <c r="J65" s="6">
        <f t="shared" si="32"/>
        <v>2.1991615696515702E-2</v>
      </c>
      <c r="K65" s="2"/>
      <c r="L65" s="7">
        <f t="shared" si="33"/>
        <v>-320</v>
      </c>
      <c r="M65" s="2"/>
      <c r="N65" s="6">
        <f t="shared" si="34"/>
        <v>-1</v>
      </c>
      <c r="O65" s="11"/>
      <c r="P65" s="7"/>
      <c r="Q65" s="2"/>
      <c r="R65" s="6">
        <f t="shared" si="35"/>
        <v>0</v>
      </c>
      <c r="S65" s="2"/>
      <c r="T65" s="7">
        <v>740</v>
      </c>
      <c r="U65" s="2"/>
      <c r="V65" s="6">
        <f t="shared" si="36"/>
        <v>2.1504126467511334E-2</v>
      </c>
      <c r="W65" s="2"/>
      <c r="X65" s="7">
        <f t="shared" si="37"/>
        <v>-740</v>
      </c>
      <c r="Y65" s="2"/>
      <c r="Z65" s="6">
        <f t="shared" si="38"/>
        <v>-1</v>
      </c>
    </row>
    <row r="66" spans="1:26" s="24" customFormat="1" hidden="1" outlineLevel="2" x14ac:dyDescent="0.25">
      <c r="A66" s="28"/>
      <c r="B66" s="11" t="str">
        <f>CONCATENATE("          ", "9175", " - ", "EARNED DISCOUNTS")</f>
        <v xml:space="preserve">          9175 - EARNED DISCOUNTS</v>
      </c>
      <c r="C66" s="11"/>
      <c r="D66" s="7">
        <v>-418.85</v>
      </c>
      <c r="E66" s="2"/>
      <c r="F66" s="6">
        <f t="shared" si="31"/>
        <v>-23.399441340782126</v>
      </c>
      <c r="G66" s="2"/>
      <c r="H66" s="7"/>
      <c r="I66" s="2"/>
      <c r="J66" s="6">
        <f t="shared" si="32"/>
        <v>0</v>
      </c>
      <c r="K66" s="2"/>
      <c r="L66" s="7">
        <f t="shared" si="33"/>
        <v>-418.85</v>
      </c>
      <c r="M66" s="2"/>
      <c r="N66" s="6">
        <f t="shared" si="34"/>
        <v>0</v>
      </c>
      <c r="O66" s="11"/>
      <c r="P66" s="7">
        <v>-418.85</v>
      </c>
      <c r="Q66" s="2"/>
      <c r="R66" s="6">
        <f t="shared" si="35"/>
        <v>-1.9653320770723615E-2</v>
      </c>
      <c r="S66" s="2"/>
      <c r="T66" s="7"/>
      <c r="U66" s="2"/>
      <c r="V66" s="6">
        <f t="shared" si="36"/>
        <v>0</v>
      </c>
      <c r="W66" s="2"/>
      <c r="X66" s="7">
        <f t="shared" si="37"/>
        <v>-418.85</v>
      </c>
      <c r="Y66" s="2"/>
      <c r="Z66" s="6">
        <f t="shared" si="38"/>
        <v>0</v>
      </c>
    </row>
    <row r="67" spans="1:26" s="27" customFormat="1" outlineLevel="1" collapsed="1" x14ac:dyDescent="0.25">
      <c r="A67" s="29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0</v>
      </c>
      <c r="E67" s="1"/>
      <c r="F67" s="5">
        <f t="shared" ref="F67:F75" si="39">IF(D$12=0,0,D67/D$12)</f>
        <v>0</v>
      </c>
      <c r="G67" s="1"/>
      <c r="H67" s="1">
        <f>SUM(OSRRefH22_6x_0)</f>
        <v>198</v>
      </c>
      <c r="I67" s="1"/>
      <c r="J67" s="5">
        <f t="shared" ref="J67:J75" si="40">IF(H$12=0,0,H67/H$12)</f>
        <v>1.3607312212219091E-2</v>
      </c>
      <c r="K67" s="1"/>
      <c r="L67" s="1">
        <f t="shared" ref="L67:L75" si="41">+D67-H67</f>
        <v>-198</v>
      </c>
      <c r="M67" s="1"/>
      <c r="N67" s="5">
        <f t="shared" ref="N67:N75" si="42">IF(H67=0,0,L67/H67)</f>
        <v>-1</v>
      </c>
      <c r="O67" s="14"/>
      <c r="P67" s="1">
        <f>SUM(OSRRefP22_6x_0)</f>
        <v>0</v>
      </c>
      <c r="Q67" s="1"/>
      <c r="R67" s="5">
        <f t="shared" ref="R67:R75" si="43">IF(P$12=0,0,P67/P$12)</f>
        <v>0</v>
      </c>
      <c r="S67" s="1"/>
      <c r="T67" s="1">
        <f>SUM(OSRRefT22_6x_0)</f>
        <v>786</v>
      </c>
      <c r="U67" s="1"/>
      <c r="V67" s="5">
        <f t="shared" ref="V67:V75" si="44">IF(T$12=0,0,T67/T$12)</f>
        <v>2.2840869464140417E-2</v>
      </c>
      <c r="W67" s="1"/>
      <c r="X67" s="1">
        <f t="shared" ref="X67:X75" si="45">+P67-T67</f>
        <v>-786</v>
      </c>
      <c r="Y67" s="1"/>
      <c r="Z67" s="5">
        <f t="shared" ref="Z67:Z75" si="46">IF(T67=0,0,X67/T67)</f>
        <v>-1</v>
      </c>
    </row>
    <row r="68" spans="1:26" s="24" customFormat="1" hidden="1" outlineLevel="2" x14ac:dyDescent="0.25">
      <c r="A68" s="28"/>
      <c r="B68" s="11" t="str">
        <f>CONCATENATE("          ", "6305", " - ", "FREIGHT OUT")</f>
        <v xml:space="preserve">          6305 - FREIGHT OUT</v>
      </c>
      <c r="C68" s="11"/>
      <c r="D68" s="7"/>
      <c r="E68" s="2"/>
      <c r="F68" s="6">
        <f t="shared" si="39"/>
        <v>0</v>
      </c>
      <c r="G68" s="2"/>
      <c r="H68" s="7">
        <v>198</v>
      </c>
      <c r="I68" s="2"/>
      <c r="J68" s="6">
        <f t="shared" si="40"/>
        <v>1.3607312212219091E-2</v>
      </c>
      <c r="K68" s="2"/>
      <c r="L68" s="7">
        <f t="shared" si="41"/>
        <v>-198</v>
      </c>
      <c r="M68" s="2"/>
      <c r="N68" s="6">
        <f t="shared" si="42"/>
        <v>-1</v>
      </c>
      <c r="O68" s="11"/>
      <c r="P68" s="7"/>
      <c r="Q68" s="2"/>
      <c r="R68" s="6">
        <f t="shared" si="43"/>
        <v>0</v>
      </c>
      <c r="S68" s="2"/>
      <c r="T68" s="7">
        <v>786</v>
      </c>
      <c r="U68" s="2"/>
      <c r="V68" s="6">
        <f t="shared" si="44"/>
        <v>2.2840869464140417E-2</v>
      </c>
      <c r="W68" s="2"/>
      <c r="X68" s="7">
        <f t="shared" si="45"/>
        <v>-786</v>
      </c>
      <c r="Y68" s="2"/>
      <c r="Z68" s="6">
        <f t="shared" si="46"/>
        <v>-1</v>
      </c>
    </row>
    <row r="69" spans="1:26" s="27" customFormat="1" outlineLevel="1" collapsed="1" x14ac:dyDescent="0.25">
      <c r="A69" s="29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SUM(OSRRefD22_7x_0)</f>
        <v>0</v>
      </c>
      <c r="E69" s="1"/>
      <c r="F69" s="5">
        <f t="shared" si="39"/>
        <v>0</v>
      </c>
      <c r="G69" s="1"/>
      <c r="H69" s="1">
        <f>SUM(OSRRefH22_7x_0)</f>
        <v>0</v>
      </c>
      <c r="I69" s="1"/>
      <c r="J69" s="5">
        <f t="shared" si="40"/>
        <v>0</v>
      </c>
      <c r="K69" s="1"/>
      <c r="L69" s="1">
        <f t="shared" si="41"/>
        <v>0</v>
      </c>
      <c r="M69" s="1"/>
      <c r="N69" s="5">
        <f t="shared" si="42"/>
        <v>0</v>
      </c>
      <c r="O69" s="14"/>
      <c r="P69" s="1">
        <f>SUM(OSRRefP22_7x_0)</f>
        <v>719.55</v>
      </c>
      <c r="Q69" s="1"/>
      <c r="R69" s="5">
        <f t="shared" si="43"/>
        <v>3.3762795656139849E-2</v>
      </c>
      <c r="S69" s="1"/>
      <c r="T69" s="1">
        <f>SUM(OSRRefT22_7x_0)</f>
        <v>1000</v>
      </c>
      <c r="U69" s="1"/>
      <c r="V69" s="5">
        <f t="shared" si="44"/>
        <v>2.90596303615018E-2</v>
      </c>
      <c r="W69" s="1"/>
      <c r="X69" s="1">
        <f t="shared" si="45"/>
        <v>-280.45000000000005</v>
      </c>
      <c r="Y69" s="1"/>
      <c r="Z69" s="5">
        <f t="shared" si="46"/>
        <v>-0.28045000000000003</v>
      </c>
    </row>
    <row r="70" spans="1:26" s="24" customFormat="1" hidden="1" outlineLevel="2" x14ac:dyDescent="0.25">
      <c r="A70" s="28"/>
      <c r="B70" s="11" t="str">
        <f>CONCATENATE("          ", "6279", " - ", "GENERAL EXPENSE")</f>
        <v xml:space="preserve">          6279 - GENERAL EXPENSE</v>
      </c>
      <c r="C70" s="11"/>
      <c r="D70" s="7"/>
      <c r="E70" s="2"/>
      <c r="F70" s="6">
        <f t="shared" si="39"/>
        <v>0</v>
      </c>
      <c r="G70" s="2"/>
      <c r="H70" s="7"/>
      <c r="I70" s="2"/>
      <c r="J70" s="6">
        <f t="shared" si="40"/>
        <v>0</v>
      </c>
      <c r="K70" s="2"/>
      <c r="L70" s="7">
        <f t="shared" si="41"/>
        <v>0</v>
      </c>
      <c r="M70" s="2"/>
      <c r="N70" s="6">
        <f t="shared" si="42"/>
        <v>0</v>
      </c>
      <c r="O70" s="11"/>
      <c r="P70" s="7">
        <v>719.55</v>
      </c>
      <c r="Q70" s="2"/>
      <c r="R70" s="6">
        <f t="shared" si="43"/>
        <v>3.3762795656139849E-2</v>
      </c>
      <c r="S70" s="2"/>
      <c r="T70" s="7">
        <v>1000</v>
      </c>
      <c r="U70" s="2"/>
      <c r="V70" s="6">
        <f t="shared" si="44"/>
        <v>2.90596303615018E-2</v>
      </c>
      <c r="W70" s="2"/>
      <c r="X70" s="7">
        <f t="shared" si="45"/>
        <v>-280.45000000000005</v>
      </c>
      <c r="Y70" s="2"/>
      <c r="Z70" s="6">
        <f t="shared" si="46"/>
        <v>-0.28045000000000003</v>
      </c>
    </row>
    <row r="71" spans="1:26" s="27" customFormat="1" outlineLevel="1" collapsed="1" x14ac:dyDescent="0.25">
      <c r="A71" s="29"/>
      <c r="B71" s="14" t="str">
        <f>CONCATENATE("     ","Professional Services                             ")</f>
        <v xml:space="preserve">     Professional Services                             </v>
      </c>
      <c r="C71" s="14"/>
      <c r="D71" s="1">
        <f>SUM(OSRRefD22_8x_0)</f>
        <v>0</v>
      </c>
      <c r="E71" s="1"/>
      <c r="F71" s="5">
        <f t="shared" si="39"/>
        <v>0</v>
      </c>
      <c r="G71" s="1"/>
      <c r="H71" s="1">
        <f>SUM(OSRRefH22_8x_0)</f>
        <v>0</v>
      </c>
      <c r="I71" s="1"/>
      <c r="J71" s="5">
        <f t="shared" si="40"/>
        <v>0</v>
      </c>
      <c r="K71" s="1"/>
      <c r="L71" s="1">
        <f t="shared" si="41"/>
        <v>0</v>
      </c>
      <c r="M71" s="1"/>
      <c r="N71" s="5">
        <f t="shared" si="42"/>
        <v>0</v>
      </c>
      <c r="O71" s="14"/>
      <c r="P71" s="1">
        <f>SUM(OSRRefP22_8x_0)</f>
        <v>0</v>
      </c>
      <c r="Q71" s="1"/>
      <c r="R71" s="5">
        <f t="shared" si="43"/>
        <v>0</v>
      </c>
      <c r="S71" s="1"/>
      <c r="T71" s="1">
        <f>SUM(OSRRefT22_8x_0)</f>
        <v>800</v>
      </c>
      <c r="U71" s="1"/>
      <c r="V71" s="5">
        <f t="shared" si="44"/>
        <v>2.3247704289201442E-2</v>
      </c>
      <c r="W71" s="1"/>
      <c r="X71" s="1">
        <f t="shared" si="45"/>
        <v>-800</v>
      </c>
      <c r="Y71" s="1"/>
      <c r="Z71" s="5">
        <f t="shared" si="46"/>
        <v>-1</v>
      </c>
    </row>
    <row r="72" spans="1:26" s="24" customFormat="1" hidden="1" outlineLevel="2" x14ac:dyDescent="0.25">
      <c r="A72" s="28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39"/>
        <v>0</v>
      </c>
      <c r="G72" s="2"/>
      <c r="H72" s="7"/>
      <c r="I72" s="2"/>
      <c r="J72" s="6">
        <f t="shared" si="40"/>
        <v>0</v>
      </c>
      <c r="K72" s="2"/>
      <c r="L72" s="7">
        <f t="shared" si="41"/>
        <v>0</v>
      </c>
      <c r="M72" s="2"/>
      <c r="N72" s="6">
        <f t="shared" si="42"/>
        <v>0</v>
      </c>
      <c r="O72" s="11"/>
      <c r="P72" s="7"/>
      <c r="Q72" s="2"/>
      <c r="R72" s="6">
        <f t="shared" si="43"/>
        <v>0</v>
      </c>
      <c r="S72" s="2"/>
      <c r="T72" s="7">
        <v>800</v>
      </c>
      <c r="U72" s="2"/>
      <c r="V72" s="6">
        <f t="shared" si="44"/>
        <v>2.3247704289201442E-2</v>
      </c>
      <c r="W72" s="2"/>
      <c r="X72" s="7">
        <f t="shared" si="45"/>
        <v>-800</v>
      </c>
      <c r="Y72" s="2"/>
      <c r="Z72" s="6">
        <f t="shared" si="46"/>
        <v>-1</v>
      </c>
    </row>
    <row r="73" spans="1:26" s="27" customFormat="1" outlineLevel="1" collapsed="1" x14ac:dyDescent="0.25">
      <c r="A73" s="29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SUM(OSRRefD22_9x_0)</f>
        <v>0</v>
      </c>
      <c r="E73" s="1"/>
      <c r="F73" s="5">
        <f t="shared" si="39"/>
        <v>0</v>
      </c>
      <c r="G73" s="1"/>
      <c r="H73" s="1">
        <f>SUM(OSRRefH22_9x_0)</f>
        <v>100</v>
      </c>
      <c r="I73" s="1"/>
      <c r="J73" s="5">
        <f t="shared" si="40"/>
        <v>6.8723799051611575E-3</v>
      </c>
      <c r="K73" s="1"/>
      <c r="L73" s="1">
        <f t="shared" si="41"/>
        <v>-100</v>
      </c>
      <c r="M73" s="1"/>
      <c r="N73" s="5">
        <f t="shared" si="42"/>
        <v>-1</v>
      </c>
      <c r="O73" s="14"/>
      <c r="P73" s="1">
        <f>SUM(OSRRefP22_9x_0)</f>
        <v>139.71</v>
      </c>
      <c r="Q73" s="1"/>
      <c r="R73" s="5">
        <f t="shared" si="43"/>
        <v>6.555486319393092E-3</v>
      </c>
      <c r="S73" s="1"/>
      <c r="T73" s="1">
        <f>SUM(OSRRefT22_9x_0)</f>
        <v>400</v>
      </c>
      <c r="U73" s="1"/>
      <c r="V73" s="5">
        <f t="shared" si="44"/>
        <v>1.1623852144600721E-2</v>
      </c>
      <c r="W73" s="1"/>
      <c r="X73" s="1">
        <f t="shared" si="45"/>
        <v>-260.28999999999996</v>
      </c>
      <c r="Y73" s="1"/>
      <c r="Z73" s="5">
        <f t="shared" si="46"/>
        <v>-0.65072499999999989</v>
      </c>
    </row>
    <row r="74" spans="1:26" s="24" customFormat="1" hidden="1" outlineLevel="2" x14ac:dyDescent="0.25">
      <c r="A74" s="28"/>
      <c r="B74" s="11" t="str">
        <f>CONCATENATE("          ", "6373", " - ", "MAINTENANCE CONTRACTS")</f>
        <v xml:space="preserve">          6373 - MAINTENANCE CONTRACTS</v>
      </c>
      <c r="C74" s="11"/>
      <c r="D74" s="7"/>
      <c r="E74" s="2"/>
      <c r="F74" s="6">
        <f t="shared" si="39"/>
        <v>0</v>
      </c>
      <c r="G74" s="2"/>
      <c r="H74" s="7"/>
      <c r="I74" s="2"/>
      <c r="J74" s="6">
        <f t="shared" si="40"/>
        <v>0</v>
      </c>
      <c r="K74" s="2"/>
      <c r="L74" s="7">
        <f t="shared" si="41"/>
        <v>0</v>
      </c>
      <c r="M74" s="2"/>
      <c r="N74" s="6">
        <f t="shared" si="42"/>
        <v>0</v>
      </c>
      <c r="O74" s="11"/>
      <c r="P74" s="7">
        <v>139.71</v>
      </c>
      <c r="Q74" s="2"/>
      <c r="R74" s="6">
        <f t="shared" si="43"/>
        <v>6.555486319393092E-3</v>
      </c>
      <c r="S74" s="2"/>
      <c r="T74" s="7"/>
      <c r="U74" s="2"/>
      <c r="V74" s="6">
        <f t="shared" si="44"/>
        <v>0</v>
      </c>
      <c r="W74" s="2"/>
      <c r="X74" s="7">
        <f t="shared" si="45"/>
        <v>139.71</v>
      </c>
      <c r="Y74" s="2"/>
      <c r="Z74" s="6">
        <f t="shared" si="46"/>
        <v>0</v>
      </c>
    </row>
    <row r="75" spans="1:26" s="24" customFormat="1" hidden="1" outlineLevel="2" x14ac:dyDescent="0.25">
      <c r="A75" s="28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9"/>
        <v>0</v>
      </c>
      <c r="G75" s="2"/>
      <c r="H75" s="7">
        <v>100</v>
      </c>
      <c r="I75" s="2"/>
      <c r="J75" s="6">
        <f t="shared" si="40"/>
        <v>6.8723799051611575E-3</v>
      </c>
      <c r="K75" s="2"/>
      <c r="L75" s="7">
        <f t="shared" si="41"/>
        <v>-100</v>
      </c>
      <c r="M75" s="2"/>
      <c r="N75" s="6">
        <f t="shared" si="42"/>
        <v>-1</v>
      </c>
      <c r="O75" s="11"/>
      <c r="P75" s="7"/>
      <c r="Q75" s="2"/>
      <c r="R75" s="6">
        <f t="shared" si="43"/>
        <v>0</v>
      </c>
      <c r="S75" s="2"/>
      <c r="T75" s="7">
        <v>400</v>
      </c>
      <c r="U75" s="2"/>
      <c r="V75" s="6">
        <f t="shared" si="44"/>
        <v>1.1623852144600721E-2</v>
      </c>
      <c r="W75" s="2"/>
      <c r="X75" s="7">
        <f t="shared" si="45"/>
        <v>-400</v>
      </c>
      <c r="Y75" s="2"/>
      <c r="Z75" s="6">
        <f t="shared" si="46"/>
        <v>-1</v>
      </c>
    </row>
    <row r="76" spans="1:26" s="27" customFormat="1" outlineLevel="1" collapsed="1" x14ac:dyDescent="0.25">
      <c r="A76" s="29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SUM(OSRRefD22_10x_0)</f>
        <v>0</v>
      </c>
      <c r="E76" s="1"/>
      <c r="F76" s="5">
        <f t="shared" ref="F76:F78" si="47">IF(D$12=0,0,D76/D$12)</f>
        <v>0</v>
      </c>
      <c r="G76" s="1"/>
      <c r="H76" s="1">
        <f>SUM(OSRRefH22_10x_0)</f>
        <v>274</v>
      </c>
      <c r="I76" s="1"/>
      <c r="J76" s="5">
        <f t="shared" ref="J76:J78" si="48">IF(H$12=0,0,H76/H$12)</f>
        <v>1.883032094014157E-2</v>
      </c>
      <c r="K76" s="1"/>
      <c r="L76" s="1">
        <f t="shared" ref="L76:L78" si="49">+D76-H76</f>
        <v>-274</v>
      </c>
      <c r="M76" s="1"/>
      <c r="N76" s="5">
        <f t="shared" ref="N76:N78" si="50">IF(H76=0,0,L76/H76)</f>
        <v>-1</v>
      </c>
      <c r="O76" s="14"/>
      <c r="P76" s="1">
        <f>SUM(OSRRefP22_10x_0)</f>
        <v>-25.5</v>
      </c>
      <c r="Q76" s="1"/>
      <c r="R76" s="5">
        <f t="shared" ref="R76:R78" si="51">IF(P$12=0,0,P76/P$12)</f>
        <v>-1.1965135004260528E-3</v>
      </c>
      <c r="S76" s="1"/>
      <c r="T76" s="1">
        <f>SUM(OSRRefT22_10x_0)</f>
        <v>822</v>
      </c>
      <c r="U76" s="1"/>
      <c r="V76" s="5">
        <f t="shared" ref="V76:V78" si="52">IF(T$12=0,0,T76/T$12)</f>
        <v>2.3887016157154481E-2</v>
      </c>
      <c r="W76" s="1"/>
      <c r="X76" s="1">
        <f t="shared" ref="X76:X78" si="53">+P76-T76</f>
        <v>-847.5</v>
      </c>
      <c r="Y76" s="1"/>
      <c r="Z76" s="5">
        <f t="shared" ref="Z76:Z78" si="54">IF(T76=0,0,X76/T76)</f>
        <v>-1.031021897810219</v>
      </c>
    </row>
    <row r="77" spans="1:26" s="24" customFormat="1" hidden="1" outlineLevel="2" x14ac:dyDescent="0.25">
      <c r="A77" s="28"/>
      <c r="B77" s="11" t="str">
        <f>CONCATENATE("          ", "6282", " - ", "JANITORIAL/EXTERMINATOR EXPENS")</f>
        <v xml:space="preserve">          6282 - JANITORIAL/EXTERMINATOR EXPENS</v>
      </c>
      <c r="C77" s="11"/>
      <c r="D77" s="7"/>
      <c r="E77" s="2"/>
      <c r="F77" s="6">
        <f t="shared" si="47"/>
        <v>0</v>
      </c>
      <c r="G77" s="2"/>
      <c r="H77" s="7"/>
      <c r="I77" s="2"/>
      <c r="J77" s="6">
        <f t="shared" si="48"/>
        <v>0</v>
      </c>
      <c r="K77" s="2"/>
      <c r="L77" s="7">
        <f t="shared" si="49"/>
        <v>0</v>
      </c>
      <c r="M77" s="2"/>
      <c r="N77" s="6">
        <f t="shared" si="50"/>
        <v>0</v>
      </c>
      <c r="O77" s="11"/>
      <c r="P77" s="7">
        <v>132</v>
      </c>
      <c r="Q77" s="2"/>
      <c r="R77" s="6">
        <f t="shared" si="51"/>
        <v>6.1937169433819205E-3</v>
      </c>
      <c r="S77" s="2"/>
      <c r="T77" s="7"/>
      <c r="U77" s="2"/>
      <c r="V77" s="6">
        <f t="shared" si="52"/>
        <v>0</v>
      </c>
      <c r="W77" s="2"/>
      <c r="X77" s="7">
        <f t="shared" si="53"/>
        <v>132</v>
      </c>
      <c r="Y77" s="2"/>
      <c r="Z77" s="6">
        <f t="shared" si="54"/>
        <v>0</v>
      </c>
    </row>
    <row r="78" spans="1:26" s="24" customFormat="1" hidden="1" outlineLevel="2" x14ac:dyDescent="0.25">
      <c r="A78" s="28"/>
      <c r="B78" s="11" t="str">
        <f>CONCATENATE("          ", "6285", " - ", "JANITORIAL SERVICES")</f>
        <v xml:space="preserve">          6285 - JANITORIAL SERVICES</v>
      </c>
      <c r="C78" s="11"/>
      <c r="D78" s="7"/>
      <c r="E78" s="2"/>
      <c r="F78" s="6">
        <f t="shared" si="47"/>
        <v>0</v>
      </c>
      <c r="G78" s="2"/>
      <c r="H78" s="7">
        <v>274</v>
      </c>
      <c r="I78" s="2"/>
      <c r="J78" s="6">
        <f t="shared" si="48"/>
        <v>1.883032094014157E-2</v>
      </c>
      <c r="K78" s="2"/>
      <c r="L78" s="7">
        <f t="shared" si="49"/>
        <v>-274</v>
      </c>
      <c r="M78" s="2"/>
      <c r="N78" s="6">
        <f t="shared" si="50"/>
        <v>-1</v>
      </c>
      <c r="O78" s="11"/>
      <c r="P78" s="7">
        <v>-157.5</v>
      </c>
      <c r="Q78" s="2"/>
      <c r="R78" s="6">
        <f t="shared" si="51"/>
        <v>-7.3902304438079732E-3</v>
      </c>
      <c r="S78" s="2"/>
      <c r="T78" s="7">
        <v>822</v>
      </c>
      <c r="U78" s="2"/>
      <c r="V78" s="6">
        <f t="shared" si="52"/>
        <v>2.3887016157154481E-2</v>
      </c>
      <c r="W78" s="2"/>
      <c r="X78" s="7">
        <f t="shared" si="53"/>
        <v>-979.5</v>
      </c>
      <c r="Y78" s="2"/>
      <c r="Z78" s="6">
        <f t="shared" si="54"/>
        <v>-1.1916058394160585</v>
      </c>
    </row>
    <row r="79" spans="1:26" s="27" customFormat="1" outlineLevel="1" collapsed="1" x14ac:dyDescent="0.25">
      <c r="A79" s="29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SUM(OSRRefD22_11x_0)</f>
        <v>544.6</v>
      </c>
      <c r="E79" s="1"/>
      <c r="F79" s="5">
        <f t="shared" ref="F79:F83" si="55">IF(D$12=0,0,D79/D$12)</f>
        <v>30.424581005586596</v>
      </c>
      <c r="G79" s="1"/>
      <c r="H79" s="1">
        <f>SUM(OSRRefH22_11x_0)</f>
        <v>300</v>
      </c>
      <c r="I79" s="1"/>
      <c r="J79" s="5">
        <f t="shared" ref="J79:J83" si="56">IF(H$12=0,0,H79/H$12)</f>
        <v>2.0617139715483471E-2</v>
      </c>
      <c r="K79" s="1"/>
      <c r="L79" s="1">
        <f t="shared" ref="L79:L83" si="57">+D79-H79</f>
        <v>244.60000000000002</v>
      </c>
      <c r="M79" s="1"/>
      <c r="N79" s="5">
        <f t="shared" ref="N79:N83" si="58">IF(H79=0,0,L79/H79)</f>
        <v>0.81533333333333335</v>
      </c>
      <c r="O79" s="14"/>
      <c r="P79" s="1">
        <f>SUM(OSRRefP22_11x_0)</f>
        <v>1892.27</v>
      </c>
      <c r="Q79" s="1"/>
      <c r="R79" s="5">
        <f t="shared" ref="R79:R83" si="59">IF(P$12=0,0,P79/P$12)</f>
        <v>8.8789278488282622E-2</v>
      </c>
      <c r="S79" s="1"/>
      <c r="T79" s="1">
        <f>SUM(OSRRefT22_11x_0)</f>
        <v>1000</v>
      </c>
      <c r="U79" s="1"/>
      <c r="V79" s="5">
        <f t="shared" ref="V79:V83" si="60">IF(T$12=0,0,T79/T$12)</f>
        <v>2.90596303615018E-2</v>
      </c>
      <c r="W79" s="1"/>
      <c r="X79" s="1">
        <f t="shared" ref="X79:X83" si="61">+P79-T79</f>
        <v>892.27</v>
      </c>
      <c r="Y79" s="1"/>
      <c r="Z79" s="5">
        <f t="shared" ref="Z79:Z83" si="62">IF(T79=0,0,X79/T79)</f>
        <v>0.89227000000000001</v>
      </c>
    </row>
    <row r="80" spans="1:26" s="24" customFormat="1" hidden="1" outlineLevel="2" x14ac:dyDescent="0.25">
      <c r="A80" s="28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5"/>
        <v>0</v>
      </c>
      <c r="G80" s="2"/>
      <c r="H80" s="7">
        <v>200</v>
      </c>
      <c r="I80" s="2"/>
      <c r="J80" s="6">
        <f t="shared" si="56"/>
        <v>1.3744759810322315E-2</v>
      </c>
      <c r="K80" s="2"/>
      <c r="L80" s="7">
        <f t="shared" si="57"/>
        <v>-200</v>
      </c>
      <c r="M80" s="2"/>
      <c r="N80" s="6">
        <f t="shared" si="58"/>
        <v>-1</v>
      </c>
      <c r="O80" s="11"/>
      <c r="P80" s="7">
        <v>444.3</v>
      </c>
      <c r="Q80" s="2"/>
      <c r="R80" s="6">
        <f t="shared" si="59"/>
        <v>2.0847488166246871E-2</v>
      </c>
      <c r="S80" s="2"/>
      <c r="T80" s="7">
        <v>600</v>
      </c>
      <c r="U80" s="2"/>
      <c r="V80" s="6">
        <f t="shared" si="60"/>
        <v>1.7435778216901079E-2</v>
      </c>
      <c r="W80" s="2"/>
      <c r="X80" s="7">
        <f t="shared" si="61"/>
        <v>-155.69999999999999</v>
      </c>
      <c r="Y80" s="2"/>
      <c r="Z80" s="6">
        <f t="shared" si="62"/>
        <v>-0.25950000000000001</v>
      </c>
    </row>
    <row r="81" spans="1:26" s="24" customFormat="1" hidden="1" outlineLevel="2" x14ac:dyDescent="0.25">
      <c r="A81" s="28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5"/>
        <v>0</v>
      </c>
      <c r="G81" s="2"/>
      <c r="H81" s="7"/>
      <c r="I81" s="2"/>
      <c r="J81" s="6">
        <f t="shared" si="56"/>
        <v>0</v>
      </c>
      <c r="K81" s="2"/>
      <c r="L81" s="7">
        <f t="shared" si="57"/>
        <v>0</v>
      </c>
      <c r="M81" s="2"/>
      <c r="N81" s="6">
        <f t="shared" si="58"/>
        <v>0</v>
      </c>
      <c r="O81" s="11"/>
      <c r="P81" s="7">
        <v>225.24</v>
      </c>
      <c r="Q81" s="2"/>
      <c r="R81" s="6">
        <f t="shared" si="59"/>
        <v>1.056873336611624E-2</v>
      </c>
      <c r="S81" s="2"/>
      <c r="T81" s="7"/>
      <c r="U81" s="2"/>
      <c r="V81" s="6">
        <f t="shared" si="60"/>
        <v>0</v>
      </c>
      <c r="W81" s="2"/>
      <c r="X81" s="7">
        <f t="shared" si="61"/>
        <v>225.24</v>
      </c>
      <c r="Y81" s="2"/>
      <c r="Z81" s="6">
        <f t="shared" si="62"/>
        <v>0</v>
      </c>
    </row>
    <row r="82" spans="1:26" s="24" customFormat="1" hidden="1" outlineLevel="2" x14ac:dyDescent="0.25">
      <c r="A82" s="28"/>
      <c r="B82" s="11" t="str">
        <f>CONCATENATE("          ", "6247", " - ", "STORE SUPPLIES")</f>
        <v xml:space="preserve">          6247 - STORE SUPPLIES</v>
      </c>
      <c r="C82" s="11"/>
      <c r="D82" s="7">
        <v>544.6</v>
      </c>
      <c r="E82" s="2"/>
      <c r="F82" s="6">
        <f t="shared" si="55"/>
        <v>30.424581005586596</v>
      </c>
      <c r="G82" s="2"/>
      <c r="H82" s="7">
        <v>100</v>
      </c>
      <c r="I82" s="2"/>
      <c r="J82" s="6">
        <f t="shared" si="56"/>
        <v>6.8723799051611575E-3</v>
      </c>
      <c r="K82" s="2"/>
      <c r="L82" s="7">
        <f t="shared" si="57"/>
        <v>444.6</v>
      </c>
      <c r="M82" s="2"/>
      <c r="N82" s="6">
        <f t="shared" si="58"/>
        <v>4.4460000000000006</v>
      </c>
      <c r="O82" s="11"/>
      <c r="P82" s="7">
        <v>1222.73</v>
      </c>
      <c r="Q82" s="2"/>
      <c r="R82" s="6">
        <f t="shared" si="59"/>
        <v>5.7373056955919509E-2</v>
      </c>
      <c r="S82" s="2"/>
      <c r="T82" s="7">
        <v>300</v>
      </c>
      <c r="U82" s="2"/>
      <c r="V82" s="6">
        <f t="shared" si="60"/>
        <v>8.7178891084505397E-3</v>
      </c>
      <c r="W82" s="2"/>
      <c r="X82" s="7">
        <f t="shared" si="61"/>
        <v>922.73</v>
      </c>
      <c r="Y82" s="2"/>
      <c r="Z82" s="6">
        <f t="shared" si="62"/>
        <v>3.0757666666666665</v>
      </c>
    </row>
    <row r="83" spans="1:26" s="24" customFormat="1" hidden="1" outlineLevel="2" x14ac:dyDescent="0.25">
      <c r="A83" s="28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5"/>
        <v>0</v>
      </c>
      <c r="G83" s="2"/>
      <c r="H83" s="7"/>
      <c r="I83" s="2"/>
      <c r="J83" s="6">
        <f t="shared" si="56"/>
        <v>0</v>
      </c>
      <c r="K83" s="2"/>
      <c r="L83" s="7">
        <f t="shared" si="57"/>
        <v>0</v>
      </c>
      <c r="M83" s="2"/>
      <c r="N83" s="6">
        <f t="shared" si="58"/>
        <v>0</v>
      </c>
      <c r="O83" s="11"/>
      <c r="P83" s="7"/>
      <c r="Q83" s="2"/>
      <c r="R83" s="6">
        <f t="shared" si="59"/>
        <v>0</v>
      </c>
      <c r="S83" s="2"/>
      <c r="T83" s="7">
        <v>100</v>
      </c>
      <c r="U83" s="2"/>
      <c r="V83" s="6">
        <f t="shared" si="60"/>
        <v>2.9059630361501802E-3</v>
      </c>
      <c r="W83" s="2"/>
      <c r="X83" s="7">
        <f t="shared" si="61"/>
        <v>-100</v>
      </c>
      <c r="Y83" s="2"/>
      <c r="Z83" s="6">
        <f t="shared" si="62"/>
        <v>-1</v>
      </c>
    </row>
    <row r="84" spans="1:26" s="27" customFormat="1" outlineLevel="1" collapsed="1" x14ac:dyDescent="0.25">
      <c r="A84" s="29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SUM(OSRRefD22_12x_0)</f>
        <v>53.9</v>
      </c>
      <c r="E84" s="1"/>
      <c r="F84" s="5">
        <f t="shared" ref="F84:F86" si="63">IF(D$12=0,0,D84/D$12)</f>
        <v>3.011173184357542</v>
      </c>
      <c r="G84" s="1"/>
      <c r="H84" s="1">
        <f>SUM(OSRRefH22_12x_0)</f>
        <v>100</v>
      </c>
      <c r="I84" s="1"/>
      <c r="J84" s="5">
        <f t="shared" ref="J84:J86" si="64">IF(H$12=0,0,H84/H$12)</f>
        <v>6.8723799051611575E-3</v>
      </c>
      <c r="K84" s="1"/>
      <c r="L84" s="1">
        <f t="shared" ref="L84:L86" si="65">+D84-H84</f>
        <v>-46.1</v>
      </c>
      <c r="M84" s="1"/>
      <c r="N84" s="5">
        <f t="shared" ref="N84:N86" si="66">IF(H84=0,0,L84/H84)</f>
        <v>-0.46100000000000002</v>
      </c>
      <c r="O84" s="14"/>
      <c r="P84" s="1">
        <f>SUM(OSRRefP22_12x_0)</f>
        <v>259.89999999999998</v>
      </c>
      <c r="Q84" s="1"/>
      <c r="R84" s="5">
        <f t="shared" ref="R84:R86" si="67">IF(P$12=0,0,P84/P$12)</f>
        <v>1.2195053284734553E-2</v>
      </c>
      <c r="S84" s="1"/>
      <c r="T84" s="1">
        <f>SUM(OSRRefT22_12x_0)</f>
        <v>400</v>
      </c>
      <c r="U84" s="1"/>
      <c r="V84" s="5">
        <f t="shared" ref="V84:V86" si="68">IF(T$12=0,0,T84/T$12)</f>
        <v>1.1623852144600721E-2</v>
      </c>
      <c r="W84" s="1"/>
      <c r="X84" s="1">
        <f t="shared" ref="X84:X86" si="69">+P84-T84</f>
        <v>-140.10000000000002</v>
      </c>
      <c r="Y84" s="1"/>
      <c r="Z84" s="5">
        <f t="shared" ref="Z84:Z86" si="70">IF(T84=0,0,X84/T84)</f>
        <v>-0.35025000000000006</v>
      </c>
    </row>
    <row r="85" spans="1:26" s="24" customFormat="1" hidden="1" outlineLevel="2" x14ac:dyDescent="0.25">
      <c r="A85" s="28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3"/>
        <v>0</v>
      </c>
      <c r="G85" s="2"/>
      <c r="H85" s="7">
        <v>100</v>
      </c>
      <c r="I85" s="2"/>
      <c r="J85" s="6">
        <f t="shared" si="64"/>
        <v>6.8723799051611575E-3</v>
      </c>
      <c r="K85" s="2"/>
      <c r="L85" s="7">
        <f t="shared" si="65"/>
        <v>-100</v>
      </c>
      <c r="M85" s="2"/>
      <c r="N85" s="6">
        <f t="shared" si="66"/>
        <v>-1</v>
      </c>
      <c r="O85" s="11"/>
      <c r="P85" s="7"/>
      <c r="Q85" s="2"/>
      <c r="R85" s="6">
        <f t="shared" si="67"/>
        <v>0</v>
      </c>
      <c r="S85" s="2"/>
      <c r="T85" s="7">
        <v>400</v>
      </c>
      <c r="U85" s="2"/>
      <c r="V85" s="6">
        <f t="shared" si="68"/>
        <v>1.1623852144600721E-2</v>
      </c>
      <c r="W85" s="2"/>
      <c r="X85" s="7">
        <f t="shared" si="69"/>
        <v>-400</v>
      </c>
      <c r="Y85" s="2"/>
      <c r="Z85" s="6">
        <f t="shared" si="70"/>
        <v>-1</v>
      </c>
    </row>
    <row r="86" spans="1:26" s="24" customFormat="1" hidden="1" outlineLevel="2" x14ac:dyDescent="0.25">
      <c r="A86" s="28"/>
      <c r="B86" s="11" t="str">
        <f>CONCATENATE("          ", "6309", " - ", "TELEPHONE")</f>
        <v xml:space="preserve">          6309 - TELEPHONE</v>
      </c>
      <c r="C86" s="11"/>
      <c r="D86" s="7">
        <v>53.9</v>
      </c>
      <c r="E86" s="2"/>
      <c r="F86" s="6">
        <f t="shared" si="63"/>
        <v>3.011173184357542</v>
      </c>
      <c r="G86" s="2"/>
      <c r="H86" s="7"/>
      <c r="I86" s="2"/>
      <c r="J86" s="6">
        <f t="shared" si="64"/>
        <v>0</v>
      </c>
      <c r="K86" s="2"/>
      <c r="L86" s="7">
        <f t="shared" si="65"/>
        <v>53.9</v>
      </c>
      <c r="M86" s="2"/>
      <c r="N86" s="6">
        <f t="shared" si="66"/>
        <v>0</v>
      </c>
      <c r="O86" s="11"/>
      <c r="P86" s="7">
        <v>259.89999999999998</v>
      </c>
      <c r="Q86" s="2"/>
      <c r="R86" s="6">
        <f t="shared" si="67"/>
        <v>1.2195053284734553E-2</v>
      </c>
      <c r="S86" s="2"/>
      <c r="T86" s="7"/>
      <c r="U86" s="2"/>
      <c r="V86" s="6">
        <f t="shared" si="68"/>
        <v>0</v>
      </c>
      <c r="W86" s="2"/>
      <c r="X86" s="7">
        <f t="shared" si="69"/>
        <v>259.89999999999998</v>
      </c>
      <c r="Y86" s="2"/>
      <c r="Z86" s="6">
        <f t="shared" si="70"/>
        <v>0</v>
      </c>
    </row>
    <row r="87" spans="1:26" s="27" customFormat="1" outlineLevel="1" collapsed="1" x14ac:dyDescent="0.25">
      <c r="A87" s="29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SUM(OSRRefD22_13x_0)</f>
        <v>14</v>
      </c>
      <c r="E87" s="1"/>
      <c r="F87" s="5">
        <f t="shared" ref="F87:F88" si="71">IF(D$12=0,0,D87/D$12)</f>
        <v>0.78212290502793302</v>
      </c>
      <c r="G87" s="1"/>
      <c r="H87" s="1">
        <f>SUM(OSRRefH22_13x_0)</f>
        <v>0</v>
      </c>
      <c r="I87" s="1"/>
      <c r="J87" s="5">
        <f t="shared" ref="J87:J88" si="72">IF(H$12=0,0,H87/H$12)</f>
        <v>0</v>
      </c>
      <c r="K87" s="1"/>
      <c r="L87" s="1">
        <f t="shared" ref="L87:L88" si="73">+D87-H87</f>
        <v>14</v>
      </c>
      <c r="M87" s="1"/>
      <c r="N87" s="5">
        <f t="shared" ref="N87:N88" si="74">IF(H87=0,0,L87/H87)</f>
        <v>0</v>
      </c>
      <c r="O87" s="14"/>
      <c r="P87" s="1">
        <f>SUM(OSRRefP22_13x_0)</f>
        <v>14</v>
      </c>
      <c r="Q87" s="1"/>
      <c r="R87" s="5">
        <f t="shared" ref="R87:R88" si="75">IF(P$12=0,0,P87/P$12)</f>
        <v>6.5690937278293094E-4</v>
      </c>
      <c r="S87" s="1"/>
      <c r="T87" s="1">
        <f>SUM(OSRRefT22_13x_0)</f>
        <v>60</v>
      </c>
      <c r="U87" s="1"/>
      <c r="V87" s="5">
        <f t="shared" ref="V87:V88" si="76">IF(T$12=0,0,T87/T$12)</f>
        <v>1.7435778216901082E-3</v>
      </c>
      <c r="W87" s="1"/>
      <c r="X87" s="1">
        <f t="shared" ref="X87:X88" si="77">+P87-T87</f>
        <v>-46</v>
      </c>
      <c r="Y87" s="1"/>
      <c r="Z87" s="5">
        <f t="shared" ref="Z87:Z88" si="78">IF(T87=0,0,X87/T87)</f>
        <v>-0.76666666666666672</v>
      </c>
    </row>
    <row r="88" spans="1:26" s="24" customFormat="1" hidden="1" outlineLevel="2" x14ac:dyDescent="0.25">
      <c r="A88" s="28"/>
      <c r="B88" s="11" t="str">
        <f>CONCATENATE("          ", "6376", " - ", "TRAINING")</f>
        <v xml:space="preserve">          6376 - TRAINING</v>
      </c>
      <c r="C88" s="11"/>
      <c r="D88" s="7">
        <v>14</v>
      </c>
      <c r="E88" s="2"/>
      <c r="F88" s="6">
        <f t="shared" si="71"/>
        <v>0.78212290502793302</v>
      </c>
      <c r="G88" s="2"/>
      <c r="H88" s="7"/>
      <c r="I88" s="2"/>
      <c r="J88" s="6">
        <f t="shared" si="72"/>
        <v>0</v>
      </c>
      <c r="K88" s="2"/>
      <c r="L88" s="7">
        <f t="shared" si="73"/>
        <v>14</v>
      </c>
      <c r="M88" s="2"/>
      <c r="N88" s="6">
        <f t="shared" si="74"/>
        <v>0</v>
      </c>
      <c r="O88" s="11"/>
      <c r="P88" s="7">
        <v>14</v>
      </c>
      <c r="Q88" s="2"/>
      <c r="R88" s="6">
        <f t="shared" si="75"/>
        <v>6.5690937278293094E-4</v>
      </c>
      <c r="S88" s="2"/>
      <c r="T88" s="7">
        <v>60</v>
      </c>
      <c r="U88" s="2"/>
      <c r="V88" s="6">
        <f t="shared" si="76"/>
        <v>1.7435778216901082E-3</v>
      </c>
      <c r="W88" s="2"/>
      <c r="X88" s="7">
        <f t="shared" si="77"/>
        <v>-46</v>
      </c>
      <c r="Y88" s="2"/>
      <c r="Z88" s="6">
        <f t="shared" si="78"/>
        <v>-0.76666666666666672</v>
      </c>
    </row>
    <row r="89" spans="1:26" s="6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5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6" t="s">
        <v>3</v>
      </c>
      <c r="C92" s="26"/>
      <c r="D92" s="20">
        <f>+D35-D37+D90</f>
        <v>-1406.4899999999957</v>
      </c>
      <c r="E92" s="13"/>
      <c r="F92" s="19">
        <f>IF(D$12=0,0,D92/D$12)</f>
        <v>-78.574860335195297</v>
      </c>
      <c r="G92" s="13"/>
      <c r="H92" s="20">
        <f>+H35-H37+H90</f>
        <v>-5356.7620439999992</v>
      </c>
      <c r="I92" s="13"/>
      <c r="J92" s="19">
        <f>IF(H$12=0,0,H92/H$12)</f>
        <v>-0.368137038279156</v>
      </c>
      <c r="K92" s="15"/>
      <c r="L92" s="20">
        <f>+D92-H92</f>
        <v>3950.2720440000035</v>
      </c>
      <c r="M92" s="15"/>
      <c r="N92" s="19">
        <f>IF(H92=0,0,L92/H92)</f>
        <v>-0.73743653564462941</v>
      </c>
      <c r="O92" s="25"/>
      <c r="P92" s="20">
        <f>+P35-P37+P90</f>
        <v>-4489.1899999999914</v>
      </c>
      <c r="Q92" s="13"/>
      <c r="R92" s="19">
        <f>IF(P$12=0,0,P92/P$12)</f>
        <v>-0.21064221337167144</v>
      </c>
      <c r="S92" s="13"/>
      <c r="T92" s="20">
        <f>+T35-T37+T90</f>
        <v>-24652.230011</v>
      </c>
      <c r="U92" s="13"/>
      <c r="V92" s="19">
        <f>IF(T$12=0,0,T92/T$12)</f>
        <v>-0.71638469170638153</v>
      </c>
      <c r="W92" s="15"/>
      <c r="X92" s="20">
        <f>+P92-T92</f>
        <v>20163.040011000008</v>
      </c>
      <c r="Y92" s="15"/>
      <c r="Z92" s="19">
        <f>IF(T92=0,0,X92/T92)</f>
        <v>-0.81789923272673981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671.8</v>
      </c>
      <c r="E94" s="4"/>
      <c r="F94" s="12">
        <f>IF(D$12=0,0,D94/D$12)</f>
        <v>37.530726256983243</v>
      </c>
      <c r="G94" s="4"/>
      <c r="H94" s="4">
        <v>2165</v>
      </c>
      <c r="I94" s="4"/>
      <c r="J94" s="12">
        <f>IF(H$12=0,0,H94/H$12)</f>
        <v>0.14878702494673907</v>
      </c>
      <c r="K94" s="4"/>
      <c r="L94" s="4">
        <f>+D94-H94</f>
        <v>-1493.2</v>
      </c>
      <c r="M94" s="4"/>
      <c r="N94" s="12">
        <f>IF(H94=0,0,L94/H94)</f>
        <v>-0.68969976905311781</v>
      </c>
      <c r="O94" s="10"/>
      <c r="P94" s="4">
        <v>4616.62</v>
      </c>
      <c r="Q94" s="4"/>
      <c r="R94" s="12">
        <f>IF(P$12=0,0,P94/P$12)</f>
        <v>0.21662149632693817</v>
      </c>
      <c r="S94" s="4"/>
      <c r="T94" s="4">
        <v>7140</v>
      </c>
      <c r="U94" s="4"/>
      <c r="V94" s="12">
        <f>IF(T$12=0,0,T94/T$12)</f>
        <v>0.20748576078112285</v>
      </c>
      <c r="W94" s="4"/>
      <c r="X94" s="4">
        <f>+P94-T94</f>
        <v>-2523.38</v>
      </c>
      <c r="Y94" s="4"/>
      <c r="Z94" s="12">
        <f>IF(T94=0,0,X94/T94)</f>
        <v>-0.35341456582633057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4</v>
      </c>
      <c r="C96" s="26"/>
      <c r="D96" s="34">
        <f>+D92-D94</f>
        <v>-2078.2899999999954</v>
      </c>
      <c r="E96" s="13"/>
      <c r="F96" s="35">
        <f>IF(D$12=0,0,D96/D$12)</f>
        <v>-116.10558659217853</v>
      </c>
      <c r="G96" s="13"/>
      <c r="H96" s="34">
        <f>+H92-H94</f>
        <v>-7521.7620439999992</v>
      </c>
      <c r="I96" s="13"/>
      <c r="J96" s="35">
        <f>IF(H$12=0,0,H96/H$12)</f>
        <v>-0.51692406322589501</v>
      </c>
      <c r="K96" s="15"/>
      <c r="L96" s="34">
        <f>D96-H96</f>
        <v>5443.4720440000037</v>
      </c>
      <c r="M96" s="15"/>
      <c r="N96" s="35">
        <f>IF(H96=0,0,L96/H96)</f>
        <v>-0.72369639083998716</v>
      </c>
      <c r="O96" s="25"/>
      <c r="P96" s="34">
        <f>+P92-P94</f>
        <v>-9105.8099999999904</v>
      </c>
      <c r="Q96" s="13"/>
      <c r="R96" s="35">
        <f>IF(P$12=0,0,P96/P$12)</f>
        <v>-0.42726370969860955</v>
      </c>
      <c r="S96" s="13"/>
      <c r="T96" s="34">
        <f>+T92-T94</f>
        <v>-31792.230011</v>
      </c>
      <c r="U96" s="13"/>
      <c r="V96" s="35">
        <f>IF(T$12=0,0,T96/T$12)</f>
        <v>-0.92387045248750432</v>
      </c>
      <c r="W96" s="15"/>
      <c r="X96" s="34">
        <f>P96-T96</f>
        <v>22686.420011000009</v>
      </c>
      <c r="Y96" s="15"/>
      <c r="Z96" s="35">
        <f>IF(T96=0,0,X96/T96)</f>
        <v>-0.71358379085551993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5</v>
      </c>
      <c r="C99" s="26"/>
      <c r="D99" s="30">
        <f>SUM(D96:D98)</f>
        <v>-2078.2899999999954</v>
      </c>
      <c r="E99" s="13"/>
      <c r="F99" s="32">
        <f>IF(D$12=0,0,D99/D$12)</f>
        <v>-116.10558659217853</v>
      </c>
      <c r="G99" s="13"/>
      <c r="H99" s="30">
        <f>SUM(H96:H98)</f>
        <v>-7521.7620439999992</v>
      </c>
      <c r="I99" s="13"/>
      <c r="J99" s="32">
        <f>IF(H$12=0,0,H99/H$12)</f>
        <v>-0.51692406322589501</v>
      </c>
      <c r="K99" s="15"/>
      <c r="L99" s="30">
        <f>+D99-H99</f>
        <v>5443.4720440000037</v>
      </c>
      <c r="M99" s="15"/>
      <c r="N99" s="32">
        <f>IF(H99=0,0,L99/H99)</f>
        <v>-0.72369639083998716</v>
      </c>
      <c r="O99" s="25"/>
      <c r="P99" s="30">
        <f>SUM(P96:P98)</f>
        <v>-9105.8099999999904</v>
      </c>
      <c r="Q99" s="13"/>
      <c r="R99" s="32">
        <f>IF(P$12=0,0,P99/P$12)</f>
        <v>-0.42726370969860955</v>
      </c>
      <c r="S99" s="13"/>
      <c r="T99" s="30">
        <f>SUM(T96:T98)</f>
        <v>-31792.230011</v>
      </c>
      <c r="U99" s="13"/>
      <c r="V99" s="32">
        <f>IF(T$12=0,0,T99/T$12)</f>
        <v>-0.92387045248750432</v>
      </c>
      <c r="W99" s="15"/>
      <c r="X99" s="30">
        <f>+P99-T99</f>
        <v>22686.420011000009</v>
      </c>
      <c r="Y99" s="15"/>
      <c r="Z99" s="32">
        <f>IF(T99=0,0,X99/T99)</f>
        <v>-0.71358379085551993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0">
        <v>44151.568236921295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8" t="s">
        <v>314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3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34183.24</v>
      </c>
      <c r="E12" s="4"/>
      <c r="F12" s="12"/>
      <c r="G12" s="4"/>
      <c r="H12" s="4">
        <f>SUM(OSRRefH13x_0)</f>
        <v>45963</v>
      </c>
      <c r="I12" s="4"/>
      <c r="J12" s="12"/>
      <c r="K12" s="4"/>
      <c r="L12" s="4">
        <f t="shared" ref="L12:L33" si="0">+D12-H12</f>
        <v>-11779.760000000002</v>
      </c>
      <c r="M12" s="4"/>
      <c r="N12" s="12">
        <f t="shared" ref="N12:N33" si="1">IF(H12=0,0,L12/H12)</f>
        <v>-0.25628788373256756</v>
      </c>
      <c r="O12" s="10"/>
      <c r="P12" s="4">
        <f>SUM(OSRRefP13x_0)</f>
        <v>1545706.0299999996</v>
      </c>
      <c r="Q12" s="4"/>
      <c r="R12" s="12"/>
      <c r="S12" s="4"/>
      <c r="T12" s="4">
        <f>SUM(OSRRefT13x_0)</f>
        <v>2569836</v>
      </c>
      <c r="U12" s="4"/>
      <c r="V12" s="12"/>
      <c r="W12" s="4"/>
      <c r="X12" s="4">
        <f t="shared" ref="X12:X33" si="2">+P12-T12</f>
        <v>-1024129.9700000004</v>
      </c>
      <c r="Y12" s="4"/>
      <c r="Z12" s="12">
        <f t="shared" ref="Z12:Z33" si="3">IF(T12=0,0,X12/T12)</f>
        <v>-0.39851958257258457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-1377.28</f>
        <v>-1377.28</v>
      </c>
      <c r="E13" s="2"/>
      <c r="F13" s="22"/>
      <c r="G13" s="2"/>
      <c r="H13" s="2">
        <v>45963</v>
      </c>
      <c r="I13" s="2"/>
      <c r="J13" s="22"/>
      <c r="K13" s="2"/>
      <c r="L13" s="2">
        <f t="shared" si="0"/>
        <v>-47340.28</v>
      </c>
      <c r="M13" s="2"/>
      <c r="N13" s="22">
        <f t="shared" si="1"/>
        <v>-1.0299649718251638</v>
      </c>
      <c r="O13" s="11"/>
      <c r="P13" s="2">
        <f>-6370.82</f>
        <v>-6370.82</v>
      </c>
      <c r="Q13" s="2"/>
      <c r="R13" s="22"/>
      <c r="S13" s="2"/>
      <c r="T13" s="2">
        <v>2569836</v>
      </c>
      <c r="U13" s="2"/>
      <c r="V13" s="22"/>
      <c r="W13" s="2"/>
      <c r="X13" s="2">
        <f t="shared" si="2"/>
        <v>-2576206.8199999998</v>
      </c>
      <c r="Y13" s="2"/>
      <c r="Z13" s="22">
        <f t="shared" si="3"/>
        <v>-1.0024790764858147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--17630.93</f>
        <v>17630.93</v>
      </c>
      <c r="E14" s="2"/>
      <c r="F14" s="22"/>
      <c r="G14" s="2"/>
      <c r="H14" s="2"/>
      <c r="I14" s="2"/>
      <c r="J14" s="22"/>
      <c r="K14" s="2"/>
      <c r="L14" s="2">
        <f t="shared" si="0"/>
        <v>17630.93</v>
      </c>
      <c r="M14" s="2"/>
      <c r="N14" s="22">
        <f t="shared" si="1"/>
        <v>0</v>
      </c>
      <c r="O14" s="11"/>
      <c r="P14" s="2">
        <f>--712327.57</f>
        <v>712327.57</v>
      </c>
      <c r="Q14" s="2"/>
      <c r="R14" s="22"/>
      <c r="S14" s="2"/>
      <c r="T14" s="2"/>
      <c r="U14" s="2"/>
      <c r="V14" s="22"/>
      <c r="W14" s="2"/>
      <c r="X14" s="2">
        <f t="shared" si="2"/>
        <v>712327.57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--2483.62</f>
        <v>2483.62</v>
      </c>
      <c r="E15" s="2"/>
      <c r="F15" s="22"/>
      <c r="G15" s="2"/>
      <c r="H15" s="2"/>
      <c r="I15" s="2"/>
      <c r="J15" s="22"/>
      <c r="K15" s="2"/>
      <c r="L15" s="2">
        <f t="shared" si="0"/>
        <v>2483.62</v>
      </c>
      <c r="M15" s="2"/>
      <c r="N15" s="22">
        <f t="shared" si="1"/>
        <v>0</v>
      </c>
      <c r="O15" s="11"/>
      <c r="P15" s="2">
        <f>--319139.52</f>
        <v>319139.52</v>
      </c>
      <c r="Q15" s="2"/>
      <c r="R15" s="22"/>
      <c r="S15" s="2"/>
      <c r="T15" s="2"/>
      <c r="U15" s="2"/>
      <c r="V15" s="22"/>
      <c r="W15" s="2"/>
      <c r="X15" s="2">
        <f t="shared" si="2"/>
        <v>319139.52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22"/>
      <c r="G16" s="2"/>
      <c r="H16" s="2"/>
      <c r="I16" s="2"/>
      <c r="J16" s="22"/>
      <c r="K16" s="2"/>
      <c r="L16" s="2">
        <f t="shared" si="0"/>
        <v>70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22"/>
      <c r="G17" s="2"/>
      <c r="H17" s="2"/>
      <c r="I17" s="2"/>
      <c r="J17" s="22"/>
      <c r="K17" s="2"/>
      <c r="L17" s="2">
        <f t="shared" si="0"/>
        <v>354.45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--157.47</f>
        <v>157.47</v>
      </c>
      <c r="E18" s="2"/>
      <c r="F18" s="22"/>
      <c r="G18" s="2"/>
      <c r="H18" s="2"/>
      <c r="I18" s="2"/>
      <c r="J18" s="22"/>
      <c r="K18" s="2"/>
      <c r="L18" s="2">
        <f t="shared" si="0"/>
        <v>157.47</v>
      </c>
      <c r="M18" s="2"/>
      <c r="N18" s="22">
        <f t="shared" si="1"/>
        <v>0</v>
      </c>
      <c r="O18" s="11"/>
      <c r="P18" s="2">
        <f>--197.37</f>
        <v>197.37</v>
      </c>
      <c r="Q18" s="2"/>
      <c r="R18" s="22"/>
      <c r="S18" s="2"/>
      <c r="T18" s="2"/>
      <c r="U18" s="2"/>
      <c r="V18" s="22"/>
      <c r="W18" s="2"/>
      <c r="X18" s="2">
        <f t="shared" si="2"/>
        <v>197.37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</f>
        <v>35.799999999999997</v>
      </c>
      <c r="E19" s="2"/>
      <c r="F19" s="22"/>
      <c r="G19" s="2"/>
      <c r="H19" s="2"/>
      <c r="I19" s="2"/>
      <c r="J19" s="22"/>
      <c r="K19" s="2"/>
      <c r="L19" s="2">
        <f t="shared" si="0"/>
        <v>35.799999999999997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0</f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"4100", " - ", "NON-TAXABLE SALES")</f>
        <v xml:space="preserve">          4100 - NON-TAXABLE SALES</v>
      </c>
      <c r="C21" s="11"/>
      <c r="D21" s="2">
        <f>--135.79</f>
        <v>135.79</v>
      </c>
      <c r="E21" s="2"/>
      <c r="F21" s="22"/>
      <c r="G21" s="2"/>
      <c r="H21" s="2"/>
      <c r="I21" s="2"/>
      <c r="J21" s="22"/>
      <c r="K21" s="2"/>
      <c r="L21" s="2">
        <f t="shared" si="0"/>
        <v>135.79</v>
      </c>
      <c r="M21" s="2"/>
      <c r="N21" s="22">
        <f t="shared" si="1"/>
        <v>0</v>
      </c>
      <c r="O21" s="11"/>
      <c r="P21" s="2">
        <f>--164479.81</f>
        <v>164479.81</v>
      </c>
      <c r="Q21" s="2"/>
      <c r="R21" s="22"/>
      <c r="S21" s="2"/>
      <c r="T21" s="2"/>
      <c r="U21" s="2"/>
      <c r="V21" s="22"/>
      <c r="W21" s="2"/>
      <c r="X21" s="2">
        <f t="shared" si="2"/>
        <v>164479.81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"4101", " - ", "NON-TAXABLE SALES-NEW TEXT")</f>
        <v xml:space="preserve">          4101 - NON-TAXABLE SALES-NEW TEXT</v>
      </c>
      <c r="C22" s="11"/>
      <c r="D22" s="2">
        <f>--7260.05</f>
        <v>7260.05</v>
      </c>
      <c r="E22" s="2"/>
      <c r="F22" s="22"/>
      <c r="G22" s="2"/>
      <c r="H22" s="2"/>
      <c r="I22" s="2"/>
      <c r="J22" s="22"/>
      <c r="K22" s="2"/>
      <c r="L22" s="2">
        <f t="shared" si="0"/>
        <v>7260.05</v>
      </c>
      <c r="M22" s="2"/>
      <c r="N22" s="22">
        <f t="shared" si="1"/>
        <v>0</v>
      </c>
      <c r="O22" s="11"/>
      <c r="P22" s="2">
        <f>--77664.89</f>
        <v>77664.89</v>
      </c>
      <c r="Q22" s="2"/>
      <c r="R22" s="22"/>
      <c r="S22" s="2"/>
      <c r="T22" s="2"/>
      <c r="U22" s="2"/>
      <c r="V22" s="22"/>
      <c r="W22" s="2"/>
      <c r="X22" s="2">
        <f t="shared" si="2"/>
        <v>77664.89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"4102", " - ", "NON-TAXABLE SALES-USED TEXT")</f>
        <v xml:space="preserve">          4102 - NON-TAXABLE SALES-USED TEXT</v>
      </c>
      <c r="C23" s="11"/>
      <c r="D23" s="2">
        <f>--2341.65</f>
        <v>2341.65</v>
      </c>
      <c r="E23" s="2"/>
      <c r="F23" s="22"/>
      <c r="G23" s="2"/>
      <c r="H23" s="2"/>
      <c r="I23" s="2"/>
      <c r="J23" s="22"/>
      <c r="K23" s="2"/>
      <c r="L23" s="2">
        <f t="shared" si="0"/>
        <v>2341.65</v>
      </c>
      <c r="M23" s="2"/>
      <c r="N23" s="22">
        <f t="shared" si="1"/>
        <v>0</v>
      </c>
      <c r="O23" s="11"/>
      <c r="P23" s="2">
        <f>--32712.47</f>
        <v>32712.47</v>
      </c>
      <c r="Q23" s="2"/>
      <c r="R23" s="22"/>
      <c r="S23" s="2"/>
      <c r="T23" s="2"/>
      <c r="U23" s="2"/>
      <c r="V23" s="22"/>
      <c r="W23" s="2"/>
      <c r="X23" s="2">
        <f t="shared" si="2"/>
        <v>32712.47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22"/>
      <c r="G24" s="2"/>
      <c r="H24" s="2"/>
      <c r="I24" s="2"/>
      <c r="J24" s="22"/>
      <c r="K24" s="2"/>
      <c r="L24" s="2">
        <f t="shared" si="0"/>
        <v>0</v>
      </c>
      <c r="M24" s="2"/>
      <c r="N24" s="22">
        <f t="shared" si="1"/>
        <v>0</v>
      </c>
      <c r="O24" s="11"/>
      <c r="P24" s="2">
        <f>--284.97</f>
        <v>284.97000000000003</v>
      </c>
      <c r="Q24" s="2"/>
      <c r="R24" s="22"/>
      <c r="S24" s="2"/>
      <c r="T24" s="2"/>
      <c r="U24" s="2"/>
      <c r="V24" s="22"/>
      <c r="W24" s="2"/>
      <c r="X24" s="2">
        <f t="shared" si="2"/>
        <v>284.97000000000003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--6767.67</f>
        <v>6767.67</v>
      </c>
      <c r="E25" s="2"/>
      <c r="F25" s="22"/>
      <c r="G25" s="2"/>
      <c r="H25" s="2"/>
      <c r="I25" s="2"/>
      <c r="J25" s="22"/>
      <c r="K25" s="2"/>
      <c r="L25" s="2">
        <f t="shared" si="0"/>
        <v>6767.67</v>
      </c>
      <c r="M25" s="2"/>
      <c r="N25" s="22">
        <f t="shared" si="1"/>
        <v>0</v>
      </c>
      <c r="O25" s="11"/>
      <c r="P25" s="2">
        <f>--293475.52</f>
        <v>293475.52</v>
      </c>
      <c r="Q25" s="2"/>
      <c r="R25" s="22"/>
      <c r="S25" s="2"/>
      <c r="T25" s="2"/>
      <c r="U25" s="2"/>
      <c r="V25" s="22"/>
      <c r="W25" s="2"/>
      <c r="X25" s="2">
        <f t="shared" si="2"/>
        <v>293475.52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--1655.95</f>
        <v>1655.95</v>
      </c>
      <c r="E26" s="2"/>
      <c r="F26" s="22"/>
      <c r="G26" s="2"/>
      <c r="H26" s="2"/>
      <c r="I26" s="2"/>
      <c r="J26" s="22"/>
      <c r="K26" s="2"/>
      <c r="L26" s="2">
        <f t="shared" si="0"/>
        <v>1655.95</v>
      </c>
      <c r="M26" s="2"/>
      <c r="N26" s="22">
        <f t="shared" si="1"/>
        <v>0</v>
      </c>
      <c r="O26" s="11"/>
      <c r="P26" s="2">
        <f>--1655.95</f>
        <v>1655.95</v>
      </c>
      <c r="Q26" s="2"/>
      <c r="R26" s="22"/>
      <c r="S26" s="2"/>
      <c r="T26" s="2"/>
      <c r="U26" s="2"/>
      <c r="V26" s="22"/>
      <c r="W26" s="2"/>
      <c r="X26" s="2">
        <f t="shared" si="2"/>
        <v>1655.95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--97.3</f>
        <v>97.3</v>
      </c>
      <c r="E27" s="2"/>
      <c r="F27" s="22"/>
      <c r="G27" s="2"/>
      <c r="H27" s="2"/>
      <c r="I27" s="2"/>
      <c r="J27" s="22"/>
      <c r="K27" s="2"/>
      <c r="L27" s="2">
        <f t="shared" si="0"/>
        <v>97.3</v>
      </c>
      <c r="M27" s="2"/>
      <c r="N27" s="22">
        <f t="shared" si="1"/>
        <v>0</v>
      </c>
      <c r="O27" s="11"/>
      <c r="P27" s="2">
        <f>--205.63</f>
        <v>205.63</v>
      </c>
      <c r="Q27" s="2"/>
      <c r="R27" s="22"/>
      <c r="S27" s="2"/>
      <c r="T27" s="2"/>
      <c r="U27" s="2"/>
      <c r="V27" s="22"/>
      <c r="W27" s="2"/>
      <c r="X27" s="2">
        <f t="shared" si="2"/>
        <v>205.63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-1512.25</f>
        <v>-1512.25</v>
      </c>
      <c r="E28" s="2"/>
      <c r="F28" s="22"/>
      <c r="G28" s="2"/>
      <c r="H28" s="2"/>
      <c r="I28" s="2"/>
      <c r="J28" s="22"/>
      <c r="K28" s="2"/>
      <c r="L28" s="2">
        <f t="shared" si="0"/>
        <v>-1512.25</v>
      </c>
      <c r="M28" s="2"/>
      <c r="N28" s="22">
        <f t="shared" si="1"/>
        <v>0</v>
      </c>
      <c r="O28" s="11"/>
      <c r="P28" s="2">
        <f>-33761.24</f>
        <v>-33761.24</v>
      </c>
      <c r="Q28" s="2"/>
      <c r="R28" s="22"/>
      <c r="S28" s="2"/>
      <c r="T28" s="2"/>
      <c r="U28" s="2"/>
      <c r="V28" s="22"/>
      <c r="W28" s="2"/>
      <c r="X28" s="2">
        <f t="shared" si="2"/>
        <v>-33761.24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-136.05</f>
        <v>-136.05000000000001</v>
      </c>
      <c r="E29" s="2"/>
      <c r="F29" s="22"/>
      <c r="G29" s="2"/>
      <c r="H29" s="2"/>
      <c r="I29" s="2"/>
      <c r="J29" s="22"/>
      <c r="K29" s="2"/>
      <c r="L29" s="2">
        <f t="shared" si="0"/>
        <v>-136.05000000000001</v>
      </c>
      <c r="M29" s="2"/>
      <c r="N29" s="22">
        <f t="shared" si="1"/>
        <v>0</v>
      </c>
      <c r="O29" s="11"/>
      <c r="P29" s="2">
        <f>-10529</f>
        <v>-10529</v>
      </c>
      <c r="Q29" s="2"/>
      <c r="R29" s="22"/>
      <c r="S29" s="2"/>
      <c r="T29" s="2"/>
      <c r="U29" s="2"/>
      <c r="V29" s="22"/>
      <c r="W29" s="2"/>
      <c r="X29" s="2">
        <f t="shared" si="2"/>
        <v>-10529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>-383.9</f>
        <v>-383.9</v>
      </c>
      <c r="E30" s="2"/>
      <c r="F30" s="22"/>
      <c r="G30" s="2"/>
      <c r="H30" s="2"/>
      <c r="I30" s="2"/>
      <c r="J30" s="22"/>
      <c r="K30" s="2"/>
      <c r="L30" s="2">
        <f t="shared" si="0"/>
        <v>-383.9</v>
      </c>
      <c r="M30" s="2"/>
      <c r="N30" s="22">
        <f t="shared" si="1"/>
        <v>0</v>
      </c>
      <c r="O30" s="11"/>
      <c r="P30" s="2">
        <f>-1630.85</f>
        <v>-1630.85</v>
      </c>
      <c r="Q30" s="2"/>
      <c r="R30" s="22"/>
      <c r="S30" s="2"/>
      <c r="T30" s="2"/>
      <c r="U30" s="2"/>
      <c r="V30" s="22"/>
      <c r="W30" s="2"/>
      <c r="X30" s="2">
        <f t="shared" si="2"/>
        <v>-1630.85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"4301", " - ", "SALES RETURN NON TAXABLE-NEW T")</f>
        <v xml:space="preserve">          4301 - SALES RETURN NON TAXABLE-NEW T</v>
      </c>
      <c r="C31" s="11"/>
      <c r="D31" s="2">
        <f>-535.49</f>
        <v>-535.49</v>
      </c>
      <c r="E31" s="2"/>
      <c r="F31" s="22"/>
      <c r="G31" s="2"/>
      <c r="H31" s="2"/>
      <c r="I31" s="2"/>
      <c r="J31" s="22"/>
      <c r="K31" s="2"/>
      <c r="L31" s="2">
        <f t="shared" si="0"/>
        <v>-535.49</v>
      </c>
      <c r="M31" s="2"/>
      <c r="N31" s="22">
        <f t="shared" si="1"/>
        <v>0</v>
      </c>
      <c r="O31" s="11"/>
      <c r="P31" s="2">
        <f>-2376.17</f>
        <v>-2376.17</v>
      </c>
      <c r="Q31" s="2"/>
      <c r="R31" s="22"/>
      <c r="S31" s="2"/>
      <c r="T31" s="2"/>
      <c r="U31" s="2"/>
      <c r="V31" s="22"/>
      <c r="W31" s="2"/>
      <c r="X31" s="2">
        <f t="shared" si="2"/>
        <v>-2376.17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"4302", " - ", "SALES RETURN NON TAXABLE-TEXT")</f>
        <v xml:space="preserve">          4302 - SALES RETURN NON TAXABLE-TEXT</v>
      </c>
      <c r="C32" s="11"/>
      <c r="D32" s="2">
        <f>-169.72</f>
        <v>-169.72</v>
      </c>
      <c r="E32" s="2"/>
      <c r="F32" s="22"/>
      <c r="G32" s="2"/>
      <c r="H32" s="2"/>
      <c r="I32" s="2"/>
      <c r="J32" s="22"/>
      <c r="K32" s="2"/>
      <c r="L32" s="2">
        <f t="shared" si="0"/>
        <v>-169.72</v>
      </c>
      <c r="M32" s="2"/>
      <c r="N32" s="22">
        <f t="shared" si="1"/>
        <v>0</v>
      </c>
      <c r="O32" s="11"/>
      <c r="P32" s="2">
        <f>-1316.8</f>
        <v>-1316.8</v>
      </c>
      <c r="Q32" s="2"/>
      <c r="R32" s="22"/>
      <c r="S32" s="2"/>
      <c r="T32" s="2"/>
      <c r="U32" s="2"/>
      <c r="V32" s="22"/>
      <c r="W32" s="2"/>
      <c r="X32" s="2">
        <f t="shared" si="2"/>
        <v>-1316.8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"4304", " - ", "SALES RETURN NON TAXABLE-DIGIT")</f>
        <v xml:space="preserve">          4304 - SALES RETURN NON TAXABLE-DIGIT</v>
      </c>
      <c r="C33" s="11"/>
      <c r="D33" s="2">
        <f>-692.75</f>
        <v>-692.75</v>
      </c>
      <c r="E33" s="2"/>
      <c r="F33" s="22"/>
      <c r="G33" s="2"/>
      <c r="H33" s="2"/>
      <c r="I33" s="2"/>
      <c r="J33" s="22"/>
      <c r="K33" s="2"/>
      <c r="L33" s="2">
        <f t="shared" si="0"/>
        <v>-692.75</v>
      </c>
      <c r="M33" s="2"/>
      <c r="N33" s="22">
        <f t="shared" si="1"/>
        <v>0</v>
      </c>
      <c r="O33" s="11"/>
      <c r="P33" s="2">
        <f>-14102.11</f>
        <v>-14102.11</v>
      </c>
      <c r="Q33" s="2"/>
      <c r="R33" s="22"/>
      <c r="S33" s="2"/>
      <c r="T33" s="2"/>
      <c r="U33" s="2"/>
      <c r="V33" s="22"/>
      <c r="W33" s="2"/>
      <c r="X33" s="2">
        <f t="shared" si="2"/>
        <v>-14102.11</v>
      </c>
      <c r="Y33" s="2"/>
      <c r="Z33" s="22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5" t="s">
        <v>8</v>
      </c>
      <c r="C35" s="10"/>
      <c r="D35" s="4">
        <f>SUM(OSRRefD16x_0)</f>
        <v>26221.499999999985</v>
      </c>
      <c r="E35" s="4"/>
      <c r="F35" s="12">
        <f t="shared" ref="F35:F48" si="4">IF(D$12=0,0,D35/D$12)</f>
        <v>0.76708644353197608</v>
      </c>
      <c r="G35" s="4"/>
      <c r="H35" s="4">
        <f>SUM(OSRRefH16x_0)</f>
        <v>33502</v>
      </c>
      <c r="I35" s="4"/>
      <c r="J35" s="12">
        <f t="shared" ref="J35:J48" si="5">IF(H$12=0,0,H35/H$12)</f>
        <v>0.72889062941931548</v>
      </c>
      <c r="K35" s="4"/>
      <c r="L35" s="4">
        <f t="shared" ref="L35:L48" si="6">+D35-H35</f>
        <v>-7280.5000000000146</v>
      </c>
      <c r="M35" s="4"/>
      <c r="N35" s="12">
        <f t="shared" ref="N35:N48" si="7">IF(H35=0,0,L35/H35)</f>
        <v>-0.21731538415617022</v>
      </c>
      <c r="O35" s="10"/>
      <c r="P35" s="4">
        <f>SUM(OSRRefP16x_0)</f>
        <v>1106717.3399999999</v>
      </c>
      <c r="Q35" s="4"/>
      <c r="R35" s="12">
        <f t="shared" ref="R35:R48" si="8">IF(P$12=0,0,P35/P$12)</f>
        <v>0.71599470955030187</v>
      </c>
      <c r="S35" s="4"/>
      <c r="T35" s="4">
        <f>SUM(OSRRefT16x_0)</f>
        <v>1871596</v>
      </c>
      <c r="U35" s="4"/>
      <c r="V35" s="12">
        <f t="shared" ref="V35:V48" si="9">IF(T$12=0,0,T35/T$12)</f>
        <v>0.72829394560586747</v>
      </c>
      <c r="W35" s="4"/>
      <c r="X35" s="4">
        <f t="shared" ref="X35:X48" si="10">+P35-T35</f>
        <v>-764878.66000000015</v>
      </c>
      <c r="Y35" s="4"/>
      <c r="Z35" s="12">
        <f t="shared" ref="Z35:Z48" si="11">IF(T35=0,0,X35/T35)</f>
        <v>-0.40867722521313371</v>
      </c>
    </row>
    <row r="36" spans="1:26" s="24" customFormat="1" hidden="1" outlineLevel="1" x14ac:dyDescent="0.25">
      <c r="A36" s="51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22">
        <f t="shared" si="4"/>
        <v>0</v>
      </c>
      <c r="G36" s="2"/>
      <c r="H36" s="2">
        <v>33502</v>
      </c>
      <c r="I36" s="2"/>
      <c r="J36" s="22">
        <f t="shared" si="5"/>
        <v>0.72889062941931548</v>
      </c>
      <c r="K36" s="2"/>
      <c r="L36" s="2">
        <f t="shared" si="6"/>
        <v>-33502</v>
      </c>
      <c r="M36" s="2"/>
      <c r="N36" s="22">
        <f t="shared" si="7"/>
        <v>-1</v>
      </c>
      <c r="O36" s="11"/>
      <c r="P36" s="2"/>
      <c r="Q36" s="2"/>
      <c r="R36" s="22">
        <f t="shared" si="8"/>
        <v>0</v>
      </c>
      <c r="S36" s="2"/>
      <c r="T36" s="2">
        <v>1871596</v>
      </c>
      <c r="U36" s="2"/>
      <c r="V36" s="22">
        <f t="shared" si="9"/>
        <v>0.72829394560586747</v>
      </c>
      <c r="W36" s="2"/>
      <c r="X36" s="2">
        <f t="shared" si="10"/>
        <v>-1871596</v>
      </c>
      <c r="Y36" s="2"/>
      <c r="Z36" s="22">
        <f t="shared" si="11"/>
        <v>-1</v>
      </c>
    </row>
    <row r="37" spans="1:26" s="24" customFormat="1" hidden="1" outlineLevel="1" x14ac:dyDescent="0.25">
      <c r="A37" s="51"/>
      <c r="B37" s="11" t="str">
        <f>CONCATENATE("          ", "5001", " - ", "PURCHASES @ COST-NEW TEXT")</f>
        <v xml:space="preserve">          5001 - PURCHASES @ COST-NEW TEXT</v>
      </c>
      <c r="C37" s="11"/>
      <c r="D37" s="2">
        <v>55775.07</v>
      </c>
      <c r="E37" s="2"/>
      <c r="F37" s="22">
        <f t="shared" si="4"/>
        <v>1.6316496037239303</v>
      </c>
      <c r="G37" s="2"/>
      <c r="H37" s="2"/>
      <c r="I37" s="2"/>
      <c r="J37" s="22">
        <f t="shared" si="5"/>
        <v>0</v>
      </c>
      <c r="K37" s="2"/>
      <c r="L37" s="2">
        <f t="shared" si="6"/>
        <v>55775.07</v>
      </c>
      <c r="M37" s="2"/>
      <c r="N37" s="22">
        <f t="shared" si="7"/>
        <v>0</v>
      </c>
      <c r="O37" s="11"/>
      <c r="P37" s="2">
        <v>1349196.8299999998</v>
      </c>
      <c r="Q37" s="2"/>
      <c r="R37" s="22">
        <f t="shared" si="8"/>
        <v>0.87286767588012848</v>
      </c>
      <c r="S37" s="2"/>
      <c r="T37" s="2"/>
      <c r="U37" s="2"/>
      <c r="V37" s="22">
        <f t="shared" si="9"/>
        <v>0</v>
      </c>
      <c r="W37" s="2"/>
      <c r="X37" s="2">
        <f t="shared" si="10"/>
        <v>1349196.8299999998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"5002", " - ", "PURCHASES @ COST-USED TEXT")</f>
        <v xml:space="preserve">          5002 - PURCHASES @ COST-USED TEXT</v>
      </c>
      <c r="C38" s="11"/>
      <c r="D38" s="2">
        <v>6331.95</v>
      </c>
      <c r="E38" s="2"/>
      <c r="F38" s="22">
        <f t="shared" si="4"/>
        <v>0.18523551307599864</v>
      </c>
      <c r="G38" s="2"/>
      <c r="H38" s="2"/>
      <c r="I38" s="2"/>
      <c r="J38" s="22">
        <f t="shared" si="5"/>
        <v>0</v>
      </c>
      <c r="K38" s="2"/>
      <c r="L38" s="2">
        <f t="shared" si="6"/>
        <v>6331.95</v>
      </c>
      <c r="M38" s="2"/>
      <c r="N38" s="22">
        <f t="shared" si="7"/>
        <v>0</v>
      </c>
      <c r="O38" s="11"/>
      <c r="P38" s="2">
        <v>303063.33</v>
      </c>
      <c r="Q38" s="2"/>
      <c r="R38" s="22">
        <f t="shared" si="8"/>
        <v>0.19606789655857143</v>
      </c>
      <c r="S38" s="2"/>
      <c r="T38" s="2"/>
      <c r="U38" s="2"/>
      <c r="V38" s="22">
        <f t="shared" si="9"/>
        <v>0</v>
      </c>
      <c r="W38" s="2"/>
      <c r="X38" s="2">
        <f t="shared" si="10"/>
        <v>303063.33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"5003", " - ", "PURCHASES @ COST-RENTAL TEXT")</f>
        <v xml:space="preserve">          5003 - PURCHASES @ COST-RENTAL TEXT</v>
      </c>
      <c r="C39" s="11"/>
      <c r="D39" s="2">
        <v>10600.69</v>
      </c>
      <c r="E39" s="2"/>
      <c r="F39" s="22">
        <f t="shared" si="4"/>
        <v>0.31011366973990767</v>
      </c>
      <c r="G39" s="2"/>
      <c r="H39" s="2"/>
      <c r="I39" s="2"/>
      <c r="J39" s="22">
        <f t="shared" si="5"/>
        <v>0</v>
      </c>
      <c r="K39" s="2"/>
      <c r="L39" s="2">
        <f t="shared" si="6"/>
        <v>10600.69</v>
      </c>
      <c r="M39" s="2"/>
      <c r="N39" s="22">
        <f t="shared" si="7"/>
        <v>0</v>
      </c>
      <c r="O39" s="11"/>
      <c r="P39" s="2">
        <v>-485.41</v>
      </c>
      <c r="Q39" s="2"/>
      <c r="R39" s="22">
        <f t="shared" si="8"/>
        <v>-3.1403772164879251E-4</v>
      </c>
      <c r="S39" s="2"/>
      <c r="T39" s="2"/>
      <c r="U39" s="2"/>
      <c r="V39" s="22">
        <f t="shared" si="9"/>
        <v>0</v>
      </c>
      <c r="W39" s="2"/>
      <c r="X39" s="2">
        <f t="shared" si="10"/>
        <v>-485.41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"5004", " - ", "PURCHASES @ COST-DIGITAL TEXT")</f>
        <v xml:space="preserve">          5004 - PURCHASES @ COST-DIGITAL TEXT</v>
      </c>
      <c r="C40" s="11"/>
      <c r="D40" s="2">
        <v>12903.46</v>
      </c>
      <c r="E40" s="2"/>
      <c r="F40" s="22">
        <f t="shared" si="4"/>
        <v>0.3774791388996479</v>
      </c>
      <c r="G40" s="2"/>
      <c r="H40" s="2"/>
      <c r="I40" s="2"/>
      <c r="J40" s="22">
        <f t="shared" si="5"/>
        <v>0</v>
      </c>
      <c r="K40" s="2"/>
      <c r="L40" s="2">
        <f t="shared" si="6"/>
        <v>12903.46</v>
      </c>
      <c r="M40" s="2"/>
      <c r="N40" s="22">
        <f t="shared" si="7"/>
        <v>0</v>
      </c>
      <c r="O40" s="11"/>
      <c r="P40" s="2">
        <v>195519.53</v>
      </c>
      <c r="Q40" s="2"/>
      <c r="R40" s="22">
        <f t="shared" si="8"/>
        <v>0.12649205360219759</v>
      </c>
      <c r="S40" s="2"/>
      <c r="T40" s="2"/>
      <c r="U40" s="2"/>
      <c r="V40" s="22">
        <f t="shared" si="9"/>
        <v>0</v>
      </c>
      <c r="W40" s="2"/>
      <c r="X40" s="2">
        <f t="shared" si="10"/>
        <v>195519.53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"5011", " - ", "PURCHASES @ COST-NO VALUE TEXT")</f>
        <v xml:space="preserve">          5011 - PURCHASES @ COST-NO VALUE TEXT</v>
      </c>
      <c r="C41" s="11"/>
      <c r="D41" s="2">
        <v>67.17</v>
      </c>
      <c r="E41" s="2"/>
      <c r="F41" s="22">
        <f t="shared" si="4"/>
        <v>1.9649980516767869E-3</v>
      </c>
      <c r="G41" s="2"/>
      <c r="H41" s="2"/>
      <c r="I41" s="2"/>
      <c r="J41" s="22">
        <f t="shared" si="5"/>
        <v>0</v>
      </c>
      <c r="K41" s="2"/>
      <c r="L41" s="2">
        <f t="shared" si="6"/>
        <v>67.17</v>
      </c>
      <c r="M41" s="2"/>
      <c r="N41" s="22">
        <f t="shared" si="7"/>
        <v>0</v>
      </c>
      <c r="O41" s="11"/>
      <c r="P41" s="2">
        <v>67.17</v>
      </c>
      <c r="Q41" s="2"/>
      <c r="R41" s="22">
        <f t="shared" si="8"/>
        <v>4.3455869807275078E-5</v>
      </c>
      <c r="S41" s="2"/>
      <c r="T41" s="2"/>
      <c r="U41" s="2"/>
      <c r="V41" s="22">
        <f t="shared" si="9"/>
        <v>0</v>
      </c>
      <c r="W41" s="2"/>
      <c r="X41" s="2">
        <f t="shared" si="10"/>
        <v>67.17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"5013", " - ", "PURCHASES @ COST-TRADE BOOKS")</f>
        <v xml:space="preserve">          5013 - PURCHASES @ COST-TRADE BOOKS</v>
      </c>
      <c r="C42" s="11"/>
      <c r="D42" s="2">
        <v>1384.46</v>
      </c>
      <c r="E42" s="2"/>
      <c r="F42" s="22">
        <f t="shared" si="4"/>
        <v>4.0501134474087305E-2</v>
      </c>
      <c r="G42" s="2"/>
      <c r="H42" s="2"/>
      <c r="I42" s="2"/>
      <c r="J42" s="22">
        <f t="shared" si="5"/>
        <v>0</v>
      </c>
      <c r="K42" s="2"/>
      <c r="L42" s="2">
        <f t="shared" si="6"/>
        <v>1384.46</v>
      </c>
      <c r="M42" s="2"/>
      <c r="N42" s="22">
        <f t="shared" si="7"/>
        <v>0</v>
      </c>
      <c r="O42" s="11"/>
      <c r="P42" s="2">
        <v>1483.64</v>
      </c>
      <c r="Q42" s="2"/>
      <c r="R42" s="22">
        <f t="shared" si="8"/>
        <v>9.5984616169220778E-4</v>
      </c>
      <c r="S42" s="2"/>
      <c r="T42" s="2"/>
      <c r="U42" s="2"/>
      <c r="V42" s="22">
        <f t="shared" si="9"/>
        <v>0</v>
      </c>
      <c r="W42" s="2"/>
      <c r="X42" s="2">
        <f t="shared" si="10"/>
        <v>1483.64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"5014", " - ", "PURCHASES @ COST-REMAINDERS")</f>
        <v xml:space="preserve">          5014 - PURCHASES @ COST-REMAINDERS</v>
      </c>
      <c r="C43" s="11"/>
      <c r="D43" s="2">
        <v>102.92</v>
      </c>
      <c r="E43" s="2"/>
      <c r="F43" s="22">
        <f t="shared" si="4"/>
        <v>3.0108322090006685E-3</v>
      </c>
      <c r="G43" s="2"/>
      <c r="H43" s="2"/>
      <c r="I43" s="2"/>
      <c r="J43" s="22">
        <f t="shared" si="5"/>
        <v>0</v>
      </c>
      <c r="K43" s="2"/>
      <c r="L43" s="2">
        <f t="shared" si="6"/>
        <v>102.92</v>
      </c>
      <c r="M43" s="2"/>
      <c r="N43" s="22">
        <f t="shared" si="7"/>
        <v>0</v>
      </c>
      <c r="O43" s="11"/>
      <c r="P43" s="2">
        <v>90.41</v>
      </c>
      <c r="Q43" s="2"/>
      <c r="R43" s="22">
        <f t="shared" si="8"/>
        <v>5.8491070258683033E-5</v>
      </c>
      <c r="S43" s="2"/>
      <c r="T43" s="2"/>
      <c r="U43" s="2"/>
      <c r="V43" s="22">
        <f t="shared" si="9"/>
        <v>0</v>
      </c>
      <c r="W43" s="2"/>
      <c r="X43" s="2">
        <f t="shared" si="10"/>
        <v>90.41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"5200", " - ", "PURCHASES OFFSET")</f>
        <v xml:space="preserve">          5200 - PURCHASES OFFSET</v>
      </c>
      <c r="C44" s="11"/>
      <c r="D44" s="2">
        <v>-111446.85</v>
      </c>
      <c r="E44" s="2"/>
      <c r="F44" s="22">
        <f t="shared" si="4"/>
        <v>-3.2602775512210083</v>
      </c>
      <c r="G44" s="2"/>
      <c r="H44" s="2"/>
      <c r="I44" s="2"/>
      <c r="J44" s="22">
        <f t="shared" si="5"/>
        <v>0</v>
      </c>
      <c r="K44" s="2"/>
      <c r="L44" s="2">
        <f t="shared" si="6"/>
        <v>-111446.85</v>
      </c>
      <c r="M44" s="2"/>
      <c r="N44" s="22">
        <f t="shared" si="7"/>
        <v>0</v>
      </c>
      <c r="O44" s="11"/>
      <c r="P44" s="2">
        <v>-1549974.48</v>
      </c>
      <c r="Q44" s="2"/>
      <c r="R44" s="22">
        <f t="shared" si="8"/>
        <v>-1.0027614888712055</v>
      </c>
      <c r="S44" s="2"/>
      <c r="T44" s="2"/>
      <c r="U44" s="2"/>
      <c r="V44" s="22">
        <f t="shared" si="9"/>
        <v>0</v>
      </c>
      <c r="W44" s="2"/>
      <c r="X44" s="2">
        <f t="shared" si="10"/>
        <v>-1549974.48</v>
      </c>
      <c r="Y44" s="2"/>
      <c r="Z44" s="22">
        <f t="shared" si="11"/>
        <v>0</v>
      </c>
    </row>
    <row r="45" spans="1:26" s="24" customFormat="1" hidden="1" outlineLevel="1" x14ac:dyDescent="0.25">
      <c r="A45" s="51"/>
      <c r="B45" s="11" t="str">
        <f>CONCATENATE("          ", "5300", " - ", "COG$ OFFSET")</f>
        <v xml:space="preserve">          5300 - COG$ OFFSET</v>
      </c>
      <c r="C45" s="11"/>
      <c r="D45" s="2">
        <v>24962</v>
      </c>
      <c r="E45" s="2"/>
      <c r="F45" s="22">
        <f t="shared" si="4"/>
        <v>0.73024090168164291</v>
      </c>
      <c r="G45" s="2"/>
      <c r="H45" s="2"/>
      <c r="I45" s="2"/>
      <c r="J45" s="22">
        <f t="shared" si="5"/>
        <v>0</v>
      </c>
      <c r="K45" s="2"/>
      <c r="L45" s="2">
        <f t="shared" si="6"/>
        <v>24962</v>
      </c>
      <c r="M45" s="2"/>
      <c r="N45" s="22">
        <f t="shared" si="7"/>
        <v>0</v>
      </c>
      <c r="O45" s="11"/>
      <c r="P45" s="2">
        <v>762931</v>
      </c>
      <c r="Q45" s="2"/>
      <c r="R45" s="22">
        <f t="shared" si="8"/>
        <v>0.4935809171941965</v>
      </c>
      <c r="S45" s="2"/>
      <c r="T45" s="2"/>
      <c r="U45" s="2"/>
      <c r="V45" s="22">
        <f t="shared" si="9"/>
        <v>0</v>
      </c>
      <c r="W45" s="2"/>
      <c r="X45" s="2">
        <f t="shared" si="10"/>
        <v>762931</v>
      </c>
      <c r="Y45" s="2"/>
      <c r="Z45" s="22">
        <f t="shared" si="11"/>
        <v>0</v>
      </c>
    </row>
    <row r="46" spans="1:26" s="24" customFormat="1" hidden="1" outlineLevel="1" x14ac:dyDescent="0.25">
      <c r="A46" s="51"/>
      <c r="B46" s="11" t="str">
        <f>CONCATENATE("          ", "5501", " - ", "FREIGHT-IN-NEW TEXT")</f>
        <v xml:space="preserve">          5501 - FREIGHT-IN-NEW TEXT</v>
      </c>
      <c r="C46" s="11"/>
      <c r="D46" s="2">
        <v>23295.74</v>
      </c>
      <c r="E46" s="2"/>
      <c r="F46" s="22">
        <f t="shared" si="4"/>
        <v>0.6814959611786362</v>
      </c>
      <c r="G46" s="2"/>
      <c r="H46" s="2"/>
      <c r="I46" s="2"/>
      <c r="J46" s="22">
        <f t="shared" si="5"/>
        <v>0</v>
      </c>
      <c r="K46" s="2"/>
      <c r="L46" s="2">
        <f t="shared" si="6"/>
        <v>23295.74</v>
      </c>
      <c r="M46" s="2"/>
      <c r="N46" s="22">
        <f t="shared" si="7"/>
        <v>0</v>
      </c>
      <c r="O46" s="11"/>
      <c r="P46" s="2">
        <v>34058.620000000003</v>
      </c>
      <c r="Q46" s="2"/>
      <c r="R46" s="22">
        <f t="shared" si="8"/>
        <v>2.2034345042957496E-2</v>
      </c>
      <c r="S46" s="2"/>
      <c r="T46" s="2"/>
      <c r="U46" s="2"/>
      <c r="V46" s="22">
        <f t="shared" si="9"/>
        <v>0</v>
      </c>
      <c r="W46" s="2"/>
      <c r="X46" s="2">
        <f t="shared" si="10"/>
        <v>34058.620000000003</v>
      </c>
      <c r="Y46" s="2"/>
      <c r="Z46" s="22">
        <f t="shared" si="11"/>
        <v>0</v>
      </c>
    </row>
    <row r="47" spans="1:26" s="24" customFormat="1" hidden="1" outlineLevel="1" x14ac:dyDescent="0.25">
      <c r="A47" s="51"/>
      <c r="B47" s="11" t="str">
        <f>CONCATENATE("          ", "5502", " - ", "FREIGHT-IN-USED TEXT")</f>
        <v xml:space="preserve">          5502 - FREIGHT-IN-USED TEXT</v>
      </c>
      <c r="C47" s="11"/>
      <c r="D47" s="2">
        <v>2233.9</v>
      </c>
      <c r="E47" s="2"/>
      <c r="F47" s="22">
        <f t="shared" si="4"/>
        <v>6.5350739134148794E-2</v>
      </c>
      <c r="G47" s="2"/>
      <c r="H47" s="2"/>
      <c r="I47" s="2"/>
      <c r="J47" s="22">
        <f t="shared" si="5"/>
        <v>0</v>
      </c>
      <c r="K47" s="2"/>
      <c r="L47" s="2">
        <f t="shared" si="6"/>
        <v>2233.9</v>
      </c>
      <c r="M47" s="2"/>
      <c r="N47" s="22">
        <f t="shared" si="7"/>
        <v>0</v>
      </c>
      <c r="O47" s="11"/>
      <c r="P47" s="2">
        <v>10744.72</v>
      </c>
      <c r="Q47" s="2"/>
      <c r="R47" s="22">
        <f t="shared" si="8"/>
        <v>6.9513347243654105E-3</v>
      </c>
      <c r="S47" s="2"/>
      <c r="T47" s="2"/>
      <c r="U47" s="2"/>
      <c r="V47" s="22">
        <f t="shared" si="9"/>
        <v>0</v>
      </c>
      <c r="W47" s="2"/>
      <c r="X47" s="2">
        <f t="shared" si="10"/>
        <v>10744.72</v>
      </c>
      <c r="Y47" s="2"/>
      <c r="Z47" s="22">
        <f t="shared" si="11"/>
        <v>0</v>
      </c>
    </row>
    <row r="48" spans="1:26" s="24" customFormat="1" hidden="1" outlineLevel="1" x14ac:dyDescent="0.25">
      <c r="A48" s="51"/>
      <c r="B48" s="11" t="str">
        <f>CONCATENATE("          ", "5504", " - ", "FREIGHT-IN-DIGITAL TEXT")</f>
        <v xml:space="preserve">          5504 - FREIGHT-IN-DIGITAL TEXT</v>
      </c>
      <c r="C48" s="11"/>
      <c r="D48" s="2">
        <v>10.99</v>
      </c>
      <c r="E48" s="2"/>
      <c r="F48" s="22">
        <f t="shared" si="4"/>
        <v>3.2150258430739743E-4</v>
      </c>
      <c r="G48" s="2"/>
      <c r="H48" s="2"/>
      <c r="I48" s="2"/>
      <c r="J48" s="22">
        <f t="shared" si="5"/>
        <v>0</v>
      </c>
      <c r="K48" s="2"/>
      <c r="L48" s="2">
        <f t="shared" si="6"/>
        <v>10.99</v>
      </c>
      <c r="M48" s="2"/>
      <c r="N48" s="22">
        <f t="shared" si="7"/>
        <v>0</v>
      </c>
      <c r="O48" s="11"/>
      <c r="P48" s="2">
        <v>21.98</v>
      </c>
      <c r="Q48" s="2"/>
      <c r="R48" s="22">
        <f t="shared" si="8"/>
        <v>1.4220038981150902E-5</v>
      </c>
      <c r="S48" s="2"/>
      <c r="T48" s="2"/>
      <c r="U48" s="2"/>
      <c r="V48" s="22">
        <f t="shared" si="9"/>
        <v>0</v>
      </c>
      <c r="W48" s="2"/>
      <c r="X48" s="2">
        <f t="shared" si="10"/>
        <v>21.98</v>
      </c>
      <c r="Y48" s="2"/>
      <c r="Z48" s="22">
        <f t="shared" si="11"/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6" t="s">
        <v>6</v>
      </c>
      <c r="C50" s="26"/>
      <c r="D50" s="20">
        <f>D12-D35</f>
        <v>7961.7400000000125</v>
      </c>
      <c r="E50" s="13"/>
      <c r="F50" s="19">
        <f>IF(D$12=0,0,D50/D$12)</f>
        <v>0.23291355646802389</v>
      </c>
      <c r="G50" s="13"/>
      <c r="H50" s="20">
        <f>H12-H35</f>
        <v>12461</v>
      </c>
      <c r="I50" s="13"/>
      <c r="J50" s="19">
        <f>IF(H$12=0,0,H50/H$12)</f>
        <v>0.27110937058068446</v>
      </c>
      <c r="K50" s="15"/>
      <c r="L50" s="20">
        <f>+D50-H50</f>
        <v>-4499.2599999999875</v>
      </c>
      <c r="M50" s="15"/>
      <c r="N50" s="19">
        <f>IF(H50=0,0,L50/H50)</f>
        <v>-0.36106733006981684</v>
      </c>
      <c r="O50" s="25"/>
      <c r="P50" s="20">
        <f>P12-P35</f>
        <v>438988.68999999971</v>
      </c>
      <c r="Q50" s="13"/>
      <c r="R50" s="19">
        <f>IF(P$12=0,0,P50/P$12)</f>
        <v>0.28400529044969813</v>
      </c>
      <c r="S50" s="13"/>
      <c r="T50" s="20">
        <f>T12-T35</f>
        <v>698240</v>
      </c>
      <c r="U50" s="13"/>
      <c r="V50" s="19">
        <f>IF(T$12=0,0,T50/T$12)</f>
        <v>0.27170605439413253</v>
      </c>
      <c r="W50" s="15"/>
      <c r="X50" s="20">
        <f>+P50-T50</f>
        <v>-259251.31000000029</v>
      </c>
      <c r="Y50" s="15"/>
      <c r="Z50" s="19">
        <f>IF(T50=0,0,X50/T50)</f>
        <v>-0.37129254983959714</v>
      </c>
    </row>
    <row r="51" spans="1:26" x14ac:dyDescent="0.25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5" t="s">
        <v>9</v>
      </c>
      <c r="C52" s="10"/>
      <c r="D52" s="21">
        <f>SUM(OSRRefD22x_0)</f>
        <v>41286.30999999999</v>
      </c>
      <c r="E52" s="21"/>
      <c r="F52" s="31">
        <f t="shared" ref="F52:F63" si="12">IF(D$12=0,0,D52/D$12)</f>
        <v>1.2077939364437074</v>
      </c>
      <c r="G52" s="21"/>
      <c r="H52" s="21">
        <f>SUM(OSRRefH22x_0)</f>
        <v>46818.813717326942</v>
      </c>
      <c r="I52" s="21"/>
      <c r="J52" s="31">
        <f t="shared" ref="J52:J63" si="13">IF(H$12=0,0,H52/H$12)</f>
        <v>1.0186196226818733</v>
      </c>
      <c r="K52" s="4"/>
      <c r="L52" s="21">
        <f t="shared" ref="L52:L63" si="14">+D52-H52</f>
        <v>-5532.503717326952</v>
      </c>
      <c r="M52" s="4"/>
      <c r="N52" s="31">
        <f t="shared" ref="N52:N63" si="15">IF(H52=0,0,L52/H52)</f>
        <v>-0.11816838740789058</v>
      </c>
      <c r="O52" s="10"/>
      <c r="P52" s="21">
        <f>SUM(OSRRefP22x_0)</f>
        <v>169717.31999999998</v>
      </c>
      <c r="Q52" s="21"/>
      <c r="R52" s="31">
        <f t="shared" ref="R52:R63" si="16">IF(P$12=0,0,P52/P$12)</f>
        <v>0.1097992223010219</v>
      </c>
      <c r="S52" s="21"/>
      <c r="T52" s="21">
        <f>SUM(OSRRefT22x_0)</f>
        <v>219961.05213237694</v>
      </c>
      <c r="U52" s="21"/>
      <c r="V52" s="31">
        <f t="shared" ref="V52:V63" si="17">IF(T$12=0,0,T52/T$12)</f>
        <v>8.559342002072387E-2</v>
      </c>
      <c r="W52" s="4"/>
      <c r="X52" s="21">
        <f t="shared" ref="X52:X63" si="18">+P52-T52</f>
        <v>-50243.732132376957</v>
      </c>
      <c r="Y52" s="4"/>
      <c r="Z52" s="31">
        <f t="shared" ref="Z52:Z63" si="19">IF(T52=0,0,X52/T52)</f>
        <v>-0.22842103929444418</v>
      </c>
    </row>
    <row r="53" spans="1:26" s="27" customFormat="1" outlineLevel="1" collapsed="1" x14ac:dyDescent="0.25">
      <c r="A53" s="29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13021.619999999999</v>
      </c>
      <c r="E53" s="1"/>
      <c r="F53" s="5">
        <f t="shared" si="12"/>
        <v>0.38093580362774271</v>
      </c>
      <c r="G53" s="1"/>
      <c r="H53" s="1">
        <f>SUM(OSRRefH22_0x_0)</f>
        <v>12912.561037711543</v>
      </c>
      <c r="I53" s="1"/>
      <c r="J53" s="5">
        <f t="shared" si="13"/>
        <v>0.2809338171510028</v>
      </c>
      <c r="K53" s="1"/>
      <c r="L53" s="1">
        <f t="shared" si="14"/>
        <v>109.05896228845631</v>
      </c>
      <c r="M53" s="1"/>
      <c r="N53" s="5">
        <f t="shared" si="15"/>
        <v>8.4459590913023505E-3</v>
      </c>
      <c r="O53" s="14"/>
      <c r="P53" s="1">
        <f>SUM(OSRRefP22_0x_0)</f>
        <v>45612.71</v>
      </c>
      <c r="Q53" s="1"/>
      <c r="R53" s="5">
        <f t="shared" si="16"/>
        <v>2.9509304560324457E-2</v>
      </c>
      <c r="S53" s="1"/>
      <c r="T53" s="1">
        <f>SUM(OSRRefT22_0x_0)</f>
        <v>51191.292485761544</v>
      </c>
      <c r="U53" s="1"/>
      <c r="V53" s="5">
        <f t="shared" si="17"/>
        <v>1.9920062013981259E-2</v>
      </c>
      <c r="W53" s="1"/>
      <c r="X53" s="1">
        <f t="shared" si="18"/>
        <v>-5578.5824857615444</v>
      </c>
      <c r="Y53" s="1"/>
      <c r="Z53" s="5">
        <f t="shared" si="19"/>
        <v>-0.10897522244262896</v>
      </c>
    </row>
    <row r="54" spans="1:26" s="24" customFormat="1" hidden="1" outlineLevel="2" x14ac:dyDescent="0.25">
      <c r="A54" s="28"/>
      <c r="B54" s="11" t="str">
        <f>CONCATENATE("          ", "6111", " - ", "F.I.C.A.")</f>
        <v xml:space="preserve">          6111 - F.I.C.A.</v>
      </c>
      <c r="C54" s="11"/>
      <c r="D54" s="7">
        <v>3122.76</v>
      </c>
      <c r="E54" s="2"/>
      <c r="F54" s="6">
        <f t="shared" si="12"/>
        <v>9.1353540506985312E-2</v>
      </c>
      <c r="G54" s="2"/>
      <c r="H54" s="7">
        <v>1960.39645367308</v>
      </c>
      <c r="I54" s="2"/>
      <c r="J54" s="6">
        <f t="shared" si="13"/>
        <v>4.2651620948873661E-2</v>
      </c>
      <c r="K54" s="2"/>
      <c r="L54" s="7">
        <f t="shared" si="14"/>
        <v>1162.3635463269202</v>
      </c>
      <c r="M54" s="2"/>
      <c r="N54" s="6">
        <f t="shared" si="15"/>
        <v>0.5929226938505564</v>
      </c>
      <c r="O54" s="11"/>
      <c r="P54" s="7">
        <v>9222.64</v>
      </c>
      <c r="Q54" s="2"/>
      <c r="R54" s="6">
        <f t="shared" si="16"/>
        <v>5.9666196682948841E-3</v>
      </c>
      <c r="S54" s="2"/>
      <c r="T54" s="7">
        <v>8081.97260822308</v>
      </c>
      <c r="U54" s="2"/>
      <c r="V54" s="6">
        <f t="shared" si="17"/>
        <v>3.1449371120270244E-3</v>
      </c>
      <c r="W54" s="2"/>
      <c r="X54" s="7">
        <f t="shared" si="18"/>
        <v>1140.6673917769194</v>
      </c>
      <c r="Y54" s="2"/>
      <c r="Z54" s="6">
        <f t="shared" si="19"/>
        <v>0.14113725040546865</v>
      </c>
    </row>
    <row r="55" spans="1:26" s="24" customFormat="1" hidden="1" outlineLevel="2" x14ac:dyDescent="0.25">
      <c r="A55" s="28"/>
      <c r="B55" s="11" t="str">
        <f>CONCATENATE("          ", "6112", " - ", "COMPENSATION INSURANCE")</f>
        <v xml:space="preserve">          6112 - COMPENSATION INSURANCE</v>
      </c>
      <c r="C55" s="11"/>
      <c r="D55" s="7">
        <v>89.88</v>
      </c>
      <c r="E55" s="2"/>
      <c r="F55" s="6">
        <f t="shared" si="12"/>
        <v>2.6293587149726007E-3</v>
      </c>
      <c r="G55" s="2"/>
      <c r="H55" s="7">
        <v>562.69696057692306</v>
      </c>
      <c r="I55" s="2"/>
      <c r="J55" s="6">
        <f t="shared" si="13"/>
        <v>1.2242389760827688E-2</v>
      </c>
      <c r="K55" s="2"/>
      <c r="L55" s="7">
        <f t="shared" si="14"/>
        <v>-472.81696057692307</v>
      </c>
      <c r="M55" s="2"/>
      <c r="N55" s="6">
        <f t="shared" si="15"/>
        <v>-0.84026926339206165</v>
      </c>
      <c r="O55" s="11"/>
      <c r="P55" s="7">
        <v>523.16999999999996</v>
      </c>
      <c r="Q55" s="2"/>
      <c r="R55" s="6">
        <f t="shared" si="16"/>
        <v>3.3846668761459129E-4</v>
      </c>
      <c r="S55" s="2"/>
      <c r="T55" s="7">
        <v>2752.5046830769229</v>
      </c>
      <c r="U55" s="2"/>
      <c r="V55" s="6">
        <f t="shared" si="17"/>
        <v>1.0710818445523072E-3</v>
      </c>
      <c r="W55" s="2"/>
      <c r="X55" s="7">
        <f t="shared" si="18"/>
        <v>-2229.3346830769228</v>
      </c>
      <c r="Y55" s="2"/>
      <c r="Z55" s="6">
        <f t="shared" si="19"/>
        <v>-0.8099294786975012</v>
      </c>
    </row>
    <row r="56" spans="1:26" s="24" customFormat="1" hidden="1" outlineLevel="2" x14ac:dyDescent="0.25">
      <c r="A56" s="28"/>
      <c r="B56" s="11" t="str">
        <f>CONCATENATE("          ", "6113", " - ", "GROUP INSURANCE")</f>
        <v xml:space="preserve">          6113 - GROUP INSURANCE</v>
      </c>
      <c r="C56" s="11"/>
      <c r="D56" s="7">
        <v>4248.21</v>
      </c>
      <c r="E56" s="2"/>
      <c r="F56" s="6">
        <f t="shared" si="12"/>
        <v>0.1242775699436332</v>
      </c>
      <c r="G56" s="2"/>
      <c r="H56" s="7">
        <v>4969.6153846153802</v>
      </c>
      <c r="I56" s="2"/>
      <c r="J56" s="6">
        <f t="shared" si="13"/>
        <v>0.10812208482073364</v>
      </c>
      <c r="K56" s="2"/>
      <c r="L56" s="7">
        <f t="shared" si="14"/>
        <v>-721.40538461538017</v>
      </c>
      <c r="M56" s="2"/>
      <c r="N56" s="6">
        <f t="shared" si="15"/>
        <v>-0.14516322266078399</v>
      </c>
      <c r="O56" s="11"/>
      <c r="P56" s="7">
        <v>16858.63</v>
      </c>
      <c r="Q56" s="2"/>
      <c r="R56" s="6">
        <f t="shared" si="16"/>
        <v>1.0906750489936308E-2</v>
      </c>
      <c r="S56" s="2"/>
      <c r="T56" s="7">
        <v>19264.615384615379</v>
      </c>
      <c r="U56" s="2"/>
      <c r="V56" s="6">
        <f t="shared" si="17"/>
        <v>7.4964376655223836E-3</v>
      </c>
      <c r="W56" s="2"/>
      <c r="X56" s="7">
        <f t="shared" si="18"/>
        <v>-2405.9853846153783</v>
      </c>
      <c r="Y56" s="2"/>
      <c r="Z56" s="6">
        <f t="shared" si="19"/>
        <v>-0.12489143108129662</v>
      </c>
    </row>
    <row r="57" spans="1:26" s="24" customFormat="1" hidden="1" outlineLevel="2" x14ac:dyDescent="0.25">
      <c r="A57" s="28"/>
      <c r="B57" s="11" t="str">
        <f>CONCATENATE("          ", "6114", " - ", "STATE UNEMPLOYMENT INSURANCE")</f>
        <v xml:space="preserve">          6114 - STATE UNEMPLOYMENT INSURANCE</v>
      </c>
      <c r="C57" s="11"/>
      <c r="D57" s="7">
        <v>60.94</v>
      </c>
      <c r="E57" s="2"/>
      <c r="F57" s="6">
        <f t="shared" si="12"/>
        <v>1.7827449943305549E-3</v>
      </c>
      <c r="G57" s="2"/>
      <c r="H57" s="7">
        <v>79.081734999999995</v>
      </c>
      <c r="I57" s="2"/>
      <c r="J57" s="6">
        <f t="shared" si="13"/>
        <v>1.720552074494702E-3</v>
      </c>
      <c r="K57" s="2"/>
      <c r="L57" s="7">
        <f t="shared" si="14"/>
        <v>-18.141734999999997</v>
      </c>
      <c r="M57" s="2"/>
      <c r="N57" s="6">
        <f t="shared" si="15"/>
        <v>-0.22940486826698983</v>
      </c>
      <c r="O57" s="11"/>
      <c r="P57" s="7">
        <v>269.16000000000003</v>
      </c>
      <c r="Q57" s="2"/>
      <c r="R57" s="6">
        <f t="shared" si="16"/>
        <v>1.7413401693205539E-4</v>
      </c>
      <c r="S57" s="2"/>
      <c r="T57" s="7">
        <v>386.83849600000002</v>
      </c>
      <c r="U57" s="2"/>
      <c r="V57" s="6">
        <f t="shared" si="17"/>
        <v>1.5053042139654048E-4</v>
      </c>
      <c r="W57" s="2"/>
      <c r="X57" s="7">
        <f t="shared" si="18"/>
        <v>-117.678496</v>
      </c>
      <c r="Y57" s="2"/>
      <c r="Z57" s="6">
        <f t="shared" si="19"/>
        <v>-0.30420575309030257</v>
      </c>
    </row>
    <row r="58" spans="1:26" s="24" customFormat="1" hidden="1" outlineLevel="2" x14ac:dyDescent="0.25">
      <c r="A58" s="28"/>
      <c r="B58" s="11" t="str">
        <f>CONCATENATE("          ", "6115", " - ", "P.E.R.S.")</f>
        <v xml:space="preserve">          6115 - P.E.R.S.</v>
      </c>
      <c r="C58" s="11"/>
      <c r="D58" s="7">
        <v>1480.2</v>
      </c>
      <c r="E58" s="2"/>
      <c r="F58" s="6">
        <f t="shared" si="12"/>
        <v>4.3301922228554113E-2</v>
      </c>
      <c r="G58" s="2"/>
      <c r="H58" s="7">
        <v>1585.67246538462</v>
      </c>
      <c r="I58" s="2"/>
      <c r="J58" s="6">
        <f t="shared" si="13"/>
        <v>3.4498889658738985E-2</v>
      </c>
      <c r="K58" s="2"/>
      <c r="L58" s="7">
        <f t="shared" si="14"/>
        <v>-105.47246538461991</v>
      </c>
      <c r="M58" s="2"/>
      <c r="N58" s="6">
        <f t="shared" si="15"/>
        <v>-6.6515921596101216E-2</v>
      </c>
      <c r="O58" s="11"/>
      <c r="P58" s="7">
        <v>6660.92</v>
      </c>
      <c r="Q58" s="2"/>
      <c r="R58" s="6">
        <f t="shared" si="16"/>
        <v>4.3093058257655898E-3</v>
      </c>
      <c r="S58" s="2"/>
      <c r="T58" s="7">
        <v>5708.4208753846196</v>
      </c>
      <c r="U58" s="2"/>
      <c r="V58" s="6">
        <f t="shared" si="17"/>
        <v>2.2213171873164744E-3</v>
      </c>
      <c r="W58" s="2"/>
      <c r="X58" s="7">
        <f t="shared" si="18"/>
        <v>952.49912461538042</v>
      </c>
      <c r="Y58" s="2"/>
      <c r="Z58" s="6">
        <f t="shared" si="19"/>
        <v>0.16685860160078042</v>
      </c>
    </row>
    <row r="59" spans="1:26" s="24" customFormat="1" hidden="1" outlineLevel="2" x14ac:dyDescent="0.25">
      <c r="A59" s="28"/>
      <c r="B59" s="11" t="str">
        <f>CONCATENATE("          ", "6116", " - ", "EDUCATIONAL BENEFITS")</f>
        <v xml:space="preserve">          6116 - EDUCATIONAL BENEFITS</v>
      </c>
      <c r="C59" s="11"/>
      <c r="D59" s="7"/>
      <c r="E59" s="2"/>
      <c r="F59" s="6">
        <f t="shared" si="12"/>
        <v>0</v>
      </c>
      <c r="G59" s="2"/>
      <c r="H59" s="7">
        <v>0</v>
      </c>
      <c r="I59" s="2"/>
      <c r="J59" s="6">
        <f t="shared" si="13"/>
        <v>0</v>
      </c>
      <c r="K59" s="2"/>
      <c r="L59" s="7">
        <f t="shared" si="14"/>
        <v>0</v>
      </c>
      <c r="M59" s="2"/>
      <c r="N59" s="6">
        <f t="shared" si="15"/>
        <v>0</v>
      </c>
      <c r="O59" s="11"/>
      <c r="P59" s="7"/>
      <c r="Q59" s="2"/>
      <c r="R59" s="6">
        <f t="shared" si="16"/>
        <v>0</v>
      </c>
      <c r="S59" s="2"/>
      <c r="T59" s="7">
        <v>0</v>
      </c>
      <c r="U59" s="2"/>
      <c r="V59" s="6">
        <f t="shared" si="17"/>
        <v>0</v>
      </c>
      <c r="W59" s="2"/>
      <c r="X59" s="7">
        <f t="shared" si="18"/>
        <v>0</v>
      </c>
      <c r="Y59" s="2"/>
      <c r="Z59" s="6">
        <f t="shared" si="19"/>
        <v>0</v>
      </c>
    </row>
    <row r="60" spans="1:26" s="24" customFormat="1" hidden="1" outlineLevel="2" x14ac:dyDescent="0.25">
      <c r="A60" s="28"/>
      <c r="B60" s="11" t="str">
        <f>CONCATENATE("          ", "6117", " - ", "RETIREMENT STAFF HOURLY")</f>
        <v xml:space="preserve">          6117 - RETIREMENT STAFF HOURLY</v>
      </c>
      <c r="C60" s="11"/>
      <c r="D60" s="7">
        <v>222.97</v>
      </c>
      <c r="E60" s="2"/>
      <c r="F60" s="6">
        <f t="shared" si="12"/>
        <v>6.522787190447717E-3</v>
      </c>
      <c r="G60" s="2"/>
      <c r="H60" s="7"/>
      <c r="I60" s="2"/>
      <c r="J60" s="6">
        <f t="shared" si="13"/>
        <v>0</v>
      </c>
      <c r="K60" s="2"/>
      <c r="L60" s="7">
        <f t="shared" si="14"/>
        <v>222.97</v>
      </c>
      <c r="M60" s="2"/>
      <c r="N60" s="6">
        <f t="shared" si="15"/>
        <v>0</v>
      </c>
      <c r="O60" s="11"/>
      <c r="P60" s="7">
        <v>1060.74</v>
      </c>
      <c r="Q60" s="2"/>
      <c r="R60" s="6">
        <f t="shared" si="16"/>
        <v>6.8624950631783477E-4</v>
      </c>
      <c r="S60" s="2"/>
      <c r="T60" s="7"/>
      <c r="U60" s="2"/>
      <c r="V60" s="6">
        <f t="shared" si="17"/>
        <v>0</v>
      </c>
      <c r="W60" s="2"/>
      <c r="X60" s="7">
        <f t="shared" si="18"/>
        <v>1060.74</v>
      </c>
      <c r="Y60" s="2"/>
      <c r="Z60" s="6">
        <f t="shared" si="19"/>
        <v>0</v>
      </c>
    </row>
    <row r="61" spans="1:26" s="24" customFormat="1" hidden="1" outlineLevel="2" x14ac:dyDescent="0.25">
      <c r="A61" s="28"/>
      <c r="B61" s="11" t="str">
        <f>CONCATENATE("          ", "6118", " - ", "VACATION")</f>
        <v xml:space="preserve">          6118 - VACATION</v>
      </c>
      <c r="C61" s="11"/>
      <c r="D61" s="7">
        <v>1853.32</v>
      </c>
      <c r="E61" s="2"/>
      <c r="F61" s="6">
        <f t="shared" si="12"/>
        <v>5.4217212879762132E-2</v>
      </c>
      <c r="G61" s="2"/>
      <c r="H61" s="7">
        <v>1682.75965</v>
      </c>
      <c r="I61" s="2"/>
      <c r="J61" s="6">
        <f t="shared" si="13"/>
        <v>3.6611179644496658E-2</v>
      </c>
      <c r="K61" s="2"/>
      <c r="L61" s="7">
        <f t="shared" si="14"/>
        <v>170.56034999999997</v>
      </c>
      <c r="M61" s="2"/>
      <c r="N61" s="6">
        <f t="shared" si="15"/>
        <v>0.10135752304258067</v>
      </c>
      <c r="O61" s="11"/>
      <c r="P61" s="7">
        <v>4884.7</v>
      </c>
      <c r="Q61" s="2"/>
      <c r="R61" s="6">
        <f t="shared" si="16"/>
        <v>3.1601739950513109E-3</v>
      </c>
      <c r="S61" s="2"/>
      <c r="T61" s="7">
        <v>6057.9347399999997</v>
      </c>
      <c r="U61" s="2"/>
      <c r="V61" s="6">
        <f t="shared" si="17"/>
        <v>2.3573234790079988E-3</v>
      </c>
      <c r="W61" s="2"/>
      <c r="X61" s="7">
        <f t="shared" si="18"/>
        <v>-1173.2347399999999</v>
      </c>
      <c r="Y61" s="2"/>
      <c r="Z61" s="6">
        <f t="shared" si="19"/>
        <v>-0.19366909522039519</v>
      </c>
    </row>
    <row r="62" spans="1:26" s="24" customFormat="1" hidden="1" outlineLevel="2" x14ac:dyDescent="0.25">
      <c r="A62" s="28"/>
      <c r="B62" s="11" t="str">
        <f>CONCATENATE("          ", "6119", " - ", "SICK LEAVE")</f>
        <v xml:space="preserve">          6119 - SICK LEAVE</v>
      </c>
      <c r="C62" s="11"/>
      <c r="D62" s="7">
        <v>1416.9</v>
      </c>
      <c r="E62" s="2"/>
      <c r="F62" s="6">
        <f t="shared" si="12"/>
        <v>4.1450137552789035E-2</v>
      </c>
      <c r="G62" s="2"/>
      <c r="H62" s="7">
        <v>1322.33838846154</v>
      </c>
      <c r="I62" s="2"/>
      <c r="J62" s="6">
        <f t="shared" si="13"/>
        <v>2.8769627493016994E-2</v>
      </c>
      <c r="K62" s="2"/>
      <c r="L62" s="7">
        <f t="shared" si="14"/>
        <v>94.561611538460056</v>
      </c>
      <c r="M62" s="2"/>
      <c r="N62" s="6">
        <f t="shared" si="15"/>
        <v>7.1510902476692603E-2</v>
      </c>
      <c r="O62" s="11"/>
      <c r="P62" s="7">
        <v>4250.7</v>
      </c>
      <c r="Q62" s="2"/>
      <c r="R62" s="6">
        <f t="shared" si="16"/>
        <v>2.7500054457314893E-3</v>
      </c>
      <c r="S62" s="2"/>
      <c r="T62" s="7">
        <v>5939.0056984615403</v>
      </c>
      <c r="U62" s="2"/>
      <c r="V62" s="6">
        <f t="shared" si="17"/>
        <v>2.3110446341562418E-3</v>
      </c>
      <c r="W62" s="2"/>
      <c r="X62" s="7">
        <f t="shared" si="18"/>
        <v>-1688.3056984615405</v>
      </c>
      <c r="Y62" s="2"/>
      <c r="Z62" s="6">
        <f t="shared" si="19"/>
        <v>-0.28427413344608926</v>
      </c>
    </row>
    <row r="63" spans="1:26" s="24" customFormat="1" hidden="1" outlineLevel="2" x14ac:dyDescent="0.25">
      <c r="A63" s="28"/>
      <c r="B63" s="11" t="str">
        <f>CONCATENATE("          ", "6156", " - ", "EMPLOYEE MEALS")</f>
        <v xml:space="preserve">          6156 - EMPLOYEE MEALS</v>
      </c>
      <c r="C63" s="11"/>
      <c r="D63" s="7">
        <v>526.44000000000005</v>
      </c>
      <c r="E63" s="2"/>
      <c r="F63" s="6">
        <f t="shared" si="12"/>
        <v>1.5400529616268092E-2</v>
      </c>
      <c r="G63" s="2"/>
      <c r="H63" s="7">
        <v>750</v>
      </c>
      <c r="I63" s="2"/>
      <c r="J63" s="6">
        <f t="shared" si="13"/>
        <v>1.6317472749820507E-2</v>
      </c>
      <c r="K63" s="2"/>
      <c r="L63" s="7">
        <f t="shared" si="14"/>
        <v>-223.55999999999995</v>
      </c>
      <c r="M63" s="2"/>
      <c r="N63" s="6">
        <f t="shared" si="15"/>
        <v>-0.2980799999999999</v>
      </c>
      <c r="O63" s="11"/>
      <c r="P63" s="7">
        <v>1882.05</v>
      </c>
      <c r="Q63" s="2"/>
      <c r="R63" s="6">
        <f t="shared" si="16"/>
        <v>1.2175989246803937E-3</v>
      </c>
      <c r="S63" s="2"/>
      <c r="T63" s="7">
        <v>3000</v>
      </c>
      <c r="U63" s="2"/>
      <c r="V63" s="6">
        <f t="shared" si="17"/>
        <v>1.167389670002288E-3</v>
      </c>
      <c r="W63" s="2"/>
      <c r="X63" s="7">
        <f t="shared" si="18"/>
        <v>-1117.95</v>
      </c>
      <c r="Y63" s="2"/>
      <c r="Z63" s="6">
        <f t="shared" si="19"/>
        <v>-0.37265000000000004</v>
      </c>
    </row>
    <row r="64" spans="1:26" s="27" customFormat="1" outlineLevel="1" collapsed="1" x14ac:dyDescent="0.25">
      <c r="A64" s="29"/>
      <c r="B64" s="14" t="str">
        <f>CONCATENATE("     ","*Payroll                                          ")</f>
        <v xml:space="preserve">     *Payroll                                          </v>
      </c>
      <c r="C64" s="14"/>
      <c r="D64" s="1">
        <f>SUM(OSRRefD22_1x_0)</f>
        <v>26770.510000000002</v>
      </c>
      <c r="E64" s="1"/>
      <c r="F64" s="5">
        <f t="shared" ref="F64:F74" si="20">IF(D$12=0,0,D64/D$12)</f>
        <v>0.7831472382372181</v>
      </c>
      <c r="G64" s="1"/>
      <c r="H64" s="1">
        <f>SUM(OSRRefH22_1x_0)</f>
        <v>27791.252679615402</v>
      </c>
      <c r="I64" s="1"/>
      <c r="J64" s="5">
        <f t="shared" ref="J64:J74" si="21">IF(H$12=0,0,H64/H$12)</f>
        <v>0.60464401104400067</v>
      </c>
      <c r="K64" s="1"/>
      <c r="L64" s="1">
        <f t="shared" ref="L64:L74" si="22">+D64-H64</f>
        <v>-1020.7426796153995</v>
      </c>
      <c r="M64" s="1"/>
      <c r="N64" s="5">
        <f t="shared" ref="N64:N74" si="23">IF(H64=0,0,L64/H64)</f>
        <v>-3.6728919397149153E-2</v>
      </c>
      <c r="O64" s="14"/>
      <c r="P64" s="1">
        <f>SUM(OSRRefP22_1x_0)</f>
        <v>116444.83</v>
      </c>
      <c r="Q64" s="1"/>
      <c r="R64" s="5">
        <f t="shared" ref="R64:R74" si="24">IF(P$12=0,0,P64/P$12)</f>
        <v>7.5334395894153319E-2</v>
      </c>
      <c r="S64" s="1"/>
      <c r="T64" s="1">
        <f>SUM(OSRRefT22_1x_0)</f>
        <v>139334.75964661539</v>
      </c>
      <c r="U64" s="1"/>
      <c r="V64" s="5">
        <f t="shared" ref="V64:V74" si="25">IF(T$12=0,0,T64/T$12)</f>
        <v>5.4219319694570153E-2</v>
      </c>
      <c r="W64" s="1"/>
      <c r="X64" s="1">
        <f t="shared" ref="X64:X74" si="26">+P64-T64</f>
        <v>-22889.92964661539</v>
      </c>
      <c r="Y64" s="1"/>
      <c r="Z64" s="5">
        <f t="shared" ref="Z64:Z74" si="27">IF(T64=0,0,X64/T64)</f>
        <v>-0.16428011003621387</v>
      </c>
    </row>
    <row r="65" spans="1:26" s="24" customFormat="1" hidden="1" outlineLevel="2" x14ac:dyDescent="0.25">
      <c r="A65" s="28"/>
      <c r="B65" s="11" t="str">
        <f>CONCATENATE("          ", "6001", " - ", "ADMINISTRATIVE SALARIES")</f>
        <v xml:space="preserve">          6001 - ADMINISTRATIVE SALARIES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>
        <v>-311.32</v>
      </c>
      <c r="Q65" s="2"/>
      <c r="R65" s="6">
        <f t="shared" si="24"/>
        <v>-2.0140957850827565E-4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-311.32</v>
      </c>
      <c r="Y65" s="2"/>
      <c r="Z65" s="6">
        <f t="shared" si="27"/>
        <v>0</v>
      </c>
    </row>
    <row r="66" spans="1:26" s="24" customFormat="1" hidden="1" outlineLevel="2" x14ac:dyDescent="0.25">
      <c r="A66" s="28"/>
      <c r="B66" s="11" t="str">
        <f>CONCATENATE("          ", "6002", " - ", "STAFF SALARIES")</f>
        <v xml:space="preserve">          6002 - STAFF SALARIES</v>
      </c>
      <c r="C66" s="11"/>
      <c r="D66" s="7">
        <v>16701.230000000003</v>
      </c>
      <c r="E66" s="2"/>
      <c r="F66" s="6">
        <f t="shared" si="20"/>
        <v>0.48857949100202336</v>
      </c>
      <c r="G66" s="2"/>
      <c r="H66" s="7">
        <v>16384.0650796154</v>
      </c>
      <c r="I66" s="2"/>
      <c r="J66" s="6">
        <f t="shared" si="21"/>
        <v>0.35646204729054676</v>
      </c>
      <c r="K66" s="2"/>
      <c r="L66" s="7">
        <f t="shared" si="22"/>
        <v>317.16492038460274</v>
      </c>
      <c r="M66" s="2"/>
      <c r="N66" s="6">
        <f t="shared" si="23"/>
        <v>1.9358133579389314E-2</v>
      </c>
      <c r="O66" s="11"/>
      <c r="P66" s="7">
        <v>64144.15</v>
      </c>
      <c r="Q66" s="2"/>
      <c r="R66" s="6">
        <f t="shared" si="24"/>
        <v>4.149828541459466E-2</v>
      </c>
      <c r="S66" s="2"/>
      <c r="T66" s="7">
        <v>58982.634286615401</v>
      </c>
      <c r="U66" s="2"/>
      <c r="V66" s="6">
        <f t="shared" si="25"/>
        <v>2.2951905991905865E-2</v>
      </c>
      <c r="W66" s="2"/>
      <c r="X66" s="7">
        <f t="shared" si="26"/>
        <v>5161.5157133846005</v>
      </c>
      <c r="Y66" s="2"/>
      <c r="Z66" s="6">
        <f t="shared" si="27"/>
        <v>8.7509074082774127E-2</v>
      </c>
    </row>
    <row r="67" spans="1:26" s="24" customFormat="1" hidden="1" outlineLevel="2" x14ac:dyDescent="0.25">
      <c r="A67" s="28"/>
      <c r="B67" s="11" t="str">
        <f>CONCATENATE("          ", "6003", " - ", "STAFF HOURLY-9 MONTH")</f>
        <v xml:space="preserve">          6003 - STAFF HOURLY-9 MONTH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/>
      <c r="Q67" s="2"/>
      <c r="R67" s="6">
        <f t="shared" si="24"/>
        <v>0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0</v>
      </c>
      <c r="Y67" s="2"/>
      <c r="Z67" s="6">
        <f t="shared" si="27"/>
        <v>0</v>
      </c>
    </row>
    <row r="68" spans="1:26" s="24" customFormat="1" hidden="1" outlineLevel="2" x14ac:dyDescent="0.25">
      <c r="A68" s="28"/>
      <c r="B68" s="11" t="str">
        <f>CONCATENATE("          ", "6004", " - ", "STAFF HOURLY")</f>
        <v xml:space="preserve">          6004 - STAFF HOURLY</v>
      </c>
      <c r="C68" s="11"/>
      <c r="D68" s="7">
        <v>8733.7900000000009</v>
      </c>
      <c r="E68" s="2"/>
      <c r="F68" s="6">
        <f t="shared" si="20"/>
        <v>0.25549918615087397</v>
      </c>
      <c r="G68" s="2"/>
      <c r="H68" s="7">
        <v>6607.1876000000002</v>
      </c>
      <c r="I68" s="2"/>
      <c r="J68" s="6">
        <f t="shared" si="21"/>
        <v>0.14375013815460261</v>
      </c>
      <c r="K68" s="2"/>
      <c r="L68" s="7">
        <f t="shared" si="22"/>
        <v>2126.6024000000007</v>
      </c>
      <c r="M68" s="2"/>
      <c r="N68" s="6">
        <f t="shared" si="23"/>
        <v>0.32186196741257966</v>
      </c>
      <c r="O68" s="11"/>
      <c r="P68" s="7">
        <v>27311.52</v>
      </c>
      <c r="Q68" s="2"/>
      <c r="R68" s="6">
        <f t="shared" si="24"/>
        <v>1.7669284760440513E-2</v>
      </c>
      <c r="S68" s="2"/>
      <c r="T68" s="7">
        <v>23785.875359999998</v>
      </c>
      <c r="U68" s="2"/>
      <c r="V68" s="6">
        <f t="shared" si="25"/>
        <v>9.2557950624086519E-3</v>
      </c>
      <c r="W68" s="2"/>
      <c r="X68" s="7">
        <f t="shared" si="26"/>
        <v>3525.6446400000023</v>
      </c>
      <c r="Y68" s="2"/>
      <c r="Z68" s="6">
        <f t="shared" si="27"/>
        <v>0.14822429642126916</v>
      </c>
    </row>
    <row r="69" spans="1:26" s="24" customFormat="1" hidden="1" outlineLevel="2" x14ac:dyDescent="0.25">
      <c r="A69" s="28"/>
      <c r="B69" s="11" t="str">
        <f>CONCATENATE("          ", "6005", " - ", "TEMPORARY WAGES-HOURLY")</f>
        <v xml:space="preserve">          6005 - TEMPORARY WAGES-HOURLY</v>
      </c>
      <c r="C69" s="11"/>
      <c r="D69" s="7">
        <v>1498.67</v>
      </c>
      <c r="E69" s="2"/>
      <c r="F69" s="6">
        <f t="shared" si="20"/>
        <v>4.3842245498086199E-2</v>
      </c>
      <c r="G69" s="2"/>
      <c r="H69" s="7">
        <v>3562.5</v>
      </c>
      <c r="I69" s="2"/>
      <c r="J69" s="6">
        <f t="shared" si="21"/>
        <v>7.7507995561647405E-2</v>
      </c>
      <c r="K69" s="2"/>
      <c r="L69" s="7">
        <f t="shared" si="22"/>
        <v>-2063.83</v>
      </c>
      <c r="M69" s="2"/>
      <c r="N69" s="6">
        <f t="shared" si="23"/>
        <v>-0.57932070175438599</v>
      </c>
      <c r="O69" s="11"/>
      <c r="P69" s="7">
        <v>12838</v>
      </c>
      <c r="Q69" s="2"/>
      <c r="R69" s="6">
        <f t="shared" si="24"/>
        <v>8.3055896469524694E-3</v>
      </c>
      <c r="S69" s="2"/>
      <c r="T69" s="7">
        <v>14250</v>
      </c>
      <c r="U69" s="2"/>
      <c r="V69" s="6">
        <f t="shared" si="25"/>
        <v>5.5451009325108687E-3</v>
      </c>
      <c r="W69" s="2"/>
      <c r="X69" s="7">
        <f t="shared" si="26"/>
        <v>-1412</v>
      </c>
      <c r="Y69" s="2"/>
      <c r="Z69" s="6">
        <f t="shared" si="27"/>
        <v>-9.9087719298245613E-2</v>
      </c>
    </row>
    <row r="70" spans="1:26" s="24" customFormat="1" hidden="1" outlineLevel="2" x14ac:dyDescent="0.25">
      <c r="A70" s="28"/>
      <c r="B70" s="11" t="str">
        <f>CONCATENATE("          ", "6006", " - ", "TEMPORARY PART TIME")</f>
        <v xml:space="preserve">          6006 - TEMPORARY PART TIME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>
        <v>502.29</v>
      </c>
      <c r="Q70" s="2"/>
      <c r="R70" s="6">
        <f t="shared" si="24"/>
        <v>3.249582975360458E-4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502.29</v>
      </c>
      <c r="Y70" s="2"/>
      <c r="Z70" s="6">
        <f t="shared" si="27"/>
        <v>0</v>
      </c>
    </row>
    <row r="71" spans="1:26" s="24" customFormat="1" hidden="1" outlineLevel="2" x14ac:dyDescent="0.25">
      <c r="A71" s="28"/>
      <c r="B71" s="11" t="str">
        <f>CONCATENATE("          ", "6007", " - ", "STUDENT HOURLY")</f>
        <v xml:space="preserve">          6007 - STUDENT HOURLY</v>
      </c>
      <c r="C71" s="11"/>
      <c r="D71" s="7">
        <v>-163.18</v>
      </c>
      <c r="E71" s="2"/>
      <c r="F71" s="6">
        <f t="shared" si="20"/>
        <v>-4.7736844137653426E-3</v>
      </c>
      <c r="G71" s="2"/>
      <c r="H71" s="7">
        <v>0</v>
      </c>
      <c r="I71" s="2"/>
      <c r="J71" s="6">
        <f t="shared" si="21"/>
        <v>0</v>
      </c>
      <c r="K71" s="2"/>
      <c r="L71" s="7">
        <f t="shared" si="22"/>
        <v>-163.18</v>
      </c>
      <c r="M71" s="2"/>
      <c r="N71" s="6">
        <f t="shared" si="23"/>
        <v>0</v>
      </c>
      <c r="O71" s="11"/>
      <c r="P71" s="7">
        <v>11960.19</v>
      </c>
      <c r="Q71" s="2"/>
      <c r="R71" s="6">
        <f t="shared" si="24"/>
        <v>7.7376873531379078E-3</v>
      </c>
      <c r="S71" s="2"/>
      <c r="T71" s="7">
        <v>13387.5</v>
      </c>
      <c r="U71" s="2"/>
      <c r="V71" s="6">
        <f t="shared" si="25"/>
        <v>5.2094764023852104E-3</v>
      </c>
      <c r="W71" s="2"/>
      <c r="X71" s="7">
        <f t="shared" si="26"/>
        <v>-1427.3099999999995</v>
      </c>
      <c r="Y71" s="2"/>
      <c r="Z71" s="6">
        <f t="shared" si="27"/>
        <v>-0.10661512605042013</v>
      </c>
    </row>
    <row r="72" spans="1:26" s="24" customFormat="1" hidden="1" outlineLevel="2" x14ac:dyDescent="0.25">
      <c r="A72" s="28"/>
      <c r="B72" s="11" t="str">
        <f>CONCATENATE("          ", "6008", " - ", "STUDENT HOURLY-FICA EXEMPT")</f>
        <v xml:space="preserve">          6008 - STUDENT HOURLY-FICA EXEMPT</v>
      </c>
      <c r="C72" s="11"/>
      <c r="D72" s="7"/>
      <c r="E72" s="2"/>
      <c r="F72" s="6">
        <f t="shared" si="20"/>
        <v>0</v>
      </c>
      <c r="G72" s="2"/>
      <c r="H72" s="7">
        <v>1237.5</v>
      </c>
      <c r="I72" s="2"/>
      <c r="J72" s="6">
        <f t="shared" si="21"/>
        <v>2.6923830037203837E-2</v>
      </c>
      <c r="K72" s="2"/>
      <c r="L72" s="7">
        <f t="shared" si="22"/>
        <v>-1237.5</v>
      </c>
      <c r="M72" s="2"/>
      <c r="N72" s="6">
        <f t="shared" si="23"/>
        <v>-1</v>
      </c>
      <c r="O72" s="11"/>
      <c r="P72" s="7"/>
      <c r="Q72" s="2"/>
      <c r="R72" s="6">
        <f t="shared" si="24"/>
        <v>0</v>
      </c>
      <c r="S72" s="2"/>
      <c r="T72" s="7">
        <v>28928.75</v>
      </c>
      <c r="U72" s="2"/>
      <c r="V72" s="6">
        <f t="shared" si="25"/>
        <v>1.1257041305359565E-2</v>
      </c>
      <c r="W72" s="2"/>
      <c r="X72" s="7">
        <f t="shared" si="26"/>
        <v>-28928.75</v>
      </c>
      <c r="Y72" s="2"/>
      <c r="Z72" s="6">
        <f t="shared" si="27"/>
        <v>-1</v>
      </c>
    </row>
    <row r="73" spans="1:26" s="24" customFormat="1" hidden="1" outlineLevel="2" x14ac:dyDescent="0.25">
      <c r="A73" s="28"/>
      <c r="B73" s="11" t="str">
        <f>CONCATENATE("          ", "6009", " - ", "TEMPORARY-SEASONAL")</f>
        <v xml:space="preserve">          6009 - TEMPORARY-SEASONAL</v>
      </c>
      <c r="C73" s="11"/>
      <c r="D73" s="7"/>
      <c r="E73" s="2"/>
      <c r="F73" s="6">
        <f t="shared" si="20"/>
        <v>0</v>
      </c>
      <c r="G73" s="2"/>
      <c r="H73" s="7">
        <v>0</v>
      </c>
      <c r="I73" s="2"/>
      <c r="J73" s="6">
        <f t="shared" si="21"/>
        <v>0</v>
      </c>
      <c r="K73" s="2"/>
      <c r="L73" s="7">
        <f t="shared" si="22"/>
        <v>0</v>
      </c>
      <c r="M73" s="2"/>
      <c r="N73" s="6">
        <f t="shared" si="23"/>
        <v>0</v>
      </c>
      <c r="O73" s="11"/>
      <c r="P73" s="7"/>
      <c r="Q73" s="2"/>
      <c r="R73" s="6">
        <f t="shared" si="24"/>
        <v>0</v>
      </c>
      <c r="S73" s="2"/>
      <c r="T73" s="7">
        <v>0</v>
      </c>
      <c r="U73" s="2"/>
      <c r="V73" s="6">
        <f t="shared" si="25"/>
        <v>0</v>
      </c>
      <c r="W73" s="2"/>
      <c r="X73" s="7">
        <f t="shared" si="26"/>
        <v>0</v>
      </c>
      <c r="Y73" s="2"/>
      <c r="Z73" s="6">
        <f t="shared" si="27"/>
        <v>0</v>
      </c>
    </row>
    <row r="74" spans="1:26" s="24" customFormat="1" hidden="1" outlineLevel="2" x14ac:dyDescent="0.25">
      <c r="A74" s="28"/>
      <c r="B74" s="11" t="str">
        <f>CONCATENATE("          ", "6010", " - ", "GRATUITY")</f>
        <v xml:space="preserve">          6010 - GRATUITY</v>
      </c>
      <c r="C74" s="11"/>
      <c r="D74" s="7"/>
      <c r="E74" s="2"/>
      <c r="F74" s="6">
        <f t="shared" si="20"/>
        <v>0</v>
      </c>
      <c r="G74" s="2"/>
      <c r="H74" s="7">
        <v>0</v>
      </c>
      <c r="I74" s="2"/>
      <c r="J74" s="6">
        <f t="shared" si="21"/>
        <v>0</v>
      </c>
      <c r="K74" s="2"/>
      <c r="L74" s="7">
        <f t="shared" si="22"/>
        <v>0</v>
      </c>
      <c r="M74" s="2"/>
      <c r="N74" s="6">
        <f t="shared" si="23"/>
        <v>0</v>
      </c>
      <c r="O74" s="11"/>
      <c r="P74" s="7"/>
      <c r="Q74" s="2"/>
      <c r="R74" s="6">
        <f t="shared" si="24"/>
        <v>0</v>
      </c>
      <c r="S74" s="2"/>
      <c r="T74" s="7">
        <v>0</v>
      </c>
      <c r="U74" s="2"/>
      <c r="V74" s="6">
        <f t="shared" si="25"/>
        <v>0</v>
      </c>
      <c r="W74" s="2"/>
      <c r="X74" s="7">
        <f t="shared" si="26"/>
        <v>0</v>
      </c>
      <c r="Y74" s="2"/>
      <c r="Z74" s="6">
        <f t="shared" si="27"/>
        <v>0</v>
      </c>
    </row>
    <row r="75" spans="1:26" s="27" customFormat="1" outlineLevel="1" collapsed="1" x14ac:dyDescent="0.25">
      <c r="A75" s="29"/>
      <c r="B75" s="14" t="str">
        <f>CONCATENATE("     ","Advertising/Promo                                 ")</f>
        <v xml:space="preserve">     Advertising/Promo                                 </v>
      </c>
      <c r="C75" s="14"/>
      <c r="D75" s="1">
        <f>SUM(OSRRefD22_2x_0)</f>
        <v>0</v>
      </c>
      <c r="E75" s="1"/>
      <c r="F75" s="5">
        <f t="shared" ref="F75:F87" si="28">IF(D$12=0,0,D75/D$12)</f>
        <v>0</v>
      </c>
      <c r="G75" s="1"/>
      <c r="H75" s="1">
        <f>SUM(OSRRefH22_2x_0)</f>
        <v>100</v>
      </c>
      <c r="I75" s="1"/>
      <c r="J75" s="5">
        <f t="shared" ref="J75:J87" si="29">IF(H$12=0,0,H75/H$12)</f>
        <v>2.1756630333094012E-3</v>
      </c>
      <c r="K75" s="1"/>
      <c r="L75" s="1">
        <f t="shared" ref="L75:L87" si="30">+D75-H75</f>
        <v>-100</v>
      </c>
      <c r="M75" s="1"/>
      <c r="N75" s="5">
        <f t="shared" ref="N75:N87" si="31">IF(H75=0,0,L75/H75)</f>
        <v>-1</v>
      </c>
      <c r="O75" s="14"/>
      <c r="P75" s="1">
        <f>SUM(OSRRefP22_2x_0)</f>
        <v>1359.88</v>
      </c>
      <c r="Q75" s="1"/>
      <c r="R75" s="5">
        <f t="shared" ref="R75:R87" si="32">IF(P$12=0,0,P75/P$12)</f>
        <v>8.797791906136256E-4</v>
      </c>
      <c r="S75" s="1"/>
      <c r="T75" s="1">
        <f>SUM(OSRRefT22_2x_0)</f>
        <v>1250</v>
      </c>
      <c r="U75" s="1"/>
      <c r="V75" s="5">
        <f t="shared" ref="V75:V87" si="33">IF(T$12=0,0,T75/T$12)</f>
        <v>4.8641236250095339E-4</v>
      </c>
      <c r="W75" s="1"/>
      <c r="X75" s="1">
        <f t="shared" ref="X75:X87" si="34">+P75-T75</f>
        <v>109.88000000000011</v>
      </c>
      <c r="Y75" s="1"/>
      <c r="Z75" s="5">
        <f t="shared" ref="Z75:Z87" si="35">IF(T75=0,0,X75/T75)</f>
        <v>8.7904000000000093E-2</v>
      </c>
    </row>
    <row r="76" spans="1:26" s="24" customFormat="1" hidden="1" outlineLevel="2" x14ac:dyDescent="0.25">
      <c r="A76" s="28"/>
      <c r="B76" s="11" t="str">
        <f>CONCATENATE("          ", "6362", " - ", "ADVERTISING EXPENSE")</f>
        <v xml:space="preserve">          6362 - ADVERTISING EXPENSE</v>
      </c>
      <c r="C76" s="11"/>
      <c r="D76" s="7"/>
      <c r="E76" s="2"/>
      <c r="F76" s="6">
        <f t="shared" si="28"/>
        <v>0</v>
      </c>
      <c r="G76" s="2"/>
      <c r="H76" s="7">
        <v>100</v>
      </c>
      <c r="I76" s="2"/>
      <c r="J76" s="6">
        <f t="shared" si="29"/>
        <v>2.1756630333094012E-3</v>
      </c>
      <c r="K76" s="2"/>
      <c r="L76" s="7">
        <f t="shared" si="30"/>
        <v>-100</v>
      </c>
      <c r="M76" s="2"/>
      <c r="N76" s="6">
        <f t="shared" si="31"/>
        <v>-1</v>
      </c>
      <c r="O76" s="11"/>
      <c r="P76" s="7">
        <v>1359.88</v>
      </c>
      <c r="Q76" s="2"/>
      <c r="R76" s="6">
        <f t="shared" si="32"/>
        <v>8.797791906136256E-4</v>
      </c>
      <c r="S76" s="2"/>
      <c r="T76" s="7">
        <v>1250</v>
      </c>
      <c r="U76" s="2"/>
      <c r="V76" s="6">
        <f t="shared" si="33"/>
        <v>4.8641236250095339E-4</v>
      </c>
      <c r="W76" s="2"/>
      <c r="X76" s="7">
        <f t="shared" si="34"/>
        <v>109.88000000000011</v>
      </c>
      <c r="Y76" s="2"/>
      <c r="Z76" s="6">
        <f t="shared" si="35"/>
        <v>8.7904000000000093E-2</v>
      </c>
    </row>
    <row r="77" spans="1:26" s="27" customFormat="1" outlineLevel="1" collapsed="1" x14ac:dyDescent="0.25">
      <c r="A77" s="29"/>
      <c r="B77" s="14" t="str">
        <f>CONCATENATE("     ","Discounts and Markdowns                           ")</f>
        <v xml:space="preserve">     Discounts and Markdowns                           </v>
      </c>
      <c r="C77" s="14"/>
      <c r="D77" s="1">
        <f>SUM(OSRRefD22_3x_0)</f>
        <v>0</v>
      </c>
      <c r="E77" s="1"/>
      <c r="F77" s="5">
        <f t="shared" si="28"/>
        <v>0</v>
      </c>
      <c r="G77" s="1"/>
      <c r="H77" s="1">
        <f>SUM(OSRRefH22_3x_0)</f>
        <v>1000</v>
      </c>
      <c r="I77" s="1"/>
      <c r="J77" s="5">
        <f t="shared" si="29"/>
        <v>2.175663033309401E-2</v>
      </c>
      <c r="K77" s="1"/>
      <c r="L77" s="1">
        <f t="shared" si="30"/>
        <v>-1000</v>
      </c>
      <c r="M77" s="1"/>
      <c r="N77" s="5">
        <f t="shared" si="31"/>
        <v>-1</v>
      </c>
      <c r="O77" s="14"/>
      <c r="P77" s="1">
        <f>SUM(OSRRefP22_3x_0)</f>
        <v>0</v>
      </c>
      <c r="Q77" s="1"/>
      <c r="R77" s="5">
        <f t="shared" si="32"/>
        <v>0</v>
      </c>
      <c r="S77" s="1"/>
      <c r="T77" s="1">
        <f>SUM(OSRRefT22_3x_0)</f>
        <v>7400</v>
      </c>
      <c r="U77" s="1"/>
      <c r="V77" s="5">
        <f t="shared" si="33"/>
        <v>2.8795611860056441E-3</v>
      </c>
      <c r="W77" s="1"/>
      <c r="X77" s="1">
        <f t="shared" si="34"/>
        <v>-7400</v>
      </c>
      <c r="Y77" s="1"/>
      <c r="Z77" s="5">
        <f t="shared" si="35"/>
        <v>-1</v>
      </c>
    </row>
    <row r="78" spans="1:26" s="24" customFormat="1" hidden="1" outlineLevel="2" x14ac:dyDescent="0.25">
      <c r="A78" s="28"/>
      <c r="B78" s="11" t="str">
        <f>CONCATENATE("          ", "6382", " - ", "DISCOUNTS/MARK DOWNS")</f>
        <v xml:space="preserve">          6382 - DISCOUNTS/MARK DOWNS</v>
      </c>
      <c r="C78" s="11"/>
      <c r="D78" s="7"/>
      <c r="E78" s="2"/>
      <c r="F78" s="6">
        <f t="shared" si="28"/>
        <v>0</v>
      </c>
      <c r="G78" s="2"/>
      <c r="H78" s="7">
        <v>1000</v>
      </c>
      <c r="I78" s="2"/>
      <c r="J78" s="6">
        <f t="shared" si="29"/>
        <v>2.175663033309401E-2</v>
      </c>
      <c r="K78" s="2"/>
      <c r="L78" s="7">
        <f t="shared" si="30"/>
        <v>-1000</v>
      </c>
      <c r="M78" s="2"/>
      <c r="N78" s="6">
        <f t="shared" si="31"/>
        <v>-1</v>
      </c>
      <c r="O78" s="11"/>
      <c r="P78" s="7"/>
      <c r="Q78" s="2"/>
      <c r="R78" s="6">
        <f t="shared" si="32"/>
        <v>0</v>
      </c>
      <c r="S78" s="2"/>
      <c r="T78" s="7">
        <v>7400</v>
      </c>
      <c r="U78" s="2"/>
      <c r="V78" s="6">
        <f t="shared" si="33"/>
        <v>2.8795611860056441E-3</v>
      </c>
      <c r="W78" s="2"/>
      <c r="X78" s="7">
        <f t="shared" si="34"/>
        <v>-7400</v>
      </c>
      <c r="Y78" s="2"/>
      <c r="Z78" s="6">
        <f t="shared" si="35"/>
        <v>-1</v>
      </c>
    </row>
    <row r="79" spans="1:26" s="27" customFormat="1" outlineLevel="1" collapsed="1" x14ac:dyDescent="0.25">
      <c r="A79" s="29"/>
      <c r="B79" s="14" t="str">
        <f>CONCATENATE("     ","Employees' Appreciation                           ")</f>
        <v xml:space="preserve">     Employees' Appreciation                           </v>
      </c>
      <c r="C79" s="14"/>
      <c r="D79" s="1">
        <f>SUM(OSRRefD22_4x_0)</f>
        <v>0</v>
      </c>
      <c r="E79" s="1"/>
      <c r="F79" s="5">
        <f t="shared" si="28"/>
        <v>0</v>
      </c>
      <c r="G79" s="1"/>
      <c r="H79" s="1">
        <f>SUM(OSRRefH22_4x_0)</f>
        <v>75</v>
      </c>
      <c r="I79" s="1"/>
      <c r="J79" s="5">
        <f t="shared" si="29"/>
        <v>1.6317472749820508E-3</v>
      </c>
      <c r="K79" s="1"/>
      <c r="L79" s="1">
        <f t="shared" si="30"/>
        <v>-75</v>
      </c>
      <c r="M79" s="1"/>
      <c r="N79" s="5">
        <f t="shared" si="31"/>
        <v>-1</v>
      </c>
      <c r="O79" s="14"/>
      <c r="P79" s="1">
        <f>SUM(OSRRefP22_4x_0)</f>
        <v>107.7</v>
      </c>
      <c r="Q79" s="1"/>
      <c r="R79" s="5">
        <f t="shared" si="32"/>
        <v>6.9676897100543782E-5</v>
      </c>
      <c r="S79" s="1"/>
      <c r="T79" s="1">
        <f>SUM(OSRRefT22_4x_0)</f>
        <v>300</v>
      </c>
      <c r="U79" s="1"/>
      <c r="V79" s="5">
        <f t="shared" si="33"/>
        <v>1.1673896700022881E-4</v>
      </c>
      <c r="W79" s="1"/>
      <c r="X79" s="1">
        <f t="shared" si="34"/>
        <v>-192.3</v>
      </c>
      <c r="Y79" s="1"/>
      <c r="Z79" s="5">
        <f t="shared" si="35"/>
        <v>-0.64100000000000001</v>
      </c>
    </row>
    <row r="80" spans="1:26" s="24" customFormat="1" hidden="1" outlineLevel="2" x14ac:dyDescent="0.25">
      <c r="A80" s="28"/>
      <c r="B80" s="11" t="str">
        <f>CONCATENATE("          ", "6277", " - ", "EMPLOYEE APPRECIATION")</f>
        <v xml:space="preserve">          6277 - EMPLOYEE APPRECIATION</v>
      </c>
      <c r="C80" s="11"/>
      <c r="D80" s="7"/>
      <c r="E80" s="2"/>
      <c r="F80" s="6">
        <f t="shared" si="28"/>
        <v>0</v>
      </c>
      <c r="G80" s="2"/>
      <c r="H80" s="7">
        <v>75</v>
      </c>
      <c r="I80" s="2"/>
      <c r="J80" s="6">
        <f t="shared" si="29"/>
        <v>1.6317472749820508E-3</v>
      </c>
      <c r="K80" s="2"/>
      <c r="L80" s="7">
        <f t="shared" si="30"/>
        <v>-75</v>
      </c>
      <c r="M80" s="2"/>
      <c r="N80" s="6">
        <f t="shared" si="31"/>
        <v>-1</v>
      </c>
      <c r="O80" s="11"/>
      <c r="P80" s="7">
        <v>107.7</v>
      </c>
      <c r="Q80" s="2"/>
      <c r="R80" s="6">
        <f t="shared" si="32"/>
        <v>6.9676897100543782E-5</v>
      </c>
      <c r="S80" s="2"/>
      <c r="T80" s="7">
        <v>300</v>
      </c>
      <c r="U80" s="2"/>
      <c r="V80" s="6">
        <f t="shared" si="33"/>
        <v>1.1673896700022881E-4</v>
      </c>
      <c r="W80" s="2"/>
      <c r="X80" s="7">
        <f t="shared" si="34"/>
        <v>-192.3</v>
      </c>
      <c r="Y80" s="2"/>
      <c r="Z80" s="6">
        <f t="shared" si="35"/>
        <v>-0.64100000000000001</v>
      </c>
    </row>
    <row r="81" spans="1:26" s="27" customFormat="1" outlineLevel="1" collapsed="1" x14ac:dyDescent="0.25">
      <c r="A81" s="29"/>
      <c r="B81" s="14" t="str">
        <f>CONCATENATE("     ","Equipment Rental                                  ")</f>
        <v xml:space="preserve">     Equipment Rental                                  </v>
      </c>
      <c r="C81" s="14"/>
      <c r="D81" s="1">
        <f>SUM(OSRRefD22_5x_0)</f>
        <v>182.52</v>
      </c>
      <c r="E81" s="1"/>
      <c r="F81" s="5">
        <f t="shared" si="28"/>
        <v>5.3394587523008354E-3</v>
      </c>
      <c r="G81" s="1"/>
      <c r="H81" s="1">
        <f>SUM(OSRRefH22_5x_0)</f>
        <v>100</v>
      </c>
      <c r="I81" s="1"/>
      <c r="J81" s="5">
        <f t="shared" si="29"/>
        <v>2.1756630333094012E-3</v>
      </c>
      <c r="K81" s="1"/>
      <c r="L81" s="1">
        <f t="shared" si="30"/>
        <v>82.52000000000001</v>
      </c>
      <c r="M81" s="1"/>
      <c r="N81" s="5">
        <f t="shared" si="31"/>
        <v>0.82520000000000016</v>
      </c>
      <c r="O81" s="14"/>
      <c r="P81" s="1">
        <f>SUM(OSRRefP22_5x_0)</f>
        <v>456.3</v>
      </c>
      <c r="Q81" s="1"/>
      <c r="R81" s="5">
        <f t="shared" si="32"/>
        <v>2.952049038716632E-4</v>
      </c>
      <c r="S81" s="1"/>
      <c r="T81" s="1">
        <f>SUM(OSRRefT22_5x_0)</f>
        <v>400</v>
      </c>
      <c r="U81" s="1"/>
      <c r="V81" s="5">
        <f t="shared" si="33"/>
        <v>1.5565195600030507E-4</v>
      </c>
      <c r="W81" s="1"/>
      <c r="X81" s="1">
        <f t="shared" si="34"/>
        <v>56.300000000000011</v>
      </c>
      <c r="Y81" s="1"/>
      <c r="Z81" s="5">
        <f t="shared" si="35"/>
        <v>0.14075000000000004</v>
      </c>
    </row>
    <row r="82" spans="1:26" s="24" customFormat="1" hidden="1" outlineLevel="2" x14ac:dyDescent="0.25">
      <c r="A82" s="28"/>
      <c r="B82" s="11" t="str">
        <f>CONCATENATE("          ", "6351", " - ", "EQUIPMENT RENTAL")</f>
        <v xml:space="preserve">          6351 - EQUIPMENT RENTAL</v>
      </c>
      <c r="C82" s="11"/>
      <c r="D82" s="7">
        <v>182.52</v>
      </c>
      <c r="E82" s="2"/>
      <c r="F82" s="6">
        <f t="shared" si="28"/>
        <v>5.3394587523008354E-3</v>
      </c>
      <c r="G82" s="2"/>
      <c r="H82" s="7">
        <v>100</v>
      </c>
      <c r="I82" s="2"/>
      <c r="J82" s="6">
        <f t="shared" si="29"/>
        <v>2.1756630333094012E-3</v>
      </c>
      <c r="K82" s="2"/>
      <c r="L82" s="7">
        <f t="shared" si="30"/>
        <v>82.52000000000001</v>
      </c>
      <c r="M82" s="2"/>
      <c r="N82" s="6">
        <f t="shared" si="31"/>
        <v>0.82520000000000016</v>
      </c>
      <c r="O82" s="11"/>
      <c r="P82" s="7">
        <v>456.3</v>
      </c>
      <c r="Q82" s="2"/>
      <c r="R82" s="6">
        <f t="shared" si="32"/>
        <v>2.952049038716632E-4</v>
      </c>
      <c r="S82" s="2"/>
      <c r="T82" s="7">
        <v>400</v>
      </c>
      <c r="U82" s="2"/>
      <c r="V82" s="6">
        <f t="shared" si="33"/>
        <v>1.5565195600030507E-4</v>
      </c>
      <c r="W82" s="2"/>
      <c r="X82" s="7">
        <f t="shared" si="34"/>
        <v>56.300000000000011</v>
      </c>
      <c r="Y82" s="2"/>
      <c r="Z82" s="6">
        <f t="shared" si="35"/>
        <v>0.14075000000000004</v>
      </c>
    </row>
    <row r="83" spans="1:26" s="27" customFormat="1" outlineLevel="1" collapsed="1" x14ac:dyDescent="0.25">
      <c r="A83" s="29"/>
      <c r="B83" s="14" t="str">
        <f>CONCATENATE("     ","Freight out/Postage                               ")</f>
        <v xml:space="preserve">     Freight out/Postage                               </v>
      </c>
      <c r="C83" s="14"/>
      <c r="D83" s="1">
        <f>SUM(OSRRefD22_6x_0)</f>
        <v>29.84</v>
      </c>
      <c r="E83" s="1"/>
      <c r="F83" s="5">
        <f t="shared" si="28"/>
        <v>8.72942412714535E-4</v>
      </c>
      <c r="G83" s="1"/>
      <c r="H83" s="1">
        <f>SUM(OSRRefH22_6x_0)</f>
        <v>2200</v>
      </c>
      <c r="I83" s="1"/>
      <c r="J83" s="5">
        <f t="shared" si="29"/>
        <v>4.7864586732806823E-2</v>
      </c>
      <c r="K83" s="1"/>
      <c r="L83" s="1">
        <f t="shared" si="30"/>
        <v>-2170.16</v>
      </c>
      <c r="M83" s="1"/>
      <c r="N83" s="5">
        <f t="shared" si="31"/>
        <v>-0.98643636363636356</v>
      </c>
      <c r="O83" s="14"/>
      <c r="P83" s="1">
        <f>SUM(OSRRefP22_6x_0)</f>
        <v>566</v>
      </c>
      <c r="Q83" s="1"/>
      <c r="R83" s="5">
        <f t="shared" si="32"/>
        <v>3.661757080678531E-4</v>
      </c>
      <c r="S83" s="1"/>
      <c r="T83" s="1">
        <f>SUM(OSRRefT22_6x_0)</f>
        <v>5700</v>
      </c>
      <c r="U83" s="1"/>
      <c r="V83" s="5">
        <f t="shared" si="33"/>
        <v>2.2180403730043471E-3</v>
      </c>
      <c r="W83" s="1"/>
      <c r="X83" s="1">
        <f t="shared" si="34"/>
        <v>-5134</v>
      </c>
      <c r="Y83" s="1"/>
      <c r="Z83" s="5">
        <f t="shared" si="35"/>
        <v>-0.90070175438596489</v>
      </c>
    </row>
    <row r="84" spans="1:26" s="24" customFormat="1" hidden="1" outlineLevel="2" x14ac:dyDescent="0.25">
      <c r="A84" s="28"/>
      <c r="B84" s="11" t="str">
        <f>CONCATENATE("          ", "6305", " - ", "FREIGHT OUT")</f>
        <v xml:space="preserve">          6305 - FREIGHT OUT</v>
      </c>
      <c r="C84" s="11"/>
      <c r="D84" s="7">
        <v>29.84</v>
      </c>
      <c r="E84" s="2"/>
      <c r="F84" s="6">
        <f t="shared" si="28"/>
        <v>8.72942412714535E-4</v>
      </c>
      <c r="G84" s="2"/>
      <c r="H84" s="7">
        <v>2200</v>
      </c>
      <c r="I84" s="2"/>
      <c r="J84" s="6">
        <f t="shared" si="29"/>
        <v>4.7864586732806823E-2</v>
      </c>
      <c r="K84" s="2"/>
      <c r="L84" s="7">
        <f t="shared" si="30"/>
        <v>-2170.16</v>
      </c>
      <c r="M84" s="2"/>
      <c r="N84" s="6">
        <f t="shared" si="31"/>
        <v>-0.98643636363636356</v>
      </c>
      <c r="O84" s="11"/>
      <c r="P84" s="7">
        <v>566</v>
      </c>
      <c r="Q84" s="2"/>
      <c r="R84" s="6">
        <f t="shared" si="32"/>
        <v>3.661757080678531E-4</v>
      </c>
      <c r="S84" s="2"/>
      <c r="T84" s="7">
        <v>5700</v>
      </c>
      <c r="U84" s="2"/>
      <c r="V84" s="6">
        <f t="shared" si="33"/>
        <v>2.2180403730043471E-3</v>
      </c>
      <c r="W84" s="2"/>
      <c r="X84" s="7">
        <f t="shared" si="34"/>
        <v>-5134</v>
      </c>
      <c r="Y84" s="2"/>
      <c r="Z84" s="6">
        <f t="shared" si="35"/>
        <v>-0.90070175438596489</v>
      </c>
    </row>
    <row r="85" spans="1:26" s="27" customFormat="1" outlineLevel="1" collapsed="1" x14ac:dyDescent="0.25">
      <c r="A85" s="29"/>
      <c r="B85" s="14" t="str">
        <f>CONCATENATE("     ","General                                           ")</f>
        <v xml:space="preserve">     General                                           </v>
      </c>
      <c r="C85" s="14"/>
      <c r="D85" s="1">
        <f>SUM(OSRRefD22_7x_0)</f>
        <v>-40</v>
      </c>
      <c r="E85" s="1"/>
      <c r="F85" s="5">
        <f t="shared" si="28"/>
        <v>-1.1701640921106368E-3</v>
      </c>
      <c r="G85" s="1"/>
      <c r="H85" s="1">
        <f>SUM(OSRRefH22_7x_0)</f>
        <v>0</v>
      </c>
      <c r="I85" s="1"/>
      <c r="J85" s="5">
        <f t="shared" si="29"/>
        <v>0</v>
      </c>
      <c r="K85" s="1"/>
      <c r="L85" s="1">
        <f t="shared" si="30"/>
        <v>-40</v>
      </c>
      <c r="M85" s="1"/>
      <c r="N85" s="5">
        <f t="shared" si="31"/>
        <v>0</v>
      </c>
      <c r="O85" s="14"/>
      <c r="P85" s="1">
        <f>SUM(OSRRefP22_7x_0)</f>
        <v>-4834.1899999999996</v>
      </c>
      <c r="Q85" s="1"/>
      <c r="R85" s="5">
        <f t="shared" si="32"/>
        <v>-3.1274963713507679E-3</v>
      </c>
      <c r="S85" s="1"/>
      <c r="T85" s="1">
        <f>SUM(OSRRefT22_7x_0)</f>
        <v>125</v>
      </c>
      <c r="U85" s="1"/>
      <c r="V85" s="5">
        <f t="shared" si="33"/>
        <v>4.8641236250095337E-5</v>
      </c>
      <c r="W85" s="1"/>
      <c r="X85" s="1">
        <f t="shared" si="34"/>
        <v>-4959.1899999999996</v>
      </c>
      <c r="Y85" s="1"/>
      <c r="Z85" s="5">
        <f t="shared" si="35"/>
        <v>-39.673519999999996</v>
      </c>
    </row>
    <row r="86" spans="1:26" s="24" customFormat="1" hidden="1" outlineLevel="2" x14ac:dyDescent="0.25">
      <c r="A86" s="28"/>
      <c r="B86" s="11" t="str">
        <f>CONCATENATE("          ", "6269", " - ", "ENTERTAINMENT")</f>
        <v xml:space="preserve">          6269 - ENTERTAINMENT</v>
      </c>
      <c r="C86" s="11"/>
      <c r="D86" s="7"/>
      <c r="E86" s="2"/>
      <c r="F86" s="6">
        <f t="shared" si="28"/>
        <v>0</v>
      </c>
      <c r="G86" s="2"/>
      <c r="H86" s="7"/>
      <c r="I86" s="2"/>
      <c r="J86" s="6">
        <f t="shared" si="29"/>
        <v>0</v>
      </c>
      <c r="K86" s="2"/>
      <c r="L86" s="7">
        <f t="shared" si="30"/>
        <v>0</v>
      </c>
      <c r="M86" s="2"/>
      <c r="N86" s="6">
        <f t="shared" si="31"/>
        <v>0</v>
      </c>
      <c r="O86" s="11"/>
      <c r="P86" s="7"/>
      <c r="Q86" s="2"/>
      <c r="R86" s="6">
        <f t="shared" si="32"/>
        <v>0</v>
      </c>
      <c r="S86" s="2"/>
      <c r="T86" s="7">
        <v>125</v>
      </c>
      <c r="U86" s="2"/>
      <c r="V86" s="6">
        <f t="shared" si="33"/>
        <v>4.8641236250095337E-5</v>
      </c>
      <c r="W86" s="2"/>
      <c r="X86" s="7">
        <f t="shared" si="34"/>
        <v>-125</v>
      </c>
      <c r="Y86" s="2"/>
      <c r="Z86" s="6">
        <f t="shared" si="35"/>
        <v>-1</v>
      </c>
    </row>
    <row r="87" spans="1:26" s="24" customFormat="1" hidden="1" outlineLevel="2" x14ac:dyDescent="0.25">
      <c r="A87" s="28"/>
      <c r="B87" s="11" t="str">
        <f>CONCATENATE("          ", "6279", " - ", "GENERAL EXPENSE")</f>
        <v xml:space="preserve">          6279 - GENERAL EXPENSE</v>
      </c>
      <c r="C87" s="11"/>
      <c r="D87" s="7">
        <v>-40</v>
      </c>
      <c r="E87" s="2"/>
      <c r="F87" s="6">
        <f t="shared" si="28"/>
        <v>-1.1701640921106368E-3</v>
      </c>
      <c r="G87" s="2"/>
      <c r="H87" s="7"/>
      <c r="I87" s="2"/>
      <c r="J87" s="6">
        <f t="shared" si="29"/>
        <v>0</v>
      </c>
      <c r="K87" s="2"/>
      <c r="L87" s="7">
        <f t="shared" si="30"/>
        <v>-40</v>
      </c>
      <c r="M87" s="2"/>
      <c r="N87" s="6">
        <f t="shared" si="31"/>
        <v>0</v>
      </c>
      <c r="O87" s="11"/>
      <c r="P87" s="7">
        <v>-4834.1899999999996</v>
      </c>
      <c r="Q87" s="2"/>
      <c r="R87" s="6">
        <f t="shared" si="32"/>
        <v>-3.1274963713507679E-3</v>
      </c>
      <c r="S87" s="2"/>
      <c r="T87" s="7"/>
      <c r="U87" s="2"/>
      <c r="V87" s="6">
        <f t="shared" si="33"/>
        <v>0</v>
      </c>
      <c r="W87" s="2"/>
      <c r="X87" s="7">
        <f t="shared" si="34"/>
        <v>-4834.1899999999996</v>
      </c>
      <c r="Y87" s="2"/>
      <c r="Z87" s="6">
        <f t="shared" si="35"/>
        <v>0</v>
      </c>
    </row>
    <row r="88" spans="1:26" s="27" customFormat="1" outlineLevel="1" collapsed="1" x14ac:dyDescent="0.25">
      <c r="A88" s="29"/>
      <c r="B88" s="14" t="str">
        <f>CONCATENATE("     ","Inventory Adjustment                              ")</f>
        <v xml:space="preserve">     Inventory Adjustment                              </v>
      </c>
      <c r="C88" s="14"/>
      <c r="D88" s="1">
        <f>SUM(OSRRefD22_8x_0)</f>
        <v>1000</v>
      </c>
      <c r="E88" s="1"/>
      <c r="F88" s="5">
        <f t="shared" ref="F88:F92" si="36">IF(D$12=0,0,D88/D$12)</f>
        <v>2.9254102302765917E-2</v>
      </c>
      <c r="G88" s="1"/>
      <c r="H88" s="1">
        <f>SUM(OSRRefH22_8x_0)</f>
        <v>1000</v>
      </c>
      <c r="I88" s="1"/>
      <c r="J88" s="5">
        <f t="shared" ref="J88:J92" si="37">IF(H$12=0,0,H88/H$12)</f>
        <v>2.175663033309401E-2</v>
      </c>
      <c r="K88" s="1"/>
      <c r="L88" s="1">
        <f t="shared" ref="L88:L92" si="38">+D88-H88</f>
        <v>0</v>
      </c>
      <c r="M88" s="1"/>
      <c r="N88" s="5">
        <f t="shared" ref="N88:N92" si="39">IF(H88=0,0,L88/H88)</f>
        <v>0</v>
      </c>
      <c r="O88" s="14"/>
      <c r="P88" s="1">
        <f>SUM(OSRRefP22_8x_0)</f>
        <v>4000</v>
      </c>
      <c r="Q88" s="1"/>
      <c r="R88" s="5">
        <f t="shared" ref="R88:R92" si="40">IF(P$12=0,0,P88/P$12)</f>
        <v>2.587814191292248E-3</v>
      </c>
      <c r="S88" s="1"/>
      <c r="T88" s="1">
        <f>SUM(OSRRefT22_8x_0)</f>
        <v>4000</v>
      </c>
      <c r="U88" s="1"/>
      <c r="V88" s="5">
        <f t="shared" ref="V88:V92" si="41">IF(T$12=0,0,T88/T$12)</f>
        <v>1.5565195600030508E-3</v>
      </c>
      <c r="W88" s="1"/>
      <c r="X88" s="1">
        <f t="shared" ref="X88:X92" si="42">+P88-T88</f>
        <v>0</v>
      </c>
      <c r="Y88" s="1"/>
      <c r="Z88" s="5">
        <f t="shared" ref="Z88:Z92" si="43">IF(T88=0,0,X88/T88)</f>
        <v>0</v>
      </c>
    </row>
    <row r="89" spans="1:26" s="24" customFormat="1" hidden="1" outlineLevel="2" x14ac:dyDescent="0.25">
      <c r="A89" s="28"/>
      <c r="B89" s="11" t="str">
        <f>CONCATENATE("          ", "6408", " - ", "INVENTORY ADJUSTMENT")</f>
        <v xml:space="preserve">          6408 - INVENTORY ADJUSTMENT</v>
      </c>
      <c r="C89" s="11"/>
      <c r="D89" s="7">
        <v>1000</v>
      </c>
      <c r="E89" s="2"/>
      <c r="F89" s="6">
        <f t="shared" si="36"/>
        <v>2.9254102302765917E-2</v>
      </c>
      <c r="G89" s="2"/>
      <c r="H89" s="7">
        <v>1000</v>
      </c>
      <c r="I89" s="2"/>
      <c r="J89" s="6">
        <f t="shared" si="37"/>
        <v>2.175663033309401E-2</v>
      </c>
      <c r="K89" s="2"/>
      <c r="L89" s="7">
        <f t="shared" si="38"/>
        <v>0</v>
      </c>
      <c r="M89" s="2"/>
      <c r="N89" s="6">
        <f t="shared" si="39"/>
        <v>0</v>
      </c>
      <c r="O89" s="11"/>
      <c r="P89" s="7">
        <v>4000</v>
      </c>
      <c r="Q89" s="2"/>
      <c r="R89" s="6">
        <f t="shared" si="40"/>
        <v>2.587814191292248E-3</v>
      </c>
      <c r="S89" s="2"/>
      <c r="T89" s="7">
        <v>4000</v>
      </c>
      <c r="U89" s="2"/>
      <c r="V89" s="6">
        <f t="shared" si="41"/>
        <v>1.5565195600030508E-3</v>
      </c>
      <c r="W89" s="2"/>
      <c r="X89" s="7">
        <f t="shared" si="42"/>
        <v>0</v>
      </c>
      <c r="Y89" s="2"/>
      <c r="Z89" s="6">
        <f t="shared" si="43"/>
        <v>0</v>
      </c>
    </row>
    <row r="90" spans="1:26" s="27" customFormat="1" outlineLevel="1" collapsed="1" x14ac:dyDescent="0.25">
      <c r="A90" s="29"/>
      <c r="B90" s="14" t="str">
        <f>CONCATENATE("     ","Repair and Maintenance                            ")</f>
        <v xml:space="preserve">     Repair and Maintenance                            </v>
      </c>
      <c r="C90" s="14"/>
      <c r="D90" s="1">
        <f>SUM(OSRRefD22_9x_0)</f>
        <v>19.670000000000002</v>
      </c>
      <c r="E90" s="1"/>
      <c r="F90" s="5">
        <f t="shared" si="36"/>
        <v>5.7542819229540563E-4</v>
      </c>
      <c r="G90" s="1"/>
      <c r="H90" s="1">
        <f>SUM(OSRRefH22_9x_0)</f>
        <v>140</v>
      </c>
      <c r="I90" s="1"/>
      <c r="J90" s="5">
        <f t="shared" si="37"/>
        <v>3.0459282466331616E-3</v>
      </c>
      <c r="K90" s="1"/>
      <c r="L90" s="1">
        <f t="shared" si="38"/>
        <v>-120.33</v>
      </c>
      <c r="M90" s="1"/>
      <c r="N90" s="5">
        <f t="shared" si="39"/>
        <v>-0.85950000000000004</v>
      </c>
      <c r="O90" s="14"/>
      <c r="P90" s="1">
        <f>SUM(OSRRefP22_9x_0)</f>
        <v>111.47</v>
      </c>
      <c r="Q90" s="1"/>
      <c r="R90" s="5">
        <f t="shared" si="40"/>
        <v>7.2115911975836723E-5</v>
      </c>
      <c r="S90" s="1"/>
      <c r="T90" s="1">
        <f>SUM(OSRRefT22_9x_0)</f>
        <v>560</v>
      </c>
      <c r="U90" s="1"/>
      <c r="V90" s="5">
        <f t="shared" si="41"/>
        <v>2.179127384004271E-4</v>
      </c>
      <c r="W90" s="1"/>
      <c r="X90" s="1">
        <f t="shared" si="42"/>
        <v>-448.53</v>
      </c>
      <c r="Y90" s="1"/>
      <c r="Z90" s="5">
        <f t="shared" si="43"/>
        <v>-0.8009464285714285</v>
      </c>
    </row>
    <row r="91" spans="1:26" s="24" customFormat="1" hidden="1" outlineLevel="2" x14ac:dyDescent="0.25">
      <c r="A91" s="28"/>
      <c r="B91" s="11" t="str">
        <f>CONCATENATE("          ", "6373", " - ", "MAINTENANCE CONTRACTS")</f>
        <v xml:space="preserve">          6373 - MAINTENANCE CONTRACTS</v>
      </c>
      <c r="C91" s="11"/>
      <c r="D91" s="7">
        <v>19.670000000000002</v>
      </c>
      <c r="E91" s="2"/>
      <c r="F91" s="6">
        <f t="shared" si="36"/>
        <v>5.7542819229540563E-4</v>
      </c>
      <c r="G91" s="2"/>
      <c r="H91" s="7">
        <v>40</v>
      </c>
      <c r="I91" s="2"/>
      <c r="J91" s="6">
        <f t="shared" si="37"/>
        <v>8.7026521332376041E-4</v>
      </c>
      <c r="K91" s="2"/>
      <c r="L91" s="7">
        <f t="shared" si="38"/>
        <v>-20.329999999999998</v>
      </c>
      <c r="M91" s="2"/>
      <c r="N91" s="6">
        <f t="shared" si="39"/>
        <v>-0.50824999999999998</v>
      </c>
      <c r="O91" s="11"/>
      <c r="P91" s="7">
        <v>86.36</v>
      </c>
      <c r="Q91" s="2"/>
      <c r="R91" s="6">
        <f t="shared" si="40"/>
        <v>5.5870908389999633E-5</v>
      </c>
      <c r="S91" s="2"/>
      <c r="T91" s="7">
        <v>160</v>
      </c>
      <c r="U91" s="2"/>
      <c r="V91" s="6">
        <f t="shared" si="41"/>
        <v>6.2260782400122029E-5</v>
      </c>
      <c r="W91" s="2"/>
      <c r="X91" s="7">
        <f t="shared" si="42"/>
        <v>-73.64</v>
      </c>
      <c r="Y91" s="2"/>
      <c r="Z91" s="6">
        <f t="shared" si="43"/>
        <v>-0.46024999999999999</v>
      </c>
    </row>
    <row r="92" spans="1:26" s="24" customFormat="1" hidden="1" outlineLevel="2" x14ac:dyDescent="0.25">
      <c r="A92" s="28"/>
      <c r="B92" s="11" t="str">
        <f>CONCATENATE("          ", "6375", " - ", "OUTSIDE REPAIRS &amp; MAINTENANCE")</f>
        <v xml:space="preserve">          6375 - OUTSIDE REPAIRS &amp; MAINTENANCE</v>
      </c>
      <c r="C92" s="11"/>
      <c r="D92" s="7"/>
      <c r="E92" s="2"/>
      <c r="F92" s="6">
        <f t="shared" si="36"/>
        <v>0</v>
      </c>
      <c r="G92" s="2"/>
      <c r="H92" s="7">
        <v>100</v>
      </c>
      <c r="I92" s="2"/>
      <c r="J92" s="6">
        <f t="shared" si="37"/>
        <v>2.1756630333094012E-3</v>
      </c>
      <c r="K92" s="2"/>
      <c r="L92" s="7">
        <f t="shared" si="38"/>
        <v>-100</v>
      </c>
      <c r="M92" s="2"/>
      <c r="N92" s="6">
        <f t="shared" si="39"/>
        <v>-1</v>
      </c>
      <c r="O92" s="11"/>
      <c r="P92" s="7">
        <v>25.11</v>
      </c>
      <c r="Q92" s="2"/>
      <c r="R92" s="6">
        <f t="shared" si="40"/>
        <v>1.6245003585837086E-5</v>
      </c>
      <c r="S92" s="2"/>
      <c r="T92" s="7">
        <v>400</v>
      </c>
      <c r="U92" s="2"/>
      <c r="V92" s="6">
        <f t="shared" si="41"/>
        <v>1.5565195600030507E-4</v>
      </c>
      <c r="W92" s="2"/>
      <c r="X92" s="7">
        <f t="shared" si="42"/>
        <v>-374.89</v>
      </c>
      <c r="Y92" s="2"/>
      <c r="Z92" s="6">
        <f t="shared" si="43"/>
        <v>-0.93722499999999997</v>
      </c>
    </row>
    <row r="93" spans="1:26" s="27" customFormat="1" outlineLevel="1" collapsed="1" x14ac:dyDescent="0.25">
      <c r="A93" s="29"/>
      <c r="B93" s="14" t="str">
        <f>CONCATENATE("     ","Subscriptions &amp; Dues                              ")</f>
        <v xml:space="preserve">     Subscriptions &amp; Dues                              </v>
      </c>
      <c r="C93" s="14"/>
      <c r="D93" s="1">
        <f>SUM(OSRRefD22_10x_0)</f>
        <v>790.32</v>
      </c>
      <c r="E93" s="1"/>
      <c r="F93" s="5">
        <f t="shared" ref="F93:F98" si="44">IF(D$12=0,0,D93/D$12)</f>
        <v>2.3120102131921963E-2</v>
      </c>
      <c r="G93" s="1"/>
      <c r="H93" s="1">
        <f>SUM(OSRRefH22_10x_0)</f>
        <v>300</v>
      </c>
      <c r="I93" s="1"/>
      <c r="J93" s="5">
        <f t="shared" ref="J93:J98" si="45">IF(H$12=0,0,H93/H$12)</f>
        <v>6.5269890999282033E-3</v>
      </c>
      <c r="K93" s="1"/>
      <c r="L93" s="1">
        <f t="shared" ref="L93:L98" si="46">+D93-H93</f>
        <v>490.32000000000005</v>
      </c>
      <c r="M93" s="1"/>
      <c r="N93" s="5">
        <f t="shared" ref="N93:N98" si="47">IF(H93=0,0,L93/H93)</f>
        <v>1.6344000000000001</v>
      </c>
      <c r="O93" s="14"/>
      <c r="P93" s="1">
        <f>SUM(OSRRefP22_10x_0)</f>
        <v>1423.36</v>
      </c>
      <c r="Q93" s="1"/>
      <c r="R93" s="5">
        <f t="shared" ref="R93:R98" si="48">IF(P$12=0,0,P93/P$12)</f>
        <v>9.2084780182943339E-4</v>
      </c>
      <c r="S93" s="1"/>
      <c r="T93" s="1">
        <f>SUM(OSRRefT22_10x_0)</f>
        <v>1200</v>
      </c>
      <c r="U93" s="1"/>
      <c r="V93" s="5">
        <f t="shared" ref="V93:V98" si="49">IF(T$12=0,0,T93/T$12)</f>
        <v>4.6695586800091525E-4</v>
      </c>
      <c r="W93" s="1"/>
      <c r="X93" s="1">
        <f t="shared" ref="X93:X98" si="50">+P93-T93</f>
        <v>223.3599999999999</v>
      </c>
      <c r="Y93" s="1"/>
      <c r="Z93" s="5">
        <f t="shared" ref="Z93:Z98" si="51">IF(T93=0,0,X93/T93)</f>
        <v>0.18613333333333326</v>
      </c>
    </row>
    <row r="94" spans="1:26" s="24" customFormat="1" hidden="1" outlineLevel="2" x14ac:dyDescent="0.25">
      <c r="A94" s="28"/>
      <c r="B94" s="11" t="str">
        <f>CONCATENATE("          ", "6258", " - ", "MEMBERSHIP DUES")</f>
        <v xml:space="preserve">          6258 - MEMBERSHIP DUES</v>
      </c>
      <c r="C94" s="11"/>
      <c r="D94" s="7">
        <v>790.32</v>
      </c>
      <c r="E94" s="2"/>
      <c r="F94" s="6">
        <f t="shared" si="44"/>
        <v>2.3120102131921963E-2</v>
      </c>
      <c r="G94" s="2"/>
      <c r="H94" s="7">
        <v>300</v>
      </c>
      <c r="I94" s="2"/>
      <c r="J94" s="6">
        <f t="shared" si="45"/>
        <v>6.5269890999282033E-3</v>
      </c>
      <c r="K94" s="2"/>
      <c r="L94" s="7">
        <f t="shared" si="46"/>
        <v>490.32000000000005</v>
      </c>
      <c r="M94" s="2"/>
      <c r="N94" s="6">
        <f t="shared" si="47"/>
        <v>1.6344000000000001</v>
      </c>
      <c r="O94" s="11"/>
      <c r="P94" s="7">
        <v>1423.36</v>
      </c>
      <c r="Q94" s="2"/>
      <c r="R94" s="6">
        <f t="shared" si="48"/>
        <v>9.2084780182943339E-4</v>
      </c>
      <c r="S94" s="2"/>
      <c r="T94" s="7">
        <v>1200</v>
      </c>
      <c r="U94" s="2"/>
      <c r="V94" s="6">
        <f t="shared" si="49"/>
        <v>4.6695586800091525E-4</v>
      </c>
      <c r="W94" s="2"/>
      <c r="X94" s="7">
        <f t="shared" si="50"/>
        <v>223.3599999999999</v>
      </c>
      <c r="Y94" s="2"/>
      <c r="Z94" s="6">
        <f t="shared" si="51"/>
        <v>0.18613333333333326</v>
      </c>
    </row>
    <row r="95" spans="1:26" s="27" customFormat="1" outlineLevel="1" collapsed="1" x14ac:dyDescent="0.25">
      <c r="A95" s="29"/>
      <c r="B95" s="14" t="str">
        <f>CONCATENATE("     ","Supplies                                          ")</f>
        <v xml:space="preserve">     Supplies                                          </v>
      </c>
      <c r="C95" s="14"/>
      <c r="D95" s="1">
        <f>SUM(OSRRefD22_11x_0)</f>
        <v>146.28</v>
      </c>
      <c r="E95" s="1"/>
      <c r="F95" s="5">
        <f t="shared" si="44"/>
        <v>4.2792900848485985E-3</v>
      </c>
      <c r="G95" s="1"/>
      <c r="H95" s="1">
        <f>SUM(OSRRefH22_11x_0)</f>
        <v>600</v>
      </c>
      <c r="I95" s="1"/>
      <c r="J95" s="5">
        <f t="shared" si="45"/>
        <v>1.3053978199856407E-2</v>
      </c>
      <c r="K95" s="1"/>
      <c r="L95" s="1">
        <f t="shared" si="46"/>
        <v>-453.72</v>
      </c>
      <c r="M95" s="1"/>
      <c r="N95" s="5">
        <f t="shared" si="47"/>
        <v>-0.75620000000000009</v>
      </c>
      <c r="O95" s="14"/>
      <c r="P95" s="1">
        <f>SUM(OSRRefP22_11x_0)</f>
        <v>1235.25</v>
      </c>
      <c r="Q95" s="1"/>
      <c r="R95" s="5">
        <f t="shared" si="48"/>
        <v>7.9914936994843731E-4</v>
      </c>
      <c r="S95" s="1"/>
      <c r="T95" s="1">
        <f>SUM(OSRRefT22_11x_0)</f>
        <v>4600</v>
      </c>
      <c r="U95" s="1"/>
      <c r="V95" s="5">
        <f t="shared" si="49"/>
        <v>1.7899974940035084E-3</v>
      </c>
      <c r="W95" s="1"/>
      <c r="X95" s="1">
        <f t="shared" si="50"/>
        <v>-3364.75</v>
      </c>
      <c r="Y95" s="1"/>
      <c r="Z95" s="5">
        <f t="shared" si="51"/>
        <v>-0.73146739130434779</v>
      </c>
    </row>
    <row r="96" spans="1:26" s="24" customFormat="1" hidden="1" outlineLevel="2" x14ac:dyDescent="0.25">
      <c r="A96" s="28"/>
      <c r="B96" s="11" t="str">
        <f>CONCATENATE("          ", "6241", " - ", "OFFICE EXPENSE")</f>
        <v xml:space="preserve">          6241 - OFFICE EXPENSE</v>
      </c>
      <c r="C96" s="11"/>
      <c r="D96" s="7">
        <v>146.28</v>
      </c>
      <c r="E96" s="2"/>
      <c r="F96" s="6">
        <f t="shared" si="44"/>
        <v>4.2792900848485985E-3</v>
      </c>
      <c r="G96" s="2"/>
      <c r="H96" s="7">
        <v>300</v>
      </c>
      <c r="I96" s="2"/>
      <c r="J96" s="6">
        <f t="shared" si="45"/>
        <v>6.5269890999282033E-3</v>
      </c>
      <c r="K96" s="2"/>
      <c r="L96" s="7">
        <f t="shared" si="46"/>
        <v>-153.72</v>
      </c>
      <c r="M96" s="2"/>
      <c r="N96" s="6">
        <f t="shared" si="47"/>
        <v>-0.51239999999999997</v>
      </c>
      <c r="O96" s="11"/>
      <c r="P96" s="7">
        <v>602.15</v>
      </c>
      <c r="Q96" s="2"/>
      <c r="R96" s="6">
        <f t="shared" si="48"/>
        <v>3.8956307882165677E-4</v>
      </c>
      <c r="S96" s="2"/>
      <c r="T96" s="7">
        <v>1500</v>
      </c>
      <c r="U96" s="2"/>
      <c r="V96" s="6">
        <f t="shared" si="49"/>
        <v>5.8369483500114402E-4</v>
      </c>
      <c r="W96" s="2"/>
      <c r="X96" s="7">
        <f t="shared" si="50"/>
        <v>-897.85</v>
      </c>
      <c r="Y96" s="2"/>
      <c r="Z96" s="6">
        <f t="shared" si="51"/>
        <v>-0.59856666666666669</v>
      </c>
    </row>
    <row r="97" spans="1:26" s="24" customFormat="1" hidden="1" outlineLevel="2" x14ac:dyDescent="0.25">
      <c r="A97" s="28"/>
      <c r="B97" s="11" t="str">
        <f>CONCATENATE("          ", "6245", " - ", "PRINTING")</f>
        <v xml:space="preserve">          6245 - PRINTING</v>
      </c>
      <c r="C97" s="11"/>
      <c r="D97" s="7"/>
      <c r="E97" s="2"/>
      <c r="F97" s="6">
        <f t="shared" si="44"/>
        <v>0</v>
      </c>
      <c r="G97" s="2"/>
      <c r="H97" s="7">
        <v>100</v>
      </c>
      <c r="I97" s="2"/>
      <c r="J97" s="6">
        <f t="shared" si="45"/>
        <v>2.1756630333094012E-3</v>
      </c>
      <c r="K97" s="2"/>
      <c r="L97" s="7">
        <f t="shared" si="46"/>
        <v>-100</v>
      </c>
      <c r="M97" s="2"/>
      <c r="N97" s="6">
        <f t="shared" si="47"/>
        <v>-1</v>
      </c>
      <c r="O97" s="11"/>
      <c r="P97" s="7"/>
      <c r="Q97" s="2"/>
      <c r="R97" s="6">
        <f t="shared" si="48"/>
        <v>0</v>
      </c>
      <c r="S97" s="2"/>
      <c r="T97" s="7">
        <v>700</v>
      </c>
      <c r="U97" s="2"/>
      <c r="V97" s="6">
        <f t="shared" si="49"/>
        <v>2.7239092300053387E-4</v>
      </c>
      <c r="W97" s="2"/>
      <c r="X97" s="7">
        <f t="shared" si="50"/>
        <v>-700</v>
      </c>
      <c r="Y97" s="2"/>
      <c r="Z97" s="6">
        <f t="shared" si="51"/>
        <v>-1</v>
      </c>
    </row>
    <row r="98" spans="1:26" s="24" customFormat="1" hidden="1" outlineLevel="2" x14ac:dyDescent="0.25">
      <c r="A98" s="28"/>
      <c r="B98" s="11" t="str">
        <f>CONCATENATE("          ", "6247", " - ", "STORE SUPPLIES")</f>
        <v xml:space="preserve">          6247 - STORE SUPPLIES</v>
      </c>
      <c r="C98" s="11"/>
      <c r="D98" s="7"/>
      <c r="E98" s="2"/>
      <c r="F98" s="6">
        <f t="shared" si="44"/>
        <v>0</v>
      </c>
      <c r="G98" s="2"/>
      <c r="H98" s="7">
        <v>200</v>
      </c>
      <c r="I98" s="2"/>
      <c r="J98" s="6">
        <f t="shared" si="45"/>
        <v>4.3513260666188025E-3</v>
      </c>
      <c r="K98" s="2"/>
      <c r="L98" s="7">
        <f t="shared" si="46"/>
        <v>-200</v>
      </c>
      <c r="M98" s="2"/>
      <c r="N98" s="6">
        <f t="shared" si="47"/>
        <v>-1</v>
      </c>
      <c r="O98" s="11"/>
      <c r="P98" s="7">
        <v>633.1</v>
      </c>
      <c r="Q98" s="2"/>
      <c r="R98" s="6">
        <f t="shared" si="48"/>
        <v>4.0958629112678054E-4</v>
      </c>
      <c r="S98" s="2"/>
      <c r="T98" s="7">
        <v>2400</v>
      </c>
      <c r="U98" s="2"/>
      <c r="V98" s="6">
        <f t="shared" si="49"/>
        <v>9.339117360018305E-4</v>
      </c>
      <c r="W98" s="2"/>
      <c r="X98" s="7">
        <f t="shared" si="50"/>
        <v>-1766.9</v>
      </c>
      <c r="Y98" s="2"/>
      <c r="Z98" s="6">
        <f t="shared" si="51"/>
        <v>-0.73620833333333335</v>
      </c>
    </row>
    <row r="99" spans="1:26" s="27" customFormat="1" outlineLevel="1" collapsed="1" x14ac:dyDescent="0.25">
      <c r="A99" s="29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SUM(OSRRefD22_12x_0)</f>
        <v>-634.45000000000005</v>
      </c>
      <c r="E99" s="1"/>
      <c r="F99" s="5">
        <f t="shared" ref="F99:F101" si="52">IF(D$12=0,0,D99/D$12)</f>
        <v>-1.8560265205989839E-2</v>
      </c>
      <c r="G99" s="1"/>
      <c r="H99" s="1">
        <f>SUM(OSRRefH22_12x_0)</f>
        <v>600</v>
      </c>
      <c r="I99" s="1"/>
      <c r="J99" s="5">
        <f t="shared" ref="J99:J101" si="53">IF(H$12=0,0,H99/H$12)</f>
        <v>1.3053978199856407E-2</v>
      </c>
      <c r="K99" s="1"/>
      <c r="L99" s="1">
        <f t="shared" ref="L99:L101" si="54">+D99-H99</f>
        <v>-1234.45</v>
      </c>
      <c r="M99" s="1"/>
      <c r="N99" s="5">
        <f t="shared" ref="N99:N101" si="55">IF(H99=0,0,L99/H99)</f>
        <v>-2.0574166666666667</v>
      </c>
      <c r="O99" s="14"/>
      <c r="P99" s="1">
        <f>SUM(OSRRefP22_12x_0)</f>
        <v>3233.85</v>
      </c>
      <c r="Q99" s="1"/>
      <c r="R99" s="5">
        <f t="shared" ref="R99:R101" si="56">IF(P$12=0,0,P99/P$12)</f>
        <v>2.0921507306276088E-3</v>
      </c>
      <c r="S99" s="1"/>
      <c r="T99" s="1">
        <f>SUM(OSRRefT22_12x_0)</f>
        <v>3900</v>
      </c>
      <c r="U99" s="1"/>
      <c r="V99" s="5">
        <f t="shared" ref="V99:V101" si="57">IF(T$12=0,0,T99/T$12)</f>
        <v>1.5176065710029744E-3</v>
      </c>
      <c r="W99" s="1"/>
      <c r="X99" s="1">
        <f t="shared" ref="X99:X101" si="58">+P99-T99</f>
        <v>-666.15000000000009</v>
      </c>
      <c r="Y99" s="1"/>
      <c r="Z99" s="5">
        <f t="shared" ref="Z99:Z101" si="59">IF(T99=0,0,X99/T99)</f>
        <v>-0.17080769230769233</v>
      </c>
    </row>
    <row r="100" spans="1:26" s="24" customFormat="1" hidden="1" outlineLevel="2" x14ac:dyDescent="0.25">
      <c r="A100" s="28"/>
      <c r="B100" s="11" t="str">
        <f>CONCATENATE("          ", "6303", " - ", "DATA PHONE LINES")</f>
        <v xml:space="preserve">          6303 - DATA PHONE LINES</v>
      </c>
      <c r="C100" s="11"/>
      <c r="D100" s="7"/>
      <c r="E100" s="2"/>
      <c r="F100" s="6">
        <f t="shared" si="52"/>
        <v>0</v>
      </c>
      <c r="G100" s="2"/>
      <c r="H100" s="7">
        <v>300</v>
      </c>
      <c r="I100" s="2"/>
      <c r="J100" s="6">
        <f t="shared" si="53"/>
        <v>6.5269890999282033E-3</v>
      </c>
      <c r="K100" s="2"/>
      <c r="L100" s="7">
        <f t="shared" si="54"/>
        <v>-300</v>
      </c>
      <c r="M100" s="2"/>
      <c r="N100" s="6">
        <f t="shared" si="55"/>
        <v>-1</v>
      </c>
      <c r="O100" s="11"/>
      <c r="P100" s="7">
        <v>1180</v>
      </c>
      <c r="Q100" s="2"/>
      <c r="R100" s="6">
        <f t="shared" si="56"/>
        <v>7.6340518643121312E-4</v>
      </c>
      <c r="S100" s="2"/>
      <c r="T100" s="7">
        <v>1200</v>
      </c>
      <c r="U100" s="2"/>
      <c r="V100" s="6">
        <f t="shared" si="57"/>
        <v>4.6695586800091525E-4</v>
      </c>
      <c r="W100" s="2"/>
      <c r="X100" s="7">
        <f t="shared" si="58"/>
        <v>-20</v>
      </c>
      <c r="Y100" s="2"/>
      <c r="Z100" s="6">
        <f t="shared" si="59"/>
        <v>-1.6666666666666666E-2</v>
      </c>
    </row>
    <row r="101" spans="1:26" s="24" customFormat="1" hidden="1" outlineLevel="2" x14ac:dyDescent="0.25">
      <c r="A101" s="28"/>
      <c r="B101" s="11" t="str">
        <f>CONCATENATE("          ", "6309", " - ", "TELEPHONE")</f>
        <v xml:space="preserve">          6309 - TELEPHONE</v>
      </c>
      <c r="C101" s="11"/>
      <c r="D101" s="7">
        <v>-634.45000000000005</v>
      </c>
      <c r="E101" s="2"/>
      <c r="F101" s="6">
        <f t="shared" si="52"/>
        <v>-1.8560265205989839E-2</v>
      </c>
      <c r="G101" s="2"/>
      <c r="H101" s="7">
        <v>300</v>
      </c>
      <c r="I101" s="2"/>
      <c r="J101" s="6">
        <f t="shared" si="53"/>
        <v>6.5269890999282033E-3</v>
      </c>
      <c r="K101" s="2"/>
      <c r="L101" s="7">
        <f t="shared" si="54"/>
        <v>-934.45</v>
      </c>
      <c r="M101" s="2"/>
      <c r="N101" s="6">
        <f t="shared" si="55"/>
        <v>-3.1148333333333333</v>
      </c>
      <c r="O101" s="11"/>
      <c r="P101" s="7">
        <v>2053.85</v>
      </c>
      <c r="Q101" s="2"/>
      <c r="R101" s="6">
        <f t="shared" si="56"/>
        <v>1.3287455441963957E-3</v>
      </c>
      <c r="S101" s="2"/>
      <c r="T101" s="7">
        <v>2700</v>
      </c>
      <c r="U101" s="2"/>
      <c r="V101" s="6">
        <f t="shared" si="57"/>
        <v>1.0506507030020593E-3</v>
      </c>
      <c r="W101" s="2"/>
      <c r="X101" s="7">
        <f t="shared" si="58"/>
        <v>-646.15000000000009</v>
      </c>
      <c r="Y101" s="2"/>
      <c r="Z101" s="6">
        <f t="shared" si="59"/>
        <v>-0.23931481481481484</v>
      </c>
    </row>
    <row r="102" spans="1:26" s="27" customFormat="1" outlineLevel="1" collapsed="1" x14ac:dyDescent="0.25">
      <c r="A102" s="29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SUM(OSRRefD22_13x_0)</f>
        <v>0</v>
      </c>
      <c r="E102" s="1"/>
      <c r="F102" s="5">
        <f t="shared" ref="F102:F103" si="60">IF(D$12=0,0,D102/D$12)</f>
        <v>0</v>
      </c>
      <c r="G102" s="1"/>
      <c r="H102" s="1">
        <f>SUM(OSRRefH22_13x_0)</f>
        <v>0</v>
      </c>
      <c r="I102" s="1"/>
      <c r="J102" s="5">
        <f t="shared" ref="J102:J103" si="61">IF(H$12=0,0,H102/H$12)</f>
        <v>0</v>
      </c>
      <c r="K102" s="1"/>
      <c r="L102" s="1">
        <f t="shared" ref="L102:L103" si="62">+D102-H102</f>
        <v>0</v>
      </c>
      <c r="M102" s="1"/>
      <c r="N102" s="5">
        <f t="shared" ref="N102:N103" si="63">IF(H102=0,0,L102/H102)</f>
        <v>0</v>
      </c>
      <c r="O102" s="14"/>
      <c r="P102" s="1">
        <f>SUM(OSRRefP22_13x_0)</f>
        <v>0.16</v>
      </c>
      <c r="Q102" s="1"/>
      <c r="R102" s="5">
        <f t="shared" ref="R102:R103" si="64">IF(P$12=0,0,P102/P$12)</f>
        <v>1.0351256765168992E-7</v>
      </c>
      <c r="S102" s="1"/>
      <c r="T102" s="1">
        <f>SUM(OSRRefT22_13x_0)</f>
        <v>0</v>
      </c>
      <c r="U102" s="1"/>
      <c r="V102" s="5">
        <f t="shared" ref="V102:V103" si="65">IF(T$12=0,0,T102/T$12)</f>
        <v>0</v>
      </c>
      <c r="W102" s="1"/>
      <c r="X102" s="1">
        <f t="shared" ref="X102:X103" si="66">+P102-T102</f>
        <v>0.16</v>
      </c>
      <c r="Y102" s="1"/>
      <c r="Z102" s="5">
        <f t="shared" ref="Z102:Z103" si="67">IF(T102=0,0,X102/T102)</f>
        <v>0</v>
      </c>
    </row>
    <row r="103" spans="1:26" s="24" customFormat="1" hidden="1" outlineLevel="2" x14ac:dyDescent="0.25">
      <c r="A103" s="28"/>
      <c r="B103" s="11" t="str">
        <f>CONCATENATE("          ", "6292", " - ", "TRAVEL/CONFERENCE")</f>
        <v xml:space="preserve">          6292 - TRAVEL/CONFERENCE</v>
      </c>
      <c r="C103" s="11"/>
      <c r="D103" s="7"/>
      <c r="E103" s="2"/>
      <c r="F103" s="6">
        <f t="shared" si="60"/>
        <v>0</v>
      </c>
      <c r="G103" s="2"/>
      <c r="H103" s="7"/>
      <c r="I103" s="2"/>
      <c r="J103" s="6">
        <f t="shared" si="61"/>
        <v>0</v>
      </c>
      <c r="K103" s="2"/>
      <c r="L103" s="7">
        <f t="shared" si="62"/>
        <v>0</v>
      </c>
      <c r="M103" s="2"/>
      <c r="N103" s="6">
        <f t="shared" si="63"/>
        <v>0</v>
      </c>
      <c r="O103" s="11"/>
      <c r="P103" s="7">
        <v>0.16</v>
      </c>
      <c r="Q103" s="2"/>
      <c r="R103" s="6">
        <f t="shared" si="64"/>
        <v>1.0351256765168992E-7</v>
      </c>
      <c r="S103" s="2"/>
      <c r="T103" s="7"/>
      <c r="U103" s="2"/>
      <c r="V103" s="6">
        <f t="shared" si="65"/>
        <v>0</v>
      </c>
      <c r="W103" s="2"/>
      <c r="X103" s="7">
        <f t="shared" si="66"/>
        <v>0.16</v>
      </c>
      <c r="Y103" s="2"/>
      <c r="Z103" s="6">
        <f t="shared" si="67"/>
        <v>0</v>
      </c>
    </row>
    <row r="104" spans="1:26" s="63" customFormat="1" x14ac:dyDescent="0.25">
      <c r="A104" s="36"/>
      <c r="B104" s="36"/>
      <c r="C104" s="36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6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25">
      <c r="A105" s="10"/>
      <c r="B105" s="25" t="s">
        <v>0</v>
      </c>
      <c r="C105" s="10"/>
      <c r="D105" s="4">
        <f>SUM(OSRRefD25x_0)</f>
        <v>267.40999999999997</v>
      </c>
      <c r="E105" s="4"/>
      <c r="F105" s="12">
        <f t="shared" ref="F105:F108" si="68">IF(D$12=0,0,D105/D$12)</f>
        <v>7.822839496782634E-3</v>
      </c>
      <c r="G105" s="4"/>
      <c r="H105" s="4">
        <f>SUM(OSRRefH25x_0)</f>
        <v>800</v>
      </c>
      <c r="I105" s="4"/>
      <c r="J105" s="12">
        <f t="shared" ref="J105:J108" si="69">IF(H$12=0,0,H105/H$12)</f>
        <v>1.740530426647521E-2</v>
      </c>
      <c r="K105" s="4"/>
      <c r="L105" s="4">
        <f t="shared" ref="L105:L108" si="70">+D105-H105</f>
        <v>-532.59</v>
      </c>
      <c r="M105" s="4"/>
      <c r="N105" s="12">
        <f t="shared" ref="N105:N108" si="71">IF(H105=0,0,L105/H105)</f>
        <v>-0.66573750000000009</v>
      </c>
      <c r="O105" s="10"/>
      <c r="P105" s="4">
        <f>SUM(OSRRefP25x_0)</f>
        <v>161168.19</v>
      </c>
      <c r="Q105" s="4"/>
      <c r="R105" s="12">
        <f t="shared" ref="R105:R108" si="72">IF(P$12=0,0,P105/P$12)</f>
        <v>0.10426833231672133</v>
      </c>
      <c r="S105" s="4"/>
      <c r="T105" s="4">
        <f>SUM(OSRRefT25x_0)</f>
        <v>102159</v>
      </c>
      <c r="U105" s="4"/>
      <c r="V105" s="12">
        <f t="shared" ref="V105:V108" si="73">IF(T$12=0,0,T105/T$12)</f>
        <v>3.9753120432587913E-2</v>
      </c>
      <c r="W105" s="4"/>
      <c r="X105" s="4">
        <f t="shared" ref="X105:X108" si="74">+P105-T105</f>
        <v>59009.19</v>
      </c>
      <c r="Y105" s="4"/>
      <c r="Z105" s="12">
        <f t="shared" ref="Z105:Z108" si="75">IF(T105=0,0,X105/T105)</f>
        <v>0.57762106128681767</v>
      </c>
    </row>
    <row r="106" spans="1:26" s="24" customFormat="1" hidden="1" outlineLevel="1" x14ac:dyDescent="0.25">
      <c r="A106" s="51"/>
      <c r="B106" s="11" t="str">
        <f>CONCATENATE("          ", "9150", " - ", "MISC. INCOME")</f>
        <v xml:space="preserve">          9150 - MISC. INCOME</v>
      </c>
      <c r="C106" s="11"/>
      <c r="D106" s="2">
        <f>--5.33</f>
        <v>5.33</v>
      </c>
      <c r="E106" s="2"/>
      <c r="F106" s="22">
        <f t="shared" si="68"/>
        <v>1.5592436527374234E-4</v>
      </c>
      <c r="G106" s="2"/>
      <c r="H106" s="2">
        <v>800</v>
      </c>
      <c r="I106" s="2"/>
      <c r="J106" s="22">
        <f t="shared" si="69"/>
        <v>1.740530426647521E-2</v>
      </c>
      <c r="K106" s="2"/>
      <c r="L106" s="2">
        <f t="shared" si="70"/>
        <v>-794.67</v>
      </c>
      <c r="M106" s="2"/>
      <c r="N106" s="22">
        <f t="shared" si="71"/>
        <v>-0.99333749999999998</v>
      </c>
      <c r="O106" s="11"/>
      <c r="P106" s="2">
        <f>--11531.78</f>
        <v>11531.78</v>
      </c>
      <c r="Q106" s="2"/>
      <c r="R106" s="22">
        <f t="shared" si="72"/>
        <v>7.4605259837150304E-3</v>
      </c>
      <c r="S106" s="2"/>
      <c r="T106" s="2">
        <v>9900</v>
      </c>
      <c r="U106" s="2"/>
      <c r="V106" s="22">
        <f t="shared" si="73"/>
        <v>3.8523859110075505E-3</v>
      </c>
      <c r="W106" s="2"/>
      <c r="X106" s="2">
        <f t="shared" si="74"/>
        <v>1631.7800000000007</v>
      </c>
      <c r="Y106" s="2"/>
      <c r="Z106" s="22">
        <f t="shared" si="75"/>
        <v>0.16482626262626268</v>
      </c>
    </row>
    <row r="107" spans="1:26" s="24" customFormat="1" hidden="1" outlineLevel="1" x14ac:dyDescent="0.25">
      <c r="A107" s="51"/>
      <c r="B107" s="11" t="str">
        <f>CONCATENATE("          ", "9151", " - ", "MISC. INCOME")</f>
        <v xml:space="preserve">          9151 - MISC. INCOME</v>
      </c>
      <c r="C107" s="11"/>
      <c r="D107" s="2">
        <f>0</f>
        <v>0</v>
      </c>
      <c r="E107" s="2"/>
      <c r="F107" s="22">
        <f t="shared" si="68"/>
        <v>0</v>
      </c>
      <c r="G107" s="2"/>
      <c r="H107" s="2"/>
      <c r="I107" s="2"/>
      <c r="J107" s="22">
        <f t="shared" si="69"/>
        <v>0</v>
      </c>
      <c r="K107" s="2"/>
      <c r="L107" s="2">
        <f t="shared" si="70"/>
        <v>0</v>
      </c>
      <c r="M107" s="2"/>
      <c r="N107" s="22">
        <f t="shared" si="71"/>
        <v>0</v>
      </c>
      <c r="O107" s="11"/>
      <c r="P107" s="2">
        <f>--147285.39</f>
        <v>147285.39000000001</v>
      </c>
      <c r="Q107" s="2"/>
      <c r="R107" s="22">
        <f t="shared" si="72"/>
        <v>9.5286805603003344E-2</v>
      </c>
      <c r="S107" s="2"/>
      <c r="T107" s="2">
        <v>92259</v>
      </c>
      <c r="U107" s="2"/>
      <c r="V107" s="22">
        <f t="shared" si="73"/>
        <v>3.5900734521580366E-2</v>
      </c>
      <c r="W107" s="2"/>
      <c r="X107" s="2">
        <f t="shared" si="74"/>
        <v>55026.390000000014</v>
      </c>
      <c r="Y107" s="2"/>
      <c r="Z107" s="22">
        <f t="shared" si="75"/>
        <v>0.59643384385263243</v>
      </c>
    </row>
    <row r="108" spans="1:26" s="24" customFormat="1" hidden="1" outlineLevel="1" x14ac:dyDescent="0.25">
      <c r="A108" s="51"/>
      <c r="B108" s="11" t="str">
        <f>CONCATENATE("          ", "9152", " - ", "MISC. INCOME")</f>
        <v xml:space="preserve">          9152 - MISC. INCOME</v>
      </c>
      <c r="C108" s="11"/>
      <c r="D108" s="2">
        <f>--262.08</f>
        <v>262.08</v>
      </c>
      <c r="E108" s="2"/>
      <c r="F108" s="22">
        <f t="shared" si="68"/>
        <v>7.6669151315088913E-3</v>
      </c>
      <c r="G108" s="2"/>
      <c r="H108" s="2"/>
      <c r="I108" s="2"/>
      <c r="J108" s="22">
        <f t="shared" si="69"/>
        <v>0</v>
      </c>
      <c r="K108" s="2"/>
      <c r="L108" s="2">
        <f t="shared" si="70"/>
        <v>262.08</v>
      </c>
      <c r="M108" s="2"/>
      <c r="N108" s="22">
        <f t="shared" si="71"/>
        <v>0</v>
      </c>
      <c r="O108" s="11"/>
      <c r="P108" s="2">
        <f>--2351.02</f>
        <v>2351.02</v>
      </c>
      <c r="Q108" s="2"/>
      <c r="R108" s="22">
        <f t="shared" si="72"/>
        <v>1.5210007300029752E-3</v>
      </c>
      <c r="S108" s="2"/>
      <c r="T108" s="2"/>
      <c r="U108" s="2"/>
      <c r="V108" s="22">
        <f t="shared" si="73"/>
        <v>0</v>
      </c>
      <c r="W108" s="2"/>
      <c r="X108" s="2">
        <f t="shared" si="74"/>
        <v>2351.02</v>
      </c>
      <c r="Y108" s="2"/>
      <c r="Z108" s="22">
        <f t="shared" si="75"/>
        <v>0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6" t="s">
        <v>3</v>
      </c>
      <c r="C110" s="26"/>
      <c r="D110" s="20">
        <f>+D50-D52+D105</f>
        <v>-33057.159999999974</v>
      </c>
      <c r="E110" s="13"/>
      <c r="F110" s="19">
        <f>IF(D$12=0,0,D110/D$12)</f>
        <v>-0.96705754047890069</v>
      </c>
      <c r="G110" s="13"/>
      <c r="H110" s="20">
        <f>+H50-H52+H105</f>
        <v>-33557.813717326942</v>
      </c>
      <c r="I110" s="13"/>
      <c r="J110" s="19">
        <f>IF(H$12=0,0,H110/H$12)</f>
        <v>-0.73010494783471358</v>
      </c>
      <c r="K110" s="15"/>
      <c r="L110" s="20">
        <f>+D110-H110</f>
        <v>500.65371732696804</v>
      </c>
      <c r="M110" s="15"/>
      <c r="N110" s="19">
        <f>IF(H110=0,0,L110/H110)</f>
        <v>-1.4919139892253021E-2</v>
      </c>
      <c r="O110" s="25"/>
      <c r="P110" s="20">
        <f>+P50-P52+P105</f>
        <v>430439.55999999976</v>
      </c>
      <c r="Q110" s="13"/>
      <c r="R110" s="19">
        <f>IF(P$12=0,0,P110/P$12)</f>
        <v>0.27847440046539762</v>
      </c>
      <c r="S110" s="13"/>
      <c r="T110" s="20">
        <f>+T50-T52+T105</f>
        <v>580437.94786762306</v>
      </c>
      <c r="U110" s="13"/>
      <c r="V110" s="19">
        <f>IF(T$12=0,0,T110/T$12)</f>
        <v>0.2258657548059966</v>
      </c>
      <c r="W110" s="15"/>
      <c r="X110" s="20">
        <f>+P110-T110</f>
        <v>-149998.3878676233</v>
      </c>
      <c r="Y110" s="15"/>
      <c r="Z110" s="19">
        <f>IF(T110=0,0,X110/T110)</f>
        <v>-0.25842277959026988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2"/>
      <c r="B112" s="10" t="s">
        <v>14</v>
      </c>
      <c r="C112" s="10"/>
      <c r="D112" s="4">
        <v>54816.07</v>
      </c>
      <c r="E112" s="4"/>
      <c r="F112" s="12">
        <f>IF(D$12=0,0,D112/D$12)</f>
        <v>1.6035949196155779</v>
      </c>
      <c r="G112" s="4"/>
      <c r="H112" s="4">
        <v>55851</v>
      </c>
      <c r="I112" s="4"/>
      <c r="J112" s="12">
        <f>IF(H$12=0,0,H112/H$12)</f>
        <v>1.2151295607336337</v>
      </c>
      <c r="K112" s="4"/>
      <c r="L112" s="4">
        <f>+D112-H112</f>
        <v>-1034.9300000000003</v>
      </c>
      <c r="M112" s="4"/>
      <c r="N112" s="12">
        <f>IF(H112=0,0,L112/H112)</f>
        <v>-1.8530196415462576E-2</v>
      </c>
      <c r="O112" s="10"/>
      <c r="P112" s="4">
        <v>334833.21000000002</v>
      </c>
      <c r="Q112" s="4"/>
      <c r="R112" s="12">
        <f>IF(P$12=0,0,P112/P$12)</f>
        <v>0.21662153313848437</v>
      </c>
      <c r="S112" s="4"/>
      <c r="T112" s="4">
        <v>420733</v>
      </c>
      <c r="U112" s="4"/>
      <c r="V112" s="12">
        <f>IF(T$12=0,0,T112/T$12)</f>
        <v>0.16371978600969089</v>
      </c>
      <c r="W112" s="4"/>
      <c r="X112" s="4">
        <f>+P112-T112</f>
        <v>-85899.789999999979</v>
      </c>
      <c r="Y112" s="4"/>
      <c r="Z112" s="12">
        <f>IF(T112=0,0,X112/T112)</f>
        <v>-0.20416698951591622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4</v>
      </c>
      <c r="C114" s="26"/>
      <c r="D114" s="34">
        <f>+D110-D112</f>
        <v>-87873.229999999981</v>
      </c>
      <c r="E114" s="13"/>
      <c r="F114" s="35">
        <f>IF(D$12=0,0,D114/D$12)</f>
        <v>-2.5706524600944785</v>
      </c>
      <c r="G114" s="13"/>
      <c r="H114" s="34">
        <f>+H110-H112</f>
        <v>-89408.813717326935</v>
      </c>
      <c r="I114" s="13"/>
      <c r="J114" s="35">
        <f>IF(H$12=0,0,H114/H$12)</f>
        <v>-1.9452345085683471</v>
      </c>
      <c r="K114" s="15"/>
      <c r="L114" s="34">
        <f>D114-H114</f>
        <v>1535.5837173269538</v>
      </c>
      <c r="M114" s="15"/>
      <c r="N114" s="35">
        <f>IF(H114=0,0,L114/H114)</f>
        <v>-1.7174858422591577E-2</v>
      </c>
      <c r="O114" s="25"/>
      <c r="P114" s="34">
        <f>+P110-P112</f>
        <v>95606.349999999744</v>
      </c>
      <c r="Q114" s="13"/>
      <c r="R114" s="35">
        <f>IF(P$12=0,0,P114/P$12)</f>
        <v>6.1852867326913238E-2</v>
      </c>
      <c r="S114" s="13"/>
      <c r="T114" s="34">
        <f>+T110-T112</f>
        <v>159704.94786762306</v>
      </c>
      <c r="U114" s="13"/>
      <c r="V114" s="35">
        <f>IF(T$12=0,0,T114/T$12)</f>
        <v>6.2145968796305705E-2</v>
      </c>
      <c r="W114" s="15"/>
      <c r="X114" s="34">
        <f>P114-T114</f>
        <v>-64098.597867623321</v>
      </c>
      <c r="Y114" s="15"/>
      <c r="Z114" s="35">
        <f>IF(T114=0,0,X114/T114)</f>
        <v>-0.40135636824948995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6" t="s">
        <v>5</v>
      </c>
      <c r="C117" s="26"/>
      <c r="D117" s="30">
        <f>SUM(D114:D116)</f>
        <v>-87873.229999999981</v>
      </c>
      <c r="E117" s="13"/>
      <c r="F117" s="32">
        <f>IF(D$12=0,0,D117/D$12)</f>
        <v>-2.5706524600944785</v>
      </c>
      <c r="G117" s="13"/>
      <c r="H117" s="30">
        <f>SUM(H114:H116)</f>
        <v>-89408.813717326935</v>
      </c>
      <c r="I117" s="13"/>
      <c r="J117" s="32">
        <f>IF(H$12=0,0,H117/H$12)</f>
        <v>-1.9452345085683471</v>
      </c>
      <c r="K117" s="15"/>
      <c r="L117" s="30">
        <f>+D117-H117</f>
        <v>1535.5837173269538</v>
      </c>
      <c r="M117" s="15"/>
      <c r="N117" s="32">
        <f>IF(H117=0,0,L117/H117)</f>
        <v>-1.7174858422591577E-2</v>
      </c>
      <c r="O117" s="25"/>
      <c r="P117" s="30">
        <f>SUM(P114:P116)</f>
        <v>95606.349999999744</v>
      </c>
      <c r="Q117" s="13"/>
      <c r="R117" s="32">
        <f>IF(P$12=0,0,P117/P$12)</f>
        <v>6.1852867326913238E-2</v>
      </c>
      <c r="S117" s="13"/>
      <c r="T117" s="30">
        <f>SUM(T114:T116)</f>
        <v>159704.94786762306</v>
      </c>
      <c r="U117" s="13"/>
      <c r="V117" s="32">
        <f>IF(T$12=0,0,T117/T$12)</f>
        <v>6.2145968796305705E-2</v>
      </c>
      <c r="W117" s="15"/>
      <c r="X117" s="30">
        <f>+P117-T117</f>
        <v>-64098.597867623321</v>
      </c>
      <c r="Y117" s="15"/>
      <c r="Z117" s="32">
        <f>IF(T117=0,0,X117/T117)</f>
        <v>-0.40135636824948995</v>
      </c>
    </row>
    <row r="118" spans="1:26" ht="15.75" thickTop="1" x14ac:dyDescent="0.25">
      <c r="A118" s="9"/>
      <c r="C118" s="9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60">
        <v>44151.567809571759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A120" s="9"/>
      <c r="B120" s="58" t="s">
        <v>314</v>
      </c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53"/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","311", " - ", "Textbooks")</f>
        <v>Department 311 - Textbooks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31874.179999999997</v>
      </c>
      <c r="E12" s="4"/>
      <c r="F12" s="12"/>
      <c r="G12" s="4"/>
      <c r="H12" s="4">
        <f>SUM(OSRRefH13x_0)</f>
        <v>35848</v>
      </c>
      <c r="I12" s="4"/>
      <c r="J12" s="12"/>
      <c r="K12" s="4"/>
      <c r="L12" s="4">
        <f t="shared" ref="L12:L32" si="0">+D12-H12</f>
        <v>-3973.8200000000033</v>
      </c>
      <c r="M12" s="4"/>
      <c r="N12" s="12">
        <f t="shared" ref="N12:N32" si="1">IF(H12=0,0,L12/H12)</f>
        <v>-0.11085193037268476</v>
      </c>
      <c r="O12" s="10"/>
      <c r="P12" s="4">
        <f>SUM(OSRRefP13x_0)</f>
        <v>1075665.5799999996</v>
      </c>
      <c r="Q12" s="4"/>
      <c r="R12" s="12"/>
      <c r="S12" s="4"/>
      <c r="T12" s="4">
        <f>SUM(OSRRefT13x_0)</f>
        <v>1758681</v>
      </c>
      <c r="U12" s="4"/>
      <c r="V12" s="12"/>
      <c r="W12" s="4"/>
      <c r="X12" s="4">
        <f t="shared" ref="X12:X32" si="2">+P12-T12</f>
        <v>-683015.42000000039</v>
      </c>
      <c r="Y12" s="4"/>
      <c r="Z12" s="12">
        <f t="shared" ref="Z12:Z32" si="3">IF(T12=0,0,X12/T12)</f>
        <v>-0.38836799851707071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-1377.28</f>
        <v>-1377.28</v>
      </c>
      <c r="E13" s="2"/>
      <c r="F13" s="22"/>
      <c r="G13" s="2"/>
      <c r="H13" s="2">
        <v>35848</v>
      </c>
      <c r="I13" s="2"/>
      <c r="J13" s="22"/>
      <c r="K13" s="2"/>
      <c r="L13" s="2">
        <f t="shared" si="0"/>
        <v>-37225.279999999999</v>
      </c>
      <c r="M13" s="2"/>
      <c r="N13" s="22">
        <f t="shared" si="1"/>
        <v>-1.0384199955367106</v>
      </c>
      <c r="O13" s="11"/>
      <c r="P13" s="2">
        <f>-6370.82</f>
        <v>-6370.82</v>
      </c>
      <c r="Q13" s="2"/>
      <c r="R13" s="22"/>
      <c r="S13" s="2"/>
      <c r="T13" s="2">
        <v>1758681</v>
      </c>
      <c r="U13" s="2"/>
      <c r="V13" s="22"/>
      <c r="W13" s="2"/>
      <c r="X13" s="2">
        <f t="shared" si="2"/>
        <v>-1765051.82</v>
      </c>
      <c r="Y13" s="2"/>
      <c r="Z13" s="22">
        <f t="shared" si="3"/>
        <v>-1.0036224989068512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--16356.63</f>
        <v>16356.63</v>
      </c>
      <c r="E14" s="2"/>
      <c r="F14" s="22"/>
      <c r="G14" s="2"/>
      <c r="H14" s="2"/>
      <c r="I14" s="2"/>
      <c r="J14" s="22"/>
      <c r="K14" s="2"/>
      <c r="L14" s="2">
        <f t="shared" si="0"/>
        <v>16356.63</v>
      </c>
      <c r="M14" s="2"/>
      <c r="N14" s="22">
        <f t="shared" si="1"/>
        <v>0</v>
      </c>
      <c r="O14" s="11"/>
      <c r="P14" s="2">
        <f>--540098.61</f>
        <v>540098.61</v>
      </c>
      <c r="Q14" s="2"/>
      <c r="R14" s="22"/>
      <c r="S14" s="2"/>
      <c r="T14" s="2"/>
      <c r="U14" s="2"/>
      <c r="V14" s="22"/>
      <c r="W14" s="2"/>
      <c r="X14" s="2">
        <f t="shared" si="2"/>
        <v>540098.61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--1584.65</f>
        <v>1584.65</v>
      </c>
      <c r="E15" s="2"/>
      <c r="F15" s="22"/>
      <c r="G15" s="2"/>
      <c r="H15" s="2"/>
      <c r="I15" s="2"/>
      <c r="J15" s="22"/>
      <c r="K15" s="2"/>
      <c r="L15" s="2">
        <f t="shared" si="0"/>
        <v>1584.65</v>
      </c>
      <c r="M15" s="2"/>
      <c r="N15" s="22">
        <f t="shared" si="1"/>
        <v>0</v>
      </c>
      <c r="O15" s="11"/>
      <c r="P15" s="2">
        <f>--185807.84</f>
        <v>185807.84</v>
      </c>
      <c r="Q15" s="2"/>
      <c r="R15" s="22"/>
      <c r="S15" s="2"/>
      <c r="T15" s="2"/>
      <c r="U15" s="2"/>
      <c r="V15" s="22"/>
      <c r="W15" s="2"/>
      <c r="X15" s="2">
        <f t="shared" si="2"/>
        <v>185807.84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--70</f>
        <v>70</v>
      </c>
      <c r="E16" s="2"/>
      <c r="F16" s="22"/>
      <c r="G16" s="2"/>
      <c r="H16" s="2"/>
      <c r="I16" s="2"/>
      <c r="J16" s="22"/>
      <c r="K16" s="2"/>
      <c r="L16" s="2">
        <f t="shared" si="0"/>
        <v>70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--354.45</f>
        <v>354.45</v>
      </c>
      <c r="E17" s="2"/>
      <c r="F17" s="22"/>
      <c r="G17" s="2"/>
      <c r="H17" s="2"/>
      <c r="I17" s="2"/>
      <c r="J17" s="22"/>
      <c r="K17" s="2"/>
      <c r="L17" s="2">
        <f t="shared" si="0"/>
        <v>354.45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--157.47</f>
        <v>157.47</v>
      </c>
      <c r="E18" s="2"/>
      <c r="F18" s="22"/>
      <c r="G18" s="2"/>
      <c r="H18" s="2"/>
      <c r="I18" s="2"/>
      <c r="J18" s="22"/>
      <c r="K18" s="2"/>
      <c r="L18" s="2">
        <f t="shared" si="0"/>
        <v>157.47</v>
      </c>
      <c r="M18" s="2"/>
      <c r="N18" s="22">
        <f t="shared" si="1"/>
        <v>0</v>
      </c>
      <c r="O18" s="11"/>
      <c r="P18" s="2">
        <f>--197.37</f>
        <v>197.37</v>
      </c>
      <c r="Q18" s="2"/>
      <c r="R18" s="22"/>
      <c r="S18" s="2"/>
      <c r="T18" s="2"/>
      <c r="U18" s="2"/>
      <c r="V18" s="22"/>
      <c r="W18" s="2"/>
      <c r="X18" s="2">
        <f t="shared" si="2"/>
        <v>197.37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</f>
        <v>35.799999999999997</v>
      </c>
      <c r="E19" s="2"/>
      <c r="F19" s="22"/>
      <c r="G19" s="2"/>
      <c r="H19" s="2"/>
      <c r="I19" s="2"/>
      <c r="J19" s="22"/>
      <c r="K19" s="2"/>
      <c r="L19" s="2">
        <f t="shared" si="0"/>
        <v>35.799999999999997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0</f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"4101", " - ", "NON-TAXABLE SALES-NEW TEXT")</f>
        <v xml:space="preserve">          4101 - NON-TAXABLE SALES-NEW TEXT</v>
      </c>
      <c r="C21" s="11"/>
      <c r="D21" s="2">
        <f>--7260.05</f>
        <v>7260.05</v>
      </c>
      <c r="E21" s="2"/>
      <c r="F21" s="22"/>
      <c r="G21" s="2"/>
      <c r="H21" s="2"/>
      <c r="I21" s="2"/>
      <c r="J21" s="22"/>
      <c r="K21" s="2"/>
      <c r="L21" s="2">
        <f t="shared" si="0"/>
        <v>7260.05</v>
      </c>
      <c r="M21" s="2"/>
      <c r="N21" s="22">
        <f t="shared" si="1"/>
        <v>0</v>
      </c>
      <c r="O21" s="11"/>
      <c r="P21" s="2">
        <f>--77664.89</f>
        <v>77664.89</v>
      </c>
      <c r="Q21" s="2"/>
      <c r="R21" s="22"/>
      <c r="S21" s="2"/>
      <c r="T21" s="2"/>
      <c r="U21" s="2"/>
      <c r="V21" s="22"/>
      <c r="W21" s="2"/>
      <c r="X21" s="2">
        <f t="shared" si="2"/>
        <v>77664.89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"4102", " - ", "NON-TAXABLE SALES-USED TEXT")</f>
        <v xml:space="preserve">          4102 - NON-TAXABLE SALES-USED TEXT</v>
      </c>
      <c r="C22" s="11"/>
      <c r="D22" s="2">
        <f>--2341.65</f>
        <v>2341.65</v>
      </c>
      <c r="E22" s="2"/>
      <c r="F22" s="22"/>
      <c r="G22" s="2"/>
      <c r="H22" s="2"/>
      <c r="I22" s="2"/>
      <c r="J22" s="22"/>
      <c r="K22" s="2"/>
      <c r="L22" s="2">
        <f t="shared" si="0"/>
        <v>2341.65</v>
      </c>
      <c r="M22" s="2"/>
      <c r="N22" s="22">
        <f t="shared" si="1"/>
        <v>0</v>
      </c>
      <c r="O22" s="11"/>
      <c r="P22" s="2">
        <f>--32712.47</f>
        <v>32712.47</v>
      </c>
      <c r="Q22" s="2"/>
      <c r="R22" s="22"/>
      <c r="S22" s="2"/>
      <c r="T22" s="2"/>
      <c r="U22" s="2"/>
      <c r="V22" s="22"/>
      <c r="W22" s="2"/>
      <c r="X22" s="2">
        <f t="shared" si="2"/>
        <v>32712.47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--284.97</f>
        <v>284.97000000000003</v>
      </c>
      <c r="Q23" s="2"/>
      <c r="R23" s="22"/>
      <c r="S23" s="2"/>
      <c r="T23" s="2"/>
      <c r="U23" s="2"/>
      <c r="V23" s="22"/>
      <c r="W23" s="2"/>
      <c r="X23" s="2">
        <f t="shared" si="2"/>
        <v>284.97000000000003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--6767.67</f>
        <v>6767.67</v>
      </c>
      <c r="E24" s="2"/>
      <c r="F24" s="22"/>
      <c r="G24" s="2"/>
      <c r="H24" s="2"/>
      <c r="I24" s="2"/>
      <c r="J24" s="22"/>
      <c r="K24" s="2"/>
      <c r="L24" s="2">
        <f t="shared" si="0"/>
        <v>6767.67</v>
      </c>
      <c r="M24" s="2"/>
      <c r="N24" s="22">
        <f t="shared" si="1"/>
        <v>0</v>
      </c>
      <c r="O24" s="11"/>
      <c r="P24" s="2">
        <f>--293475.52</f>
        <v>293475.52</v>
      </c>
      <c r="Q24" s="2"/>
      <c r="R24" s="22"/>
      <c r="S24" s="2"/>
      <c r="T24" s="2"/>
      <c r="U24" s="2"/>
      <c r="V24" s="22"/>
      <c r="W24" s="2"/>
      <c r="X24" s="2">
        <f t="shared" si="2"/>
        <v>293475.52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--1655.95</f>
        <v>1655.95</v>
      </c>
      <c r="E25" s="2"/>
      <c r="F25" s="22"/>
      <c r="G25" s="2"/>
      <c r="H25" s="2"/>
      <c r="I25" s="2"/>
      <c r="J25" s="22"/>
      <c r="K25" s="2"/>
      <c r="L25" s="2">
        <f t="shared" si="0"/>
        <v>1655.95</v>
      </c>
      <c r="M25" s="2"/>
      <c r="N25" s="22">
        <f t="shared" si="1"/>
        <v>0</v>
      </c>
      <c r="O25" s="11"/>
      <c r="P25" s="2">
        <f>--1655.95</f>
        <v>1655.95</v>
      </c>
      <c r="Q25" s="2"/>
      <c r="R25" s="22"/>
      <c r="S25" s="2"/>
      <c r="T25" s="2"/>
      <c r="U25" s="2"/>
      <c r="V25" s="22"/>
      <c r="W25" s="2"/>
      <c r="X25" s="2">
        <f t="shared" si="2"/>
        <v>1655.95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--97.3</f>
        <v>97.3</v>
      </c>
      <c r="E26" s="2"/>
      <c r="F26" s="22"/>
      <c r="G26" s="2"/>
      <c r="H26" s="2"/>
      <c r="I26" s="2"/>
      <c r="J26" s="22"/>
      <c r="K26" s="2"/>
      <c r="L26" s="2">
        <f t="shared" si="0"/>
        <v>97.3</v>
      </c>
      <c r="M26" s="2"/>
      <c r="N26" s="22">
        <f t="shared" si="1"/>
        <v>0</v>
      </c>
      <c r="O26" s="11"/>
      <c r="P26" s="2">
        <f>--205.63</f>
        <v>205.63</v>
      </c>
      <c r="Q26" s="2"/>
      <c r="R26" s="22"/>
      <c r="S26" s="2"/>
      <c r="T26" s="2"/>
      <c r="U26" s="2"/>
      <c r="V26" s="22"/>
      <c r="W26" s="2"/>
      <c r="X26" s="2">
        <f t="shared" si="2"/>
        <v>205.63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-1512.25</f>
        <v>-1512.25</v>
      </c>
      <c r="E27" s="2"/>
      <c r="F27" s="22"/>
      <c r="G27" s="2"/>
      <c r="H27" s="2"/>
      <c r="I27" s="2"/>
      <c r="J27" s="22"/>
      <c r="K27" s="2"/>
      <c r="L27" s="2">
        <f t="shared" si="0"/>
        <v>-1512.25</v>
      </c>
      <c r="M27" s="2"/>
      <c r="N27" s="22">
        <f t="shared" si="1"/>
        <v>0</v>
      </c>
      <c r="O27" s="11"/>
      <c r="P27" s="2">
        <f>-33761.24</f>
        <v>-33761.24</v>
      </c>
      <c r="Q27" s="2"/>
      <c r="R27" s="22"/>
      <c r="S27" s="2"/>
      <c r="T27" s="2"/>
      <c r="U27" s="2"/>
      <c r="V27" s="22"/>
      <c r="W27" s="2"/>
      <c r="X27" s="2">
        <f t="shared" si="2"/>
        <v>-33761.24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-136.05</f>
        <v>-136.05000000000001</v>
      </c>
      <c r="E28" s="2"/>
      <c r="F28" s="22"/>
      <c r="G28" s="2"/>
      <c r="H28" s="2"/>
      <c r="I28" s="2"/>
      <c r="J28" s="22"/>
      <c r="K28" s="2"/>
      <c r="L28" s="2">
        <f t="shared" si="0"/>
        <v>-136.05000000000001</v>
      </c>
      <c r="M28" s="2"/>
      <c r="N28" s="22">
        <f t="shared" si="1"/>
        <v>0</v>
      </c>
      <c r="O28" s="11"/>
      <c r="P28" s="2">
        <f>-10529</f>
        <v>-10529</v>
      </c>
      <c r="Q28" s="2"/>
      <c r="R28" s="22"/>
      <c r="S28" s="2"/>
      <c r="T28" s="2"/>
      <c r="U28" s="2"/>
      <c r="V28" s="22"/>
      <c r="W28" s="2"/>
      <c r="X28" s="2">
        <f t="shared" si="2"/>
        <v>-10529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>-383.9</f>
        <v>-383.9</v>
      </c>
      <c r="E29" s="2"/>
      <c r="F29" s="22"/>
      <c r="G29" s="2"/>
      <c r="H29" s="2"/>
      <c r="I29" s="2"/>
      <c r="J29" s="22"/>
      <c r="K29" s="2"/>
      <c r="L29" s="2">
        <f t="shared" si="0"/>
        <v>-383.9</v>
      </c>
      <c r="M29" s="2"/>
      <c r="N29" s="22">
        <f t="shared" si="1"/>
        <v>0</v>
      </c>
      <c r="O29" s="11"/>
      <c r="P29" s="2">
        <f>-1630.85</f>
        <v>-1630.85</v>
      </c>
      <c r="Q29" s="2"/>
      <c r="R29" s="22"/>
      <c r="S29" s="2"/>
      <c r="T29" s="2"/>
      <c r="U29" s="2"/>
      <c r="V29" s="22"/>
      <c r="W29" s="2"/>
      <c r="X29" s="2">
        <f t="shared" si="2"/>
        <v>-1630.85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"4301", " - ", "SALES RETURN NON TAXABLE-NEW T")</f>
        <v xml:space="preserve">          4301 - SALES RETURN NON TAXABLE-NEW T</v>
      </c>
      <c r="C30" s="11"/>
      <c r="D30" s="2">
        <f>-535.49</f>
        <v>-535.49</v>
      </c>
      <c r="E30" s="2"/>
      <c r="F30" s="22"/>
      <c r="G30" s="2"/>
      <c r="H30" s="2"/>
      <c r="I30" s="2"/>
      <c r="J30" s="22"/>
      <c r="K30" s="2"/>
      <c r="L30" s="2">
        <f t="shared" si="0"/>
        <v>-535.49</v>
      </c>
      <c r="M30" s="2"/>
      <c r="N30" s="22">
        <f t="shared" si="1"/>
        <v>0</v>
      </c>
      <c r="O30" s="11"/>
      <c r="P30" s="2">
        <f>-2376.17</f>
        <v>-2376.17</v>
      </c>
      <c r="Q30" s="2"/>
      <c r="R30" s="22"/>
      <c r="S30" s="2"/>
      <c r="T30" s="2"/>
      <c r="U30" s="2"/>
      <c r="V30" s="22"/>
      <c r="W30" s="2"/>
      <c r="X30" s="2">
        <f t="shared" si="2"/>
        <v>-2376.17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"4302", " - ", "SALES RETURN NON TAXABLE-TEXT")</f>
        <v xml:space="preserve">          4302 - SALES RETURN NON TAXABLE-TEXT</v>
      </c>
      <c r="C31" s="11"/>
      <c r="D31" s="2">
        <f>-169.72</f>
        <v>-169.72</v>
      </c>
      <c r="E31" s="2"/>
      <c r="F31" s="22"/>
      <c r="G31" s="2"/>
      <c r="H31" s="2"/>
      <c r="I31" s="2"/>
      <c r="J31" s="22"/>
      <c r="K31" s="2"/>
      <c r="L31" s="2">
        <f t="shared" si="0"/>
        <v>-169.72</v>
      </c>
      <c r="M31" s="2"/>
      <c r="N31" s="22">
        <f t="shared" si="1"/>
        <v>0</v>
      </c>
      <c r="O31" s="11"/>
      <c r="P31" s="2">
        <f>-1316.8</f>
        <v>-1316.8</v>
      </c>
      <c r="Q31" s="2"/>
      <c r="R31" s="22"/>
      <c r="S31" s="2"/>
      <c r="T31" s="2"/>
      <c r="U31" s="2"/>
      <c r="V31" s="22"/>
      <c r="W31" s="2"/>
      <c r="X31" s="2">
        <f t="shared" si="2"/>
        <v>-1316.8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"4304", " - ", "SALES RETURN NON TAXABLE-DIGIT")</f>
        <v xml:space="preserve">          4304 - SALES RETURN NON TAXABLE-DIGIT</v>
      </c>
      <c r="C32" s="11"/>
      <c r="D32" s="2">
        <f>-692.75</f>
        <v>-692.75</v>
      </c>
      <c r="E32" s="2"/>
      <c r="F32" s="22"/>
      <c r="G32" s="2"/>
      <c r="H32" s="2"/>
      <c r="I32" s="2"/>
      <c r="J32" s="22"/>
      <c r="K32" s="2"/>
      <c r="L32" s="2">
        <f t="shared" si="0"/>
        <v>-692.75</v>
      </c>
      <c r="M32" s="2"/>
      <c r="N32" s="22">
        <f t="shared" si="1"/>
        <v>0</v>
      </c>
      <c r="O32" s="11"/>
      <c r="P32" s="2">
        <f>-14102.11</f>
        <v>-14102.11</v>
      </c>
      <c r="Q32" s="2"/>
      <c r="R32" s="22"/>
      <c r="S32" s="2"/>
      <c r="T32" s="2"/>
      <c r="U32" s="2"/>
      <c r="V32" s="22"/>
      <c r="W32" s="2"/>
      <c r="X32" s="2">
        <f t="shared" si="2"/>
        <v>-14102.11</v>
      </c>
      <c r="Y32" s="2"/>
      <c r="Z32" s="22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5" t="s">
        <v>8</v>
      </c>
      <c r="C34" s="10"/>
      <c r="D34" s="4">
        <f>SUM(OSRRefD16x_0)</f>
        <v>24961.999999999985</v>
      </c>
      <c r="E34" s="4"/>
      <c r="F34" s="12">
        <f t="shared" ref="F34:F47" si="4">IF(D$12=0,0,D34/D$12)</f>
        <v>0.78314171533197052</v>
      </c>
      <c r="G34" s="4"/>
      <c r="H34" s="4">
        <f>SUM(OSRRefH16x_0)</f>
        <v>26169</v>
      </c>
      <c r="I34" s="4"/>
      <c r="J34" s="12">
        <f t="shared" ref="J34:J47" si="5">IF(H$12=0,0,H34/H$12)</f>
        <v>0.72999888417763892</v>
      </c>
      <c r="K34" s="4"/>
      <c r="L34" s="4">
        <f t="shared" ref="L34:L47" si="6">+D34-H34</f>
        <v>-1207.0000000000146</v>
      </c>
      <c r="M34" s="4"/>
      <c r="N34" s="12">
        <f t="shared" ref="N34:N47" si="7">IF(H34=0,0,L34/H34)</f>
        <v>-4.6123275631472907E-2</v>
      </c>
      <c r="O34" s="10"/>
      <c r="P34" s="4">
        <f>SUM(OSRRefP16x_0)</f>
        <v>762930.99999999988</v>
      </c>
      <c r="Q34" s="4"/>
      <c r="R34" s="12">
        <f t="shared" ref="R34:R47" si="8">IF(P$12=0,0,P34/P$12)</f>
        <v>0.70926411905826736</v>
      </c>
      <c r="S34" s="4"/>
      <c r="T34" s="4">
        <f>SUM(OSRRefT16x_0)</f>
        <v>1280022</v>
      </c>
      <c r="U34" s="4"/>
      <c r="V34" s="12">
        <f t="shared" ref="V34:V47" si="9">IF(T$12=0,0,T34/T$12)</f>
        <v>0.72783068674762508</v>
      </c>
      <c r="W34" s="4"/>
      <c r="X34" s="4">
        <f t="shared" ref="X34:X47" si="10">+P34-T34</f>
        <v>-517091.00000000012</v>
      </c>
      <c r="Y34" s="4"/>
      <c r="Z34" s="12">
        <f t="shared" ref="Z34:Z47" si="11">IF(T34=0,0,X34/T34)</f>
        <v>-0.40397040050874133</v>
      </c>
    </row>
    <row r="35" spans="1:26" s="24" customFormat="1" hidden="1" outlineLevel="1" x14ac:dyDescent="0.25">
      <c r="A35" s="51"/>
      <c r="B35" s="11" t="str">
        <f>CONCATENATE("          ", "5000", " - ", "PURCHASES @ COST")</f>
        <v xml:space="preserve">          5000 - PURCHASES @ COST</v>
      </c>
      <c r="C35" s="11"/>
      <c r="D35" s="2"/>
      <c r="E35" s="2"/>
      <c r="F35" s="22">
        <f t="shared" si="4"/>
        <v>0</v>
      </c>
      <c r="G35" s="2"/>
      <c r="H35" s="2">
        <v>26169</v>
      </c>
      <c r="I35" s="2"/>
      <c r="J35" s="22">
        <f t="shared" si="5"/>
        <v>0.72999888417763892</v>
      </c>
      <c r="K35" s="2"/>
      <c r="L35" s="2">
        <f t="shared" si="6"/>
        <v>-26169</v>
      </c>
      <c r="M35" s="2"/>
      <c r="N35" s="22">
        <f t="shared" si="7"/>
        <v>-1</v>
      </c>
      <c r="O35" s="11"/>
      <c r="P35" s="2"/>
      <c r="Q35" s="2"/>
      <c r="R35" s="22">
        <f t="shared" si="8"/>
        <v>0</v>
      </c>
      <c r="S35" s="2"/>
      <c r="T35" s="2">
        <v>1280022</v>
      </c>
      <c r="U35" s="2"/>
      <c r="V35" s="22">
        <f t="shared" si="9"/>
        <v>0.72783068674762508</v>
      </c>
      <c r="W35" s="2"/>
      <c r="X35" s="2">
        <f t="shared" si="10"/>
        <v>-1280022</v>
      </c>
      <c r="Y35" s="2"/>
      <c r="Z35" s="22">
        <f t="shared" si="11"/>
        <v>-1</v>
      </c>
    </row>
    <row r="36" spans="1:26" s="24" customFormat="1" hidden="1" outlineLevel="1" x14ac:dyDescent="0.25">
      <c r="A36" s="51"/>
      <c r="B36" s="11" t="str">
        <f>CONCATENATE("          ", "5001", " - ", "PURCHASES @ COST-NEW TEXT")</f>
        <v xml:space="preserve">          5001 - PURCHASES @ COST-NEW TEXT</v>
      </c>
      <c r="C36" s="11"/>
      <c r="D36" s="2">
        <v>54515.57</v>
      </c>
      <c r="E36" s="2"/>
      <c r="F36" s="22">
        <f t="shared" si="4"/>
        <v>1.7103363913989318</v>
      </c>
      <c r="G36" s="2"/>
      <c r="H36" s="2"/>
      <c r="I36" s="2"/>
      <c r="J36" s="22">
        <f t="shared" si="5"/>
        <v>0</v>
      </c>
      <c r="K36" s="2"/>
      <c r="L36" s="2">
        <f t="shared" si="6"/>
        <v>54515.57</v>
      </c>
      <c r="M36" s="2"/>
      <c r="N36" s="22">
        <f t="shared" si="7"/>
        <v>0</v>
      </c>
      <c r="O36" s="11"/>
      <c r="P36" s="2">
        <v>1144744.97</v>
      </c>
      <c r="Q36" s="2"/>
      <c r="R36" s="22">
        <f t="shared" si="8"/>
        <v>1.0642201361504944</v>
      </c>
      <c r="S36" s="2"/>
      <c r="T36" s="2"/>
      <c r="U36" s="2"/>
      <c r="V36" s="22">
        <f t="shared" si="9"/>
        <v>0</v>
      </c>
      <c r="W36" s="2"/>
      <c r="X36" s="2">
        <f t="shared" si="10"/>
        <v>1144744.97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"5002", " - ", "PURCHASES @ COST-USED TEXT")</f>
        <v xml:space="preserve">          5002 - PURCHASES @ COST-USED TEXT</v>
      </c>
      <c r="C37" s="11"/>
      <c r="D37" s="2">
        <v>6331.95</v>
      </c>
      <c r="E37" s="2"/>
      <c r="F37" s="22">
        <f t="shared" si="4"/>
        <v>0.19865452224967045</v>
      </c>
      <c r="G37" s="2"/>
      <c r="H37" s="2"/>
      <c r="I37" s="2"/>
      <c r="J37" s="22">
        <f t="shared" si="5"/>
        <v>0</v>
      </c>
      <c r="K37" s="2"/>
      <c r="L37" s="2">
        <f t="shared" si="6"/>
        <v>6331.95</v>
      </c>
      <c r="M37" s="2"/>
      <c r="N37" s="22">
        <f t="shared" si="7"/>
        <v>0</v>
      </c>
      <c r="O37" s="11"/>
      <c r="P37" s="2">
        <v>163728.85</v>
      </c>
      <c r="Q37" s="2"/>
      <c r="R37" s="22">
        <f t="shared" si="8"/>
        <v>0.15221166600868652</v>
      </c>
      <c r="S37" s="2"/>
      <c r="T37" s="2"/>
      <c r="U37" s="2"/>
      <c r="V37" s="22">
        <f t="shared" si="9"/>
        <v>0</v>
      </c>
      <c r="W37" s="2"/>
      <c r="X37" s="2">
        <f t="shared" si="10"/>
        <v>163728.85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"5003", " - ", "PURCHASES @ COST-RENTAL TEXT")</f>
        <v xml:space="preserve">          5003 - PURCHASES @ COST-RENTAL TEXT</v>
      </c>
      <c r="C38" s="11"/>
      <c r="D38" s="2">
        <v>10600.69</v>
      </c>
      <c r="E38" s="2"/>
      <c r="F38" s="22">
        <f t="shared" si="4"/>
        <v>0.33257922243019278</v>
      </c>
      <c r="G38" s="2"/>
      <c r="H38" s="2"/>
      <c r="I38" s="2"/>
      <c r="J38" s="22">
        <f t="shared" si="5"/>
        <v>0</v>
      </c>
      <c r="K38" s="2"/>
      <c r="L38" s="2">
        <f t="shared" si="6"/>
        <v>10600.69</v>
      </c>
      <c r="M38" s="2"/>
      <c r="N38" s="22">
        <f t="shared" si="7"/>
        <v>0</v>
      </c>
      <c r="O38" s="11"/>
      <c r="P38" s="2">
        <v>-485.41</v>
      </c>
      <c r="Q38" s="2"/>
      <c r="R38" s="22">
        <f t="shared" si="8"/>
        <v>-4.5126478807660668E-4</v>
      </c>
      <c r="S38" s="2"/>
      <c r="T38" s="2"/>
      <c r="U38" s="2"/>
      <c r="V38" s="22">
        <f t="shared" si="9"/>
        <v>0</v>
      </c>
      <c r="W38" s="2"/>
      <c r="X38" s="2">
        <f t="shared" si="10"/>
        <v>-485.41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"5004", " - ", "PURCHASES @ COST-DIGITAL TEXT")</f>
        <v xml:space="preserve">          5004 - PURCHASES @ COST-DIGITAL TEXT</v>
      </c>
      <c r="C39" s="11"/>
      <c r="D39" s="2">
        <v>12903.46</v>
      </c>
      <c r="E39" s="2"/>
      <c r="F39" s="22">
        <f t="shared" si="4"/>
        <v>0.40482484569014798</v>
      </c>
      <c r="G39" s="2"/>
      <c r="H39" s="2"/>
      <c r="I39" s="2"/>
      <c r="J39" s="22">
        <f t="shared" si="5"/>
        <v>0</v>
      </c>
      <c r="K39" s="2"/>
      <c r="L39" s="2">
        <f t="shared" si="6"/>
        <v>12903.46</v>
      </c>
      <c r="M39" s="2"/>
      <c r="N39" s="22">
        <f t="shared" si="7"/>
        <v>0</v>
      </c>
      <c r="O39" s="11"/>
      <c r="P39" s="2">
        <v>195519.53</v>
      </c>
      <c r="Q39" s="2"/>
      <c r="R39" s="22">
        <f t="shared" si="8"/>
        <v>0.1817660931383526</v>
      </c>
      <c r="S39" s="2"/>
      <c r="T39" s="2"/>
      <c r="U39" s="2"/>
      <c r="V39" s="22">
        <f t="shared" si="9"/>
        <v>0</v>
      </c>
      <c r="W39" s="2"/>
      <c r="X39" s="2">
        <f t="shared" si="10"/>
        <v>195519.53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"5011", " - ", "PURCHASES @ COST-NO VALUE TEXT")</f>
        <v xml:space="preserve">          5011 - PURCHASES @ COST-NO VALUE TEXT</v>
      </c>
      <c r="C40" s="11"/>
      <c r="D40" s="2">
        <v>67.17</v>
      </c>
      <c r="E40" s="2"/>
      <c r="F40" s="22">
        <f t="shared" si="4"/>
        <v>2.1073483302158679E-3</v>
      </c>
      <c r="G40" s="2"/>
      <c r="H40" s="2"/>
      <c r="I40" s="2"/>
      <c r="J40" s="22">
        <f t="shared" si="5"/>
        <v>0</v>
      </c>
      <c r="K40" s="2"/>
      <c r="L40" s="2">
        <f t="shared" si="6"/>
        <v>67.17</v>
      </c>
      <c r="M40" s="2"/>
      <c r="N40" s="22">
        <f t="shared" si="7"/>
        <v>0</v>
      </c>
      <c r="O40" s="11"/>
      <c r="P40" s="2">
        <v>67.17</v>
      </c>
      <c r="Q40" s="2"/>
      <c r="R40" s="22">
        <f t="shared" si="8"/>
        <v>6.2445058435355E-5</v>
      </c>
      <c r="S40" s="2"/>
      <c r="T40" s="2"/>
      <c r="U40" s="2"/>
      <c r="V40" s="22">
        <f t="shared" si="9"/>
        <v>0</v>
      </c>
      <c r="W40" s="2"/>
      <c r="X40" s="2">
        <f t="shared" si="10"/>
        <v>67.17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"5013", " - ", "PURCHASES @ COST-TRADE BOOKS")</f>
        <v xml:space="preserve">          5013 - PURCHASES @ COST-TRADE BOOKS</v>
      </c>
      <c r="C41" s="11"/>
      <c r="D41" s="2">
        <v>1384.46</v>
      </c>
      <c r="E41" s="2"/>
      <c r="F41" s="22">
        <f t="shared" si="4"/>
        <v>4.3435156606381725E-2</v>
      </c>
      <c r="G41" s="2"/>
      <c r="H41" s="2"/>
      <c r="I41" s="2"/>
      <c r="J41" s="22">
        <f t="shared" si="5"/>
        <v>0</v>
      </c>
      <c r="K41" s="2"/>
      <c r="L41" s="2">
        <f t="shared" si="6"/>
        <v>1384.46</v>
      </c>
      <c r="M41" s="2"/>
      <c r="N41" s="22">
        <f t="shared" si="7"/>
        <v>0</v>
      </c>
      <c r="O41" s="11"/>
      <c r="P41" s="2">
        <v>1483.64</v>
      </c>
      <c r="Q41" s="2"/>
      <c r="R41" s="22">
        <f t="shared" si="8"/>
        <v>1.379276261679769E-3</v>
      </c>
      <c r="S41" s="2"/>
      <c r="T41" s="2"/>
      <c r="U41" s="2"/>
      <c r="V41" s="22">
        <f t="shared" si="9"/>
        <v>0</v>
      </c>
      <c r="W41" s="2"/>
      <c r="X41" s="2">
        <f t="shared" si="10"/>
        <v>1483.64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"5014", " - ", "PURCHASES @ COST-REMAINDERS")</f>
        <v xml:space="preserve">          5014 - PURCHASES @ COST-REMAINDERS</v>
      </c>
      <c r="C42" s="11"/>
      <c r="D42" s="2">
        <v>102.92</v>
      </c>
      <c r="E42" s="2"/>
      <c r="F42" s="22">
        <f t="shared" si="4"/>
        <v>3.2289458113118523E-3</v>
      </c>
      <c r="G42" s="2"/>
      <c r="H42" s="2"/>
      <c r="I42" s="2"/>
      <c r="J42" s="22">
        <f t="shared" si="5"/>
        <v>0</v>
      </c>
      <c r="K42" s="2"/>
      <c r="L42" s="2">
        <f t="shared" si="6"/>
        <v>102.92</v>
      </c>
      <c r="M42" s="2"/>
      <c r="N42" s="22">
        <f t="shared" si="7"/>
        <v>0</v>
      </c>
      <c r="O42" s="11"/>
      <c r="P42" s="2">
        <v>90.41</v>
      </c>
      <c r="Q42" s="2"/>
      <c r="R42" s="22">
        <f t="shared" si="8"/>
        <v>8.4050286335275352E-5</v>
      </c>
      <c r="S42" s="2"/>
      <c r="T42" s="2"/>
      <c r="U42" s="2"/>
      <c r="V42" s="22">
        <f t="shared" si="9"/>
        <v>0</v>
      </c>
      <c r="W42" s="2"/>
      <c r="X42" s="2">
        <f t="shared" si="10"/>
        <v>90.41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"5200", " - ", "PURCHASES OFFSET")</f>
        <v xml:space="preserve">          5200 - PURCHASES OFFSET</v>
      </c>
      <c r="C43" s="11"/>
      <c r="D43" s="2">
        <v>-111446.85</v>
      </c>
      <c r="E43" s="2"/>
      <c r="F43" s="22">
        <f t="shared" si="4"/>
        <v>-3.4964617128973989</v>
      </c>
      <c r="G43" s="2"/>
      <c r="H43" s="2"/>
      <c r="I43" s="2"/>
      <c r="J43" s="22">
        <f t="shared" si="5"/>
        <v>0</v>
      </c>
      <c r="K43" s="2"/>
      <c r="L43" s="2">
        <f t="shared" si="6"/>
        <v>-111446.85</v>
      </c>
      <c r="M43" s="2"/>
      <c r="N43" s="22">
        <f t="shared" si="7"/>
        <v>0</v>
      </c>
      <c r="O43" s="11"/>
      <c r="P43" s="2">
        <v>-1549974.48</v>
      </c>
      <c r="Q43" s="2"/>
      <c r="R43" s="22">
        <f t="shared" si="8"/>
        <v>-1.4409445731265293</v>
      </c>
      <c r="S43" s="2"/>
      <c r="T43" s="2"/>
      <c r="U43" s="2"/>
      <c r="V43" s="22">
        <f t="shared" si="9"/>
        <v>0</v>
      </c>
      <c r="W43" s="2"/>
      <c r="X43" s="2">
        <f t="shared" si="10"/>
        <v>-1549974.48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"5300", " - ", "COG$ OFFSET")</f>
        <v xml:space="preserve">          5300 - COG$ OFFSET</v>
      </c>
      <c r="C44" s="11"/>
      <c r="D44" s="2">
        <v>24962</v>
      </c>
      <c r="E44" s="2"/>
      <c r="F44" s="22">
        <f t="shared" si="4"/>
        <v>0.78314171533197097</v>
      </c>
      <c r="G44" s="2"/>
      <c r="H44" s="2"/>
      <c r="I44" s="2"/>
      <c r="J44" s="22">
        <f t="shared" si="5"/>
        <v>0</v>
      </c>
      <c r="K44" s="2"/>
      <c r="L44" s="2">
        <f t="shared" si="6"/>
        <v>24962</v>
      </c>
      <c r="M44" s="2"/>
      <c r="N44" s="22">
        <f t="shared" si="7"/>
        <v>0</v>
      </c>
      <c r="O44" s="11"/>
      <c r="P44" s="2">
        <v>762931</v>
      </c>
      <c r="Q44" s="2"/>
      <c r="R44" s="22">
        <f t="shared" si="8"/>
        <v>0.70926411905826747</v>
      </c>
      <c r="S44" s="2"/>
      <c r="T44" s="2"/>
      <c r="U44" s="2"/>
      <c r="V44" s="22">
        <f t="shared" si="9"/>
        <v>0</v>
      </c>
      <c r="W44" s="2"/>
      <c r="X44" s="2">
        <f t="shared" si="10"/>
        <v>762931</v>
      </c>
      <c r="Y44" s="2"/>
      <c r="Z44" s="22">
        <f t="shared" si="11"/>
        <v>0</v>
      </c>
    </row>
    <row r="45" spans="1:26" s="24" customFormat="1" hidden="1" outlineLevel="1" x14ac:dyDescent="0.25">
      <c r="A45" s="51"/>
      <c r="B45" s="11" t="str">
        <f>CONCATENATE("          ", "5501", " - ", "FREIGHT-IN-NEW TEXT")</f>
        <v xml:space="preserve">          5501 - FREIGHT-IN-NEW TEXT</v>
      </c>
      <c r="C45" s="11"/>
      <c r="D45" s="2">
        <v>23295.74</v>
      </c>
      <c r="E45" s="2"/>
      <c r="F45" s="22">
        <f t="shared" si="4"/>
        <v>0.73086554697250261</v>
      </c>
      <c r="G45" s="2"/>
      <c r="H45" s="2"/>
      <c r="I45" s="2"/>
      <c r="J45" s="22">
        <f t="shared" si="5"/>
        <v>0</v>
      </c>
      <c r="K45" s="2"/>
      <c r="L45" s="2">
        <f t="shared" si="6"/>
        <v>23295.74</v>
      </c>
      <c r="M45" s="2"/>
      <c r="N45" s="22">
        <f t="shared" si="7"/>
        <v>0</v>
      </c>
      <c r="O45" s="11"/>
      <c r="P45" s="2">
        <v>34058.620000000003</v>
      </c>
      <c r="Q45" s="2"/>
      <c r="R45" s="22">
        <f t="shared" si="8"/>
        <v>3.1662833350119851E-2</v>
      </c>
      <c r="S45" s="2"/>
      <c r="T45" s="2"/>
      <c r="U45" s="2"/>
      <c r="V45" s="22">
        <f t="shared" si="9"/>
        <v>0</v>
      </c>
      <c r="W45" s="2"/>
      <c r="X45" s="2">
        <f t="shared" si="10"/>
        <v>34058.620000000003</v>
      </c>
      <c r="Y45" s="2"/>
      <c r="Z45" s="22">
        <f t="shared" si="11"/>
        <v>0</v>
      </c>
    </row>
    <row r="46" spans="1:26" s="24" customFormat="1" hidden="1" outlineLevel="1" x14ac:dyDescent="0.25">
      <c r="A46" s="51"/>
      <c r="B46" s="11" t="str">
        <f>CONCATENATE("          ", "5502", " - ", "FREIGHT-IN-USED TEXT")</f>
        <v xml:space="preserve">          5502 - FREIGHT-IN-USED TEXT</v>
      </c>
      <c r="C46" s="11"/>
      <c r="D46" s="2">
        <v>2233.9</v>
      </c>
      <c r="E46" s="2"/>
      <c r="F46" s="22">
        <f t="shared" si="4"/>
        <v>7.0084940224344611E-2</v>
      </c>
      <c r="G46" s="2"/>
      <c r="H46" s="2"/>
      <c r="I46" s="2"/>
      <c r="J46" s="22">
        <f t="shared" si="5"/>
        <v>0</v>
      </c>
      <c r="K46" s="2"/>
      <c r="L46" s="2">
        <f t="shared" si="6"/>
        <v>2233.9</v>
      </c>
      <c r="M46" s="2"/>
      <c r="N46" s="22">
        <f t="shared" si="7"/>
        <v>0</v>
      </c>
      <c r="O46" s="11"/>
      <c r="P46" s="2">
        <v>10744.72</v>
      </c>
      <c r="Q46" s="2"/>
      <c r="R46" s="22">
        <f t="shared" si="8"/>
        <v>9.9889038003800439E-3</v>
      </c>
      <c r="S46" s="2"/>
      <c r="T46" s="2"/>
      <c r="U46" s="2"/>
      <c r="V46" s="22">
        <f t="shared" si="9"/>
        <v>0</v>
      </c>
      <c r="W46" s="2"/>
      <c r="X46" s="2">
        <f t="shared" si="10"/>
        <v>10744.72</v>
      </c>
      <c r="Y46" s="2"/>
      <c r="Z46" s="22">
        <f t="shared" si="11"/>
        <v>0</v>
      </c>
    </row>
    <row r="47" spans="1:26" s="24" customFormat="1" hidden="1" outlineLevel="1" x14ac:dyDescent="0.25">
      <c r="A47" s="51"/>
      <c r="B47" s="11" t="str">
        <f>CONCATENATE("          ", "5504", " - ", "FREIGHT-IN-DIGITAL TEXT")</f>
        <v xml:space="preserve">          5504 - FREIGHT-IN-DIGITAL TEXT</v>
      </c>
      <c r="C47" s="11"/>
      <c r="D47" s="2">
        <v>10.99</v>
      </c>
      <c r="E47" s="2"/>
      <c r="F47" s="22">
        <f t="shared" si="4"/>
        <v>3.4479318369915715E-4</v>
      </c>
      <c r="G47" s="2"/>
      <c r="H47" s="2"/>
      <c r="I47" s="2"/>
      <c r="J47" s="22">
        <f t="shared" si="5"/>
        <v>0</v>
      </c>
      <c r="K47" s="2"/>
      <c r="L47" s="2">
        <f t="shared" si="6"/>
        <v>10.99</v>
      </c>
      <c r="M47" s="2"/>
      <c r="N47" s="22">
        <f t="shared" si="7"/>
        <v>0</v>
      </c>
      <c r="O47" s="11"/>
      <c r="P47" s="2">
        <v>21.98</v>
      </c>
      <c r="Q47" s="2"/>
      <c r="R47" s="22">
        <f t="shared" si="8"/>
        <v>2.0433860122213829E-5</v>
      </c>
      <c r="S47" s="2"/>
      <c r="T47" s="2"/>
      <c r="U47" s="2"/>
      <c r="V47" s="22">
        <f t="shared" si="9"/>
        <v>0</v>
      </c>
      <c r="W47" s="2"/>
      <c r="X47" s="2">
        <f t="shared" si="10"/>
        <v>21.98</v>
      </c>
      <c r="Y47" s="2"/>
      <c r="Z47" s="22">
        <f t="shared" si="11"/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6" t="s">
        <v>6</v>
      </c>
      <c r="C49" s="26"/>
      <c r="D49" s="20">
        <f>D12-D34</f>
        <v>6912.1800000000112</v>
      </c>
      <c r="E49" s="13"/>
      <c r="F49" s="19">
        <f>IF(D$12=0,0,D49/D$12)</f>
        <v>0.21685828466802948</v>
      </c>
      <c r="G49" s="13"/>
      <c r="H49" s="20">
        <f>H12-H34</f>
        <v>9679</v>
      </c>
      <c r="I49" s="13"/>
      <c r="J49" s="19">
        <f>IF(H$12=0,0,H49/H$12)</f>
        <v>0.27000111582236108</v>
      </c>
      <c r="K49" s="15"/>
      <c r="L49" s="20">
        <f>+D49-H49</f>
        <v>-2766.8199999999888</v>
      </c>
      <c r="M49" s="15"/>
      <c r="N49" s="19">
        <f>IF(H49=0,0,L49/H49)</f>
        <v>-0.28585804318627844</v>
      </c>
      <c r="O49" s="25"/>
      <c r="P49" s="20">
        <f>P12-P34</f>
        <v>312734.57999999973</v>
      </c>
      <c r="Q49" s="13"/>
      <c r="R49" s="19">
        <f>IF(P$12=0,0,P49/P$12)</f>
        <v>0.29073588094173269</v>
      </c>
      <c r="S49" s="13"/>
      <c r="T49" s="20">
        <f>T12-T34</f>
        <v>478659</v>
      </c>
      <c r="U49" s="13"/>
      <c r="V49" s="19">
        <f>IF(T$12=0,0,T49/T$12)</f>
        <v>0.27216931325237492</v>
      </c>
      <c r="W49" s="15"/>
      <c r="X49" s="20">
        <f>+P49-T49</f>
        <v>-165924.42000000027</v>
      </c>
      <c r="Y49" s="15"/>
      <c r="Z49" s="19">
        <f>IF(T49=0,0,X49/T49)</f>
        <v>-0.34664431254818207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5" t="s">
        <v>9</v>
      </c>
      <c r="C51" s="10"/>
      <c r="D51" s="21">
        <f>SUM(OSRRefD22x_0)</f>
        <v>41286.30999999999</v>
      </c>
      <c r="E51" s="21"/>
      <c r="F51" s="31">
        <f t="shared" ref="F51:F62" si="12">IF(D$12=0,0,D51/D$12)</f>
        <v>1.2952901062866558</v>
      </c>
      <c r="G51" s="21"/>
      <c r="H51" s="21">
        <f>SUM(OSRRefH22x_0)</f>
        <v>46818.813717326942</v>
      </c>
      <c r="I51" s="21"/>
      <c r="J51" s="31">
        <f t="shared" ref="J51:J62" si="13">IF(H$12=0,0,H51/H$12)</f>
        <v>1.3060369816259469</v>
      </c>
      <c r="K51" s="4"/>
      <c r="L51" s="21">
        <f t="shared" ref="L51:L62" si="14">+D51-H51</f>
        <v>-5532.503717326952</v>
      </c>
      <c r="M51" s="4"/>
      <c r="N51" s="31">
        <f t="shared" ref="N51:N62" si="15">IF(H51=0,0,L51/H51)</f>
        <v>-0.11816838740789058</v>
      </c>
      <c r="O51" s="10"/>
      <c r="P51" s="21">
        <f>SUM(OSRRefP22x_0)</f>
        <v>169717.31999999998</v>
      </c>
      <c r="Q51" s="21"/>
      <c r="R51" s="31">
        <f t="shared" ref="R51:R62" si="16">IF(P$12=0,0,P51/P$12)</f>
        <v>0.15777888886246602</v>
      </c>
      <c r="S51" s="21"/>
      <c r="T51" s="21">
        <f>SUM(OSRRefT22x_0)</f>
        <v>219961.05213237694</v>
      </c>
      <c r="U51" s="21"/>
      <c r="V51" s="31">
        <f t="shared" ref="V51:V62" si="17">IF(T$12=0,0,T51/T$12)</f>
        <v>0.12507160316872529</v>
      </c>
      <c r="W51" s="4"/>
      <c r="X51" s="21">
        <f t="shared" ref="X51:X62" si="18">+P51-T51</f>
        <v>-50243.732132376957</v>
      </c>
      <c r="Y51" s="4"/>
      <c r="Z51" s="31">
        <f t="shared" ref="Z51:Z62" si="19">IF(T51=0,0,X51/T51)</f>
        <v>-0.22842103929444418</v>
      </c>
    </row>
    <row r="52" spans="1:26" s="27" customFormat="1" outlineLevel="1" collapsed="1" x14ac:dyDescent="0.25">
      <c r="A52" s="29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13021.619999999999</v>
      </c>
      <c r="E52" s="1"/>
      <c r="F52" s="5">
        <f t="shared" si="12"/>
        <v>0.40853192144864592</v>
      </c>
      <c r="G52" s="1"/>
      <c r="H52" s="1">
        <f>SUM(OSRRefH22_0x_0)</f>
        <v>12912.561037711543</v>
      </c>
      <c r="I52" s="1"/>
      <c r="J52" s="5">
        <f t="shared" si="13"/>
        <v>0.36020310861726018</v>
      </c>
      <c r="K52" s="1"/>
      <c r="L52" s="1">
        <f t="shared" si="14"/>
        <v>109.05896228845631</v>
      </c>
      <c r="M52" s="1"/>
      <c r="N52" s="5">
        <f t="shared" si="15"/>
        <v>8.4459590913023505E-3</v>
      </c>
      <c r="O52" s="14"/>
      <c r="P52" s="1">
        <f>SUM(OSRRefP22_0x_0)</f>
        <v>45612.71</v>
      </c>
      <c r="Q52" s="1"/>
      <c r="R52" s="5">
        <f t="shared" si="16"/>
        <v>4.2404173609422377E-2</v>
      </c>
      <c r="S52" s="1"/>
      <c r="T52" s="1">
        <f>SUM(OSRRefT22_0x_0)</f>
        <v>51191.292485761544</v>
      </c>
      <c r="U52" s="1"/>
      <c r="V52" s="5">
        <f t="shared" si="17"/>
        <v>2.9107775933077996E-2</v>
      </c>
      <c r="W52" s="1"/>
      <c r="X52" s="1">
        <f t="shared" si="18"/>
        <v>-5578.5824857615444</v>
      </c>
      <c r="Y52" s="1"/>
      <c r="Z52" s="5">
        <f t="shared" si="19"/>
        <v>-0.10897522244262896</v>
      </c>
    </row>
    <row r="53" spans="1:26" s="24" customFormat="1" hidden="1" outlineLevel="2" x14ac:dyDescent="0.25">
      <c r="A53" s="28"/>
      <c r="B53" s="11" t="str">
        <f>CONCATENATE("          ", "6111", " - ", "F.I.C.A.")</f>
        <v xml:space="preserve">          6111 - F.I.C.A.</v>
      </c>
      <c r="C53" s="11"/>
      <c r="D53" s="7">
        <v>3122.76</v>
      </c>
      <c r="E53" s="2"/>
      <c r="F53" s="6">
        <f t="shared" si="12"/>
        <v>9.797146154034396E-2</v>
      </c>
      <c r="G53" s="2"/>
      <c r="H53" s="7">
        <v>1960.39645367308</v>
      </c>
      <c r="I53" s="2"/>
      <c r="J53" s="6">
        <f t="shared" si="13"/>
        <v>5.4686354989764561E-2</v>
      </c>
      <c r="K53" s="2"/>
      <c r="L53" s="7">
        <f t="shared" si="14"/>
        <v>1162.3635463269202</v>
      </c>
      <c r="M53" s="2"/>
      <c r="N53" s="6">
        <f t="shared" si="15"/>
        <v>0.5929226938505564</v>
      </c>
      <c r="O53" s="11"/>
      <c r="P53" s="7">
        <v>9222.64</v>
      </c>
      <c r="Q53" s="2"/>
      <c r="R53" s="6">
        <f t="shared" si="16"/>
        <v>8.5738915249105613E-3</v>
      </c>
      <c r="S53" s="2"/>
      <c r="T53" s="7">
        <v>8081.97260822308</v>
      </c>
      <c r="U53" s="2"/>
      <c r="V53" s="6">
        <f t="shared" si="17"/>
        <v>4.5954738853851724E-3</v>
      </c>
      <c r="W53" s="2"/>
      <c r="X53" s="7">
        <f t="shared" si="18"/>
        <v>1140.6673917769194</v>
      </c>
      <c r="Y53" s="2"/>
      <c r="Z53" s="6">
        <f t="shared" si="19"/>
        <v>0.14113725040546865</v>
      </c>
    </row>
    <row r="54" spans="1:26" s="24" customFormat="1" hidden="1" outlineLevel="2" x14ac:dyDescent="0.25">
      <c r="A54" s="28"/>
      <c r="B54" s="11" t="str">
        <f>CONCATENATE("          ", "6112", " - ", "COMPENSATION INSURANCE")</f>
        <v xml:space="preserve">          6112 - COMPENSATION INSURANCE</v>
      </c>
      <c r="C54" s="11"/>
      <c r="D54" s="7">
        <v>89.88</v>
      </c>
      <c r="E54" s="2"/>
      <c r="F54" s="6">
        <f t="shared" si="12"/>
        <v>2.8198372475778202E-3</v>
      </c>
      <c r="G54" s="2"/>
      <c r="H54" s="7">
        <v>562.69696057692306</v>
      </c>
      <c r="I54" s="2"/>
      <c r="J54" s="6">
        <f t="shared" si="13"/>
        <v>1.5696746278088682E-2</v>
      </c>
      <c r="K54" s="2"/>
      <c r="L54" s="7">
        <f t="shared" si="14"/>
        <v>-472.81696057692307</v>
      </c>
      <c r="M54" s="2"/>
      <c r="N54" s="6">
        <f t="shared" si="15"/>
        <v>-0.84026926339206165</v>
      </c>
      <c r="O54" s="11"/>
      <c r="P54" s="7">
        <v>523.16999999999996</v>
      </c>
      <c r="Q54" s="2"/>
      <c r="R54" s="6">
        <f t="shared" si="16"/>
        <v>4.8636863512914501E-4</v>
      </c>
      <c r="S54" s="2"/>
      <c r="T54" s="7">
        <v>2752.5046830769229</v>
      </c>
      <c r="U54" s="2"/>
      <c r="V54" s="6">
        <f t="shared" si="17"/>
        <v>1.5650960481616181E-3</v>
      </c>
      <c r="W54" s="2"/>
      <c r="X54" s="7">
        <f t="shared" si="18"/>
        <v>-2229.3346830769228</v>
      </c>
      <c r="Y54" s="2"/>
      <c r="Z54" s="6">
        <f t="shared" si="19"/>
        <v>-0.8099294786975012</v>
      </c>
    </row>
    <row r="55" spans="1:26" s="24" customFormat="1" hidden="1" outlineLevel="2" x14ac:dyDescent="0.25">
      <c r="A55" s="28"/>
      <c r="B55" s="11" t="str">
        <f>CONCATENATE("          ", "6113", " - ", "GROUP INSURANCE")</f>
        <v xml:space="preserve">          6113 - GROUP INSURANCE</v>
      </c>
      <c r="C55" s="11"/>
      <c r="D55" s="7">
        <v>4248.21</v>
      </c>
      <c r="E55" s="2"/>
      <c r="F55" s="6">
        <f t="shared" si="12"/>
        <v>0.13328060517949011</v>
      </c>
      <c r="G55" s="2"/>
      <c r="H55" s="7">
        <v>4969.6153846153802</v>
      </c>
      <c r="I55" s="2"/>
      <c r="J55" s="6">
        <f t="shared" si="13"/>
        <v>0.13863019930304007</v>
      </c>
      <c r="K55" s="2"/>
      <c r="L55" s="7">
        <f t="shared" si="14"/>
        <v>-721.40538461538017</v>
      </c>
      <c r="M55" s="2"/>
      <c r="N55" s="6">
        <f t="shared" si="15"/>
        <v>-0.14516322266078399</v>
      </c>
      <c r="O55" s="11"/>
      <c r="P55" s="7">
        <v>16858.63</v>
      </c>
      <c r="Q55" s="2"/>
      <c r="R55" s="6">
        <f t="shared" si="16"/>
        <v>1.5672742824029015E-2</v>
      </c>
      <c r="S55" s="2"/>
      <c r="T55" s="7">
        <v>19264.615384615379</v>
      </c>
      <c r="U55" s="2"/>
      <c r="V55" s="6">
        <f t="shared" si="17"/>
        <v>1.0954013482044429E-2</v>
      </c>
      <c r="W55" s="2"/>
      <c r="X55" s="7">
        <f t="shared" si="18"/>
        <v>-2405.9853846153783</v>
      </c>
      <c r="Y55" s="2"/>
      <c r="Z55" s="6">
        <f t="shared" si="19"/>
        <v>-0.12489143108129662</v>
      </c>
    </row>
    <row r="56" spans="1:26" s="24" customFormat="1" hidden="1" outlineLevel="2" x14ac:dyDescent="0.25">
      <c r="A56" s="28"/>
      <c r="B56" s="11" t="str">
        <f>CONCATENATE("          ", "6114", " - ", "STATE UNEMPLOYMENT INSURANCE")</f>
        <v xml:space="preserve">          6114 - STATE UNEMPLOYMENT INSURANCE</v>
      </c>
      <c r="C56" s="11"/>
      <c r="D56" s="7">
        <v>60.94</v>
      </c>
      <c r="E56" s="2"/>
      <c r="F56" s="6">
        <f t="shared" si="12"/>
        <v>1.911892321622078E-3</v>
      </c>
      <c r="G56" s="2"/>
      <c r="H56" s="7">
        <v>79.081734999999995</v>
      </c>
      <c r="I56" s="2"/>
      <c r="J56" s="6">
        <f t="shared" si="13"/>
        <v>2.206029206650301E-3</v>
      </c>
      <c r="K56" s="2"/>
      <c r="L56" s="7">
        <f t="shared" si="14"/>
        <v>-18.141734999999997</v>
      </c>
      <c r="M56" s="2"/>
      <c r="N56" s="6">
        <f t="shared" si="15"/>
        <v>-0.22940486826698983</v>
      </c>
      <c r="O56" s="11"/>
      <c r="P56" s="7">
        <v>269.16000000000003</v>
      </c>
      <c r="Q56" s="2"/>
      <c r="R56" s="6">
        <f t="shared" si="16"/>
        <v>2.5022646908530823E-4</v>
      </c>
      <c r="S56" s="2"/>
      <c r="T56" s="7">
        <v>386.83849600000002</v>
      </c>
      <c r="U56" s="2"/>
      <c r="V56" s="6">
        <f t="shared" si="17"/>
        <v>2.1995944460649774E-4</v>
      </c>
      <c r="W56" s="2"/>
      <c r="X56" s="7">
        <f t="shared" si="18"/>
        <v>-117.678496</v>
      </c>
      <c r="Y56" s="2"/>
      <c r="Z56" s="6">
        <f t="shared" si="19"/>
        <v>-0.30420575309030257</v>
      </c>
    </row>
    <row r="57" spans="1:26" s="24" customFormat="1" hidden="1" outlineLevel="2" x14ac:dyDescent="0.25">
      <c r="A57" s="28"/>
      <c r="B57" s="11" t="str">
        <f>CONCATENATE("          ", "6115", " - ", "P.E.R.S.")</f>
        <v xml:space="preserve">          6115 - P.E.R.S.</v>
      </c>
      <c r="C57" s="11"/>
      <c r="D57" s="7">
        <v>1480.2</v>
      </c>
      <c r="E57" s="2"/>
      <c r="F57" s="6">
        <f t="shared" si="12"/>
        <v>4.6438841720790942E-2</v>
      </c>
      <c r="G57" s="2"/>
      <c r="H57" s="7">
        <v>1585.67246538462</v>
      </c>
      <c r="I57" s="2"/>
      <c r="J57" s="6">
        <f t="shared" si="13"/>
        <v>4.4233219855629884E-2</v>
      </c>
      <c r="K57" s="2"/>
      <c r="L57" s="7">
        <f t="shared" si="14"/>
        <v>-105.47246538461991</v>
      </c>
      <c r="M57" s="2"/>
      <c r="N57" s="6">
        <f t="shared" si="15"/>
        <v>-6.6515921596101216E-2</v>
      </c>
      <c r="O57" s="11"/>
      <c r="P57" s="7">
        <v>6660.92</v>
      </c>
      <c r="Q57" s="2"/>
      <c r="R57" s="6">
        <f t="shared" si="16"/>
        <v>6.1923706808578952E-3</v>
      </c>
      <c r="S57" s="2"/>
      <c r="T57" s="7">
        <v>5708.4208753846196</v>
      </c>
      <c r="U57" s="2"/>
      <c r="V57" s="6">
        <f t="shared" si="17"/>
        <v>3.245853497811496E-3</v>
      </c>
      <c r="W57" s="2"/>
      <c r="X57" s="7">
        <f t="shared" si="18"/>
        <v>952.49912461538042</v>
      </c>
      <c r="Y57" s="2"/>
      <c r="Z57" s="6">
        <f t="shared" si="19"/>
        <v>0.16685860160078042</v>
      </c>
    </row>
    <row r="58" spans="1:26" s="24" customFormat="1" hidden="1" outlineLevel="2" x14ac:dyDescent="0.25">
      <c r="A58" s="28"/>
      <c r="B58" s="11" t="str">
        <f>CONCATENATE("          ", "6116", " - ", "EDUCATIONAL BENEFITS")</f>
        <v xml:space="preserve">          6116 - EDUCATIONAL BENEFITS</v>
      </c>
      <c r="C58" s="11"/>
      <c r="D58" s="7"/>
      <c r="E58" s="2"/>
      <c r="F58" s="6">
        <f t="shared" si="12"/>
        <v>0</v>
      </c>
      <c r="G58" s="2"/>
      <c r="H58" s="7">
        <v>0</v>
      </c>
      <c r="I58" s="2"/>
      <c r="J58" s="6">
        <f t="shared" si="13"/>
        <v>0</v>
      </c>
      <c r="K58" s="2"/>
      <c r="L58" s="7">
        <f t="shared" si="14"/>
        <v>0</v>
      </c>
      <c r="M58" s="2"/>
      <c r="N58" s="6">
        <f t="shared" si="15"/>
        <v>0</v>
      </c>
      <c r="O58" s="11"/>
      <c r="P58" s="7"/>
      <c r="Q58" s="2"/>
      <c r="R58" s="6">
        <f t="shared" si="16"/>
        <v>0</v>
      </c>
      <c r="S58" s="2"/>
      <c r="T58" s="7">
        <v>0</v>
      </c>
      <c r="U58" s="2"/>
      <c r="V58" s="6">
        <f t="shared" si="17"/>
        <v>0</v>
      </c>
      <c r="W58" s="2"/>
      <c r="X58" s="7">
        <f t="shared" si="18"/>
        <v>0</v>
      </c>
      <c r="Y58" s="2"/>
      <c r="Z58" s="6">
        <f t="shared" si="19"/>
        <v>0</v>
      </c>
    </row>
    <row r="59" spans="1:26" s="24" customFormat="1" hidden="1" outlineLevel="2" x14ac:dyDescent="0.25">
      <c r="A59" s="28"/>
      <c r="B59" s="11" t="str">
        <f>CONCATENATE("          ", "6117", " - ", "RETIREMENT STAFF HOURLY")</f>
        <v xml:space="preserve">          6117 - RETIREMENT STAFF HOURLY</v>
      </c>
      <c r="C59" s="11"/>
      <c r="D59" s="7">
        <v>222.97</v>
      </c>
      <c r="E59" s="2"/>
      <c r="F59" s="6">
        <f t="shared" si="12"/>
        <v>6.9953172128663392E-3</v>
      </c>
      <c r="G59" s="2"/>
      <c r="H59" s="7"/>
      <c r="I59" s="2"/>
      <c r="J59" s="6">
        <f t="shared" si="13"/>
        <v>0</v>
      </c>
      <c r="K59" s="2"/>
      <c r="L59" s="7">
        <f t="shared" si="14"/>
        <v>222.97</v>
      </c>
      <c r="M59" s="2"/>
      <c r="N59" s="6">
        <f t="shared" si="15"/>
        <v>0</v>
      </c>
      <c r="O59" s="11"/>
      <c r="P59" s="7">
        <v>1060.74</v>
      </c>
      <c r="Q59" s="2"/>
      <c r="R59" s="6">
        <f t="shared" si="16"/>
        <v>9.8612433057493603E-4</v>
      </c>
      <c r="S59" s="2"/>
      <c r="T59" s="7"/>
      <c r="U59" s="2"/>
      <c r="V59" s="6">
        <f t="shared" si="17"/>
        <v>0</v>
      </c>
      <c r="W59" s="2"/>
      <c r="X59" s="7">
        <f t="shared" si="18"/>
        <v>1060.74</v>
      </c>
      <c r="Y59" s="2"/>
      <c r="Z59" s="6">
        <f t="shared" si="19"/>
        <v>0</v>
      </c>
    </row>
    <row r="60" spans="1:26" s="24" customFormat="1" hidden="1" outlineLevel="2" x14ac:dyDescent="0.25">
      <c r="A60" s="28"/>
      <c r="B60" s="11" t="str">
        <f>CONCATENATE("          ", "6118", " - ", "VACATION")</f>
        <v xml:space="preserve">          6118 - VACATION</v>
      </c>
      <c r="C60" s="11"/>
      <c r="D60" s="7">
        <v>1853.32</v>
      </c>
      <c r="E60" s="2"/>
      <c r="F60" s="6">
        <f t="shared" si="12"/>
        <v>5.8144868354260415E-2</v>
      </c>
      <c r="G60" s="2"/>
      <c r="H60" s="7">
        <v>1682.75965</v>
      </c>
      <c r="I60" s="2"/>
      <c r="J60" s="6">
        <f t="shared" si="13"/>
        <v>4.6941521144833742E-2</v>
      </c>
      <c r="K60" s="2"/>
      <c r="L60" s="7">
        <f t="shared" si="14"/>
        <v>170.56034999999997</v>
      </c>
      <c r="M60" s="2"/>
      <c r="N60" s="6">
        <f t="shared" si="15"/>
        <v>0.10135752304258067</v>
      </c>
      <c r="O60" s="11"/>
      <c r="P60" s="7">
        <v>4884.7</v>
      </c>
      <c r="Q60" s="2"/>
      <c r="R60" s="6">
        <f t="shared" si="16"/>
        <v>4.541095383938939E-3</v>
      </c>
      <c r="S60" s="2"/>
      <c r="T60" s="7">
        <v>6057.9347399999997</v>
      </c>
      <c r="U60" s="2"/>
      <c r="V60" s="6">
        <f t="shared" si="17"/>
        <v>3.4445898602418513E-3</v>
      </c>
      <c r="W60" s="2"/>
      <c r="X60" s="7">
        <f t="shared" si="18"/>
        <v>-1173.2347399999999</v>
      </c>
      <c r="Y60" s="2"/>
      <c r="Z60" s="6">
        <f t="shared" si="19"/>
        <v>-0.19366909522039519</v>
      </c>
    </row>
    <row r="61" spans="1:26" s="24" customFormat="1" hidden="1" outlineLevel="2" x14ac:dyDescent="0.25">
      <c r="A61" s="28"/>
      <c r="B61" s="11" t="str">
        <f>CONCATENATE("          ", "6119", " - ", "SICK LEAVE")</f>
        <v xml:space="preserve">          6119 - SICK LEAVE</v>
      </c>
      <c r="C61" s="11"/>
      <c r="D61" s="7">
        <v>1416.9</v>
      </c>
      <c r="E61" s="2"/>
      <c r="F61" s="6">
        <f t="shared" si="12"/>
        <v>4.4452908278738469E-2</v>
      </c>
      <c r="G61" s="2"/>
      <c r="H61" s="7">
        <v>1322.33838846154</v>
      </c>
      <c r="I61" s="2"/>
      <c r="J61" s="6">
        <f t="shared" si="13"/>
        <v>3.6887368569000781E-2</v>
      </c>
      <c r="K61" s="2"/>
      <c r="L61" s="7">
        <f t="shared" si="14"/>
        <v>94.561611538460056</v>
      </c>
      <c r="M61" s="2"/>
      <c r="N61" s="6">
        <f t="shared" si="15"/>
        <v>7.1510902476692603E-2</v>
      </c>
      <c r="O61" s="11"/>
      <c r="P61" s="7">
        <v>4250.7</v>
      </c>
      <c r="Q61" s="2"/>
      <c r="R61" s="6">
        <f t="shared" si="16"/>
        <v>3.9516928672199414E-3</v>
      </c>
      <c r="S61" s="2"/>
      <c r="T61" s="7">
        <v>5939.0056984615403</v>
      </c>
      <c r="U61" s="2"/>
      <c r="V61" s="6">
        <f t="shared" si="17"/>
        <v>3.3769658616096612E-3</v>
      </c>
      <c r="W61" s="2"/>
      <c r="X61" s="7">
        <f t="shared" si="18"/>
        <v>-1688.3056984615405</v>
      </c>
      <c r="Y61" s="2"/>
      <c r="Z61" s="6">
        <f t="shared" si="19"/>
        <v>-0.28427413344608926</v>
      </c>
    </row>
    <row r="62" spans="1:26" s="24" customFormat="1" hidden="1" outlineLevel="2" x14ac:dyDescent="0.25">
      <c r="A62" s="28"/>
      <c r="B62" s="11" t="str">
        <f>CONCATENATE("          ", "6156", " - ", "EMPLOYEE MEALS")</f>
        <v xml:space="preserve">          6156 - EMPLOYEE MEALS</v>
      </c>
      <c r="C62" s="11"/>
      <c r="D62" s="7">
        <v>526.44000000000005</v>
      </c>
      <c r="E62" s="2"/>
      <c r="F62" s="6">
        <f t="shared" si="12"/>
        <v>1.6516189592955807E-2</v>
      </c>
      <c r="G62" s="2"/>
      <c r="H62" s="7">
        <v>750</v>
      </c>
      <c r="I62" s="2"/>
      <c r="J62" s="6">
        <f t="shared" si="13"/>
        <v>2.0921669270252175E-2</v>
      </c>
      <c r="K62" s="2"/>
      <c r="L62" s="7">
        <f t="shared" si="14"/>
        <v>-223.55999999999995</v>
      </c>
      <c r="M62" s="2"/>
      <c r="N62" s="6">
        <f t="shared" si="15"/>
        <v>-0.2980799999999999</v>
      </c>
      <c r="O62" s="11"/>
      <c r="P62" s="7">
        <v>1882.05</v>
      </c>
      <c r="Q62" s="2"/>
      <c r="R62" s="6">
        <f t="shared" si="16"/>
        <v>1.7496608936766393E-3</v>
      </c>
      <c r="S62" s="2"/>
      <c r="T62" s="7">
        <v>3000</v>
      </c>
      <c r="U62" s="2"/>
      <c r="V62" s="6">
        <f t="shared" si="17"/>
        <v>1.7058238532172692E-3</v>
      </c>
      <c r="W62" s="2"/>
      <c r="X62" s="7">
        <f t="shared" si="18"/>
        <v>-1117.95</v>
      </c>
      <c r="Y62" s="2"/>
      <c r="Z62" s="6">
        <f t="shared" si="19"/>
        <v>-0.37265000000000004</v>
      </c>
    </row>
    <row r="63" spans="1:26" s="27" customFormat="1" outlineLevel="1" collapsed="1" x14ac:dyDescent="0.25">
      <c r="A63" s="29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SUM(OSRRefD22_1x_0)</f>
        <v>26770.510000000002</v>
      </c>
      <c r="E63" s="1"/>
      <c r="F63" s="5">
        <f t="shared" ref="F63:F73" si="20">IF(D$12=0,0,D63/D$12)</f>
        <v>0.83988074359873743</v>
      </c>
      <c r="G63" s="1"/>
      <c r="H63" s="1">
        <f>SUM(OSRRefH22_1x_0)</f>
        <v>27791.252679615402</v>
      </c>
      <c r="I63" s="1"/>
      <c r="J63" s="5">
        <f t="shared" ref="J63:J73" si="21">IF(H$12=0,0,H63/H$12)</f>
        <v>0.77525252955856394</v>
      </c>
      <c r="K63" s="1"/>
      <c r="L63" s="1">
        <f t="shared" ref="L63:L73" si="22">+D63-H63</f>
        <v>-1020.7426796153995</v>
      </c>
      <c r="M63" s="1"/>
      <c r="N63" s="5">
        <f t="shared" ref="N63:N73" si="23">IF(H63=0,0,L63/H63)</f>
        <v>-3.6728919397149153E-2</v>
      </c>
      <c r="O63" s="14"/>
      <c r="P63" s="1">
        <f>SUM(OSRRefP22_1x_0)</f>
        <v>116444.83</v>
      </c>
      <c r="Q63" s="1"/>
      <c r="R63" s="5">
        <f t="shared" ref="R63:R73" si="24">IF(P$12=0,0,P63/P$12)</f>
        <v>0.10825374741469374</v>
      </c>
      <c r="S63" s="1"/>
      <c r="T63" s="1">
        <f>SUM(OSRRefT22_1x_0)</f>
        <v>139334.75964661539</v>
      </c>
      <c r="U63" s="1"/>
      <c r="V63" s="5">
        <f t="shared" ref="V63:V73" si="25">IF(T$12=0,0,T63/T$12)</f>
        <v>7.9226852195830505E-2</v>
      </c>
      <c r="W63" s="1"/>
      <c r="X63" s="1">
        <f t="shared" ref="X63:X73" si="26">+P63-T63</f>
        <v>-22889.92964661539</v>
      </c>
      <c r="Y63" s="1"/>
      <c r="Z63" s="5">
        <f t="shared" ref="Z63:Z73" si="27">IF(T63=0,0,X63/T63)</f>
        <v>-0.16428011003621387</v>
      </c>
    </row>
    <row r="64" spans="1:26" s="24" customFormat="1" hidden="1" outlineLevel="2" x14ac:dyDescent="0.25">
      <c r="A64" s="28"/>
      <c r="B64" s="11" t="str">
        <f>CONCATENATE("          ", "6001", " - ", "ADMINISTRATIVE SALARIES")</f>
        <v xml:space="preserve">          6001 - ADMINISTRATIVE SALARIES</v>
      </c>
      <c r="C64" s="11"/>
      <c r="D64" s="7"/>
      <c r="E64" s="2"/>
      <c r="F64" s="6">
        <f t="shared" si="20"/>
        <v>0</v>
      </c>
      <c r="G64" s="2"/>
      <c r="H64" s="7">
        <v>0</v>
      </c>
      <c r="I64" s="2"/>
      <c r="J64" s="6">
        <f t="shared" si="21"/>
        <v>0</v>
      </c>
      <c r="K64" s="2"/>
      <c r="L64" s="7">
        <f t="shared" si="22"/>
        <v>0</v>
      </c>
      <c r="M64" s="2"/>
      <c r="N64" s="6">
        <f t="shared" si="23"/>
        <v>0</v>
      </c>
      <c r="O64" s="11"/>
      <c r="P64" s="7">
        <v>-311.32</v>
      </c>
      <c r="Q64" s="2"/>
      <c r="R64" s="6">
        <f t="shared" si="24"/>
        <v>-2.8942080679015506E-4</v>
      </c>
      <c r="S64" s="2"/>
      <c r="T64" s="7">
        <v>0</v>
      </c>
      <c r="U64" s="2"/>
      <c r="V64" s="6">
        <f t="shared" si="25"/>
        <v>0</v>
      </c>
      <c r="W64" s="2"/>
      <c r="X64" s="7">
        <f t="shared" si="26"/>
        <v>-311.32</v>
      </c>
      <c r="Y64" s="2"/>
      <c r="Z64" s="6">
        <f t="shared" si="27"/>
        <v>0</v>
      </c>
    </row>
    <row r="65" spans="1:26" s="24" customFormat="1" hidden="1" outlineLevel="2" x14ac:dyDescent="0.25">
      <c r="A65" s="28"/>
      <c r="B65" s="11" t="str">
        <f>CONCATENATE("          ", "6002", " - ", "STAFF SALARIES")</f>
        <v xml:space="preserve">          6002 - STAFF SALARIES</v>
      </c>
      <c r="C65" s="11"/>
      <c r="D65" s="7">
        <v>16701.230000000003</v>
      </c>
      <c r="E65" s="2"/>
      <c r="F65" s="6">
        <f t="shared" si="20"/>
        <v>0.52397363634138994</v>
      </c>
      <c r="G65" s="2"/>
      <c r="H65" s="7">
        <v>16384.0650796154</v>
      </c>
      <c r="I65" s="2"/>
      <c r="J65" s="6">
        <f t="shared" si="21"/>
        <v>0.45704265453066839</v>
      </c>
      <c r="K65" s="2"/>
      <c r="L65" s="7">
        <f t="shared" si="22"/>
        <v>317.16492038460274</v>
      </c>
      <c r="M65" s="2"/>
      <c r="N65" s="6">
        <f t="shared" si="23"/>
        <v>1.9358133579389314E-2</v>
      </c>
      <c r="O65" s="11"/>
      <c r="P65" s="7">
        <v>64144.15</v>
      </c>
      <c r="Q65" s="2"/>
      <c r="R65" s="6">
        <f t="shared" si="24"/>
        <v>5.9632055903471433E-2</v>
      </c>
      <c r="S65" s="2"/>
      <c r="T65" s="7">
        <v>58982.634286615401</v>
      </c>
      <c r="U65" s="2"/>
      <c r="V65" s="6">
        <f t="shared" si="25"/>
        <v>3.353799483056643E-2</v>
      </c>
      <c r="W65" s="2"/>
      <c r="X65" s="7">
        <f t="shared" si="26"/>
        <v>5161.5157133846005</v>
      </c>
      <c r="Y65" s="2"/>
      <c r="Z65" s="6">
        <f t="shared" si="27"/>
        <v>8.7509074082774127E-2</v>
      </c>
    </row>
    <row r="66" spans="1:26" s="24" customFormat="1" hidden="1" outlineLevel="2" x14ac:dyDescent="0.25">
      <c r="A66" s="28"/>
      <c r="B66" s="11" t="str">
        <f>CONCATENATE("          ", "6003", " - ", "STAFF HOURLY-9 MONTH")</f>
        <v xml:space="preserve">          6003 - STAFF HOURLY-9 MONTH</v>
      </c>
      <c r="C66" s="11"/>
      <c r="D66" s="7"/>
      <c r="E66" s="2"/>
      <c r="F66" s="6">
        <f t="shared" si="20"/>
        <v>0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0</v>
      </c>
      <c r="M66" s="2"/>
      <c r="N66" s="6">
        <f t="shared" si="23"/>
        <v>0</v>
      </c>
      <c r="O66" s="11"/>
      <c r="P66" s="7"/>
      <c r="Q66" s="2"/>
      <c r="R66" s="6">
        <f t="shared" si="24"/>
        <v>0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0</v>
      </c>
      <c r="Y66" s="2"/>
      <c r="Z66" s="6">
        <f t="shared" si="27"/>
        <v>0</v>
      </c>
    </row>
    <row r="67" spans="1:26" s="24" customFormat="1" hidden="1" outlineLevel="2" x14ac:dyDescent="0.25">
      <c r="A67" s="28"/>
      <c r="B67" s="11" t="str">
        <f>CONCATENATE("          ", "6004", " - ", "STAFF HOURLY")</f>
        <v xml:space="preserve">          6004 - STAFF HOURLY</v>
      </c>
      <c r="C67" s="11"/>
      <c r="D67" s="7">
        <v>8733.7900000000009</v>
      </c>
      <c r="E67" s="2"/>
      <c r="F67" s="6">
        <f t="shared" si="20"/>
        <v>0.27400830389989644</v>
      </c>
      <c r="G67" s="2"/>
      <c r="H67" s="7">
        <v>6607.1876000000002</v>
      </c>
      <c r="I67" s="2"/>
      <c r="J67" s="6">
        <f t="shared" si="21"/>
        <v>0.18431119169828164</v>
      </c>
      <c r="K67" s="2"/>
      <c r="L67" s="7">
        <f t="shared" si="22"/>
        <v>2126.6024000000007</v>
      </c>
      <c r="M67" s="2"/>
      <c r="N67" s="6">
        <f t="shared" si="23"/>
        <v>0.32186196741257966</v>
      </c>
      <c r="O67" s="11"/>
      <c r="P67" s="7">
        <v>27311.52</v>
      </c>
      <c r="Q67" s="2"/>
      <c r="R67" s="6">
        <f t="shared" si="24"/>
        <v>2.5390344831894694E-2</v>
      </c>
      <c r="S67" s="2"/>
      <c r="T67" s="7">
        <v>23785.875359999998</v>
      </c>
      <c r="U67" s="2"/>
      <c r="V67" s="6">
        <f t="shared" si="25"/>
        <v>1.3524837852913632E-2</v>
      </c>
      <c r="W67" s="2"/>
      <c r="X67" s="7">
        <f t="shared" si="26"/>
        <v>3525.6446400000023</v>
      </c>
      <c r="Y67" s="2"/>
      <c r="Z67" s="6">
        <f t="shared" si="27"/>
        <v>0.14822429642126916</v>
      </c>
    </row>
    <row r="68" spans="1:26" s="24" customFormat="1" hidden="1" outlineLevel="2" x14ac:dyDescent="0.25">
      <c r="A68" s="28"/>
      <c r="B68" s="11" t="str">
        <f>CONCATENATE("          ", "6005", " - ", "TEMPORARY WAGES-HOURLY")</f>
        <v xml:space="preserve">          6005 - TEMPORARY WAGES-HOURLY</v>
      </c>
      <c r="C68" s="11"/>
      <c r="D68" s="7">
        <v>1498.67</v>
      </c>
      <c r="E68" s="2"/>
      <c r="F68" s="6">
        <f t="shared" si="20"/>
        <v>4.7018307608227103E-2</v>
      </c>
      <c r="G68" s="2"/>
      <c r="H68" s="7">
        <v>3562.5</v>
      </c>
      <c r="I68" s="2"/>
      <c r="J68" s="6">
        <f t="shared" si="21"/>
        <v>9.937792903369784E-2</v>
      </c>
      <c r="K68" s="2"/>
      <c r="L68" s="7">
        <f t="shared" si="22"/>
        <v>-2063.83</v>
      </c>
      <c r="M68" s="2"/>
      <c r="N68" s="6">
        <f t="shared" si="23"/>
        <v>-0.57932070175438599</v>
      </c>
      <c r="O68" s="11"/>
      <c r="P68" s="7">
        <v>12838</v>
      </c>
      <c r="Q68" s="2"/>
      <c r="R68" s="6">
        <f t="shared" si="24"/>
        <v>1.1934936135076485E-2</v>
      </c>
      <c r="S68" s="2"/>
      <c r="T68" s="7">
        <v>14250</v>
      </c>
      <c r="U68" s="2"/>
      <c r="V68" s="6">
        <f t="shared" si="25"/>
        <v>8.1026633027820281E-3</v>
      </c>
      <c r="W68" s="2"/>
      <c r="X68" s="7">
        <f t="shared" si="26"/>
        <v>-1412</v>
      </c>
      <c r="Y68" s="2"/>
      <c r="Z68" s="6">
        <f t="shared" si="27"/>
        <v>-9.9087719298245613E-2</v>
      </c>
    </row>
    <row r="69" spans="1:26" s="24" customFormat="1" hidden="1" outlineLevel="2" x14ac:dyDescent="0.25">
      <c r="A69" s="28"/>
      <c r="B69" s="11" t="str">
        <f>CONCATENATE("          ", "6006", " - ", "TEMPORARY PART TIME")</f>
        <v xml:space="preserve">          6006 - TEMPORARY PART TIME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>
        <v>502.29</v>
      </c>
      <c r="Q69" s="2"/>
      <c r="R69" s="6">
        <f t="shared" si="24"/>
        <v>4.6695739767000835E-4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502.29</v>
      </c>
      <c r="Y69" s="2"/>
      <c r="Z69" s="6">
        <f t="shared" si="27"/>
        <v>0</v>
      </c>
    </row>
    <row r="70" spans="1:26" s="24" customFormat="1" hidden="1" outlineLevel="2" x14ac:dyDescent="0.25">
      <c r="A70" s="28"/>
      <c r="B70" s="11" t="str">
        <f>CONCATENATE("          ", "6007", " - ", "STUDENT HOURLY")</f>
        <v xml:space="preserve">          6007 - STUDENT HOURLY</v>
      </c>
      <c r="C70" s="11"/>
      <c r="D70" s="7">
        <v>-163.18</v>
      </c>
      <c r="E70" s="2"/>
      <c r="F70" s="6">
        <f t="shared" si="20"/>
        <v>-5.119504250776021E-3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-163.18</v>
      </c>
      <c r="M70" s="2"/>
      <c r="N70" s="6">
        <f t="shared" si="23"/>
        <v>0</v>
      </c>
      <c r="O70" s="11"/>
      <c r="P70" s="7">
        <v>11960.19</v>
      </c>
      <c r="Q70" s="2"/>
      <c r="R70" s="6">
        <f t="shared" si="24"/>
        <v>1.1118873953371274E-2</v>
      </c>
      <c r="S70" s="2"/>
      <c r="T70" s="7">
        <v>13387.5</v>
      </c>
      <c r="U70" s="2"/>
      <c r="V70" s="6">
        <f t="shared" si="25"/>
        <v>7.6122389449820634E-3</v>
      </c>
      <c r="W70" s="2"/>
      <c r="X70" s="7">
        <f t="shared" si="26"/>
        <v>-1427.3099999999995</v>
      </c>
      <c r="Y70" s="2"/>
      <c r="Z70" s="6">
        <f t="shared" si="27"/>
        <v>-0.10661512605042013</v>
      </c>
    </row>
    <row r="71" spans="1:26" s="24" customFormat="1" hidden="1" outlineLevel="2" x14ac:dyDescent="0.25">
      <c r="A71" s="28"/>
      <c r="B71" s="11" t="str">
        <f>CONCATENATE("          ", "6008", " - ", "STUDENT HOURLY-FICA EXEMPT")</f>
        <v xml:space="preserve">          6008 - STUDENT HOURLY-FICA EXEMPT</v>
      </c>
      <c r="C71" s="11"/>
      <c r="D71" s="7"/>
      <c r="E71" s="2"/>
      <c r="F71" s="6">
        <f t="shared" si="20"/>
        <v>0</v>
      </c>
      <c r="G71" s="2"/>
      <c r="H71" s="7">
        <v>1237.5</v>
      </c>
      <c r="I71" s="2"/>
      <c r="J71" s="6">
        <f t="shared" si="21"/>
        <v>3.4520754295916091E-2</v>
      </c>
      <c r="K71" s="2"/>
      <c r="L71" s="7">
        <f t="shared" si="22"/>
        <v>-1237.5</v>
      </c>
      <c r="M71" s="2"/>
      <c r="N71" s="6">
        <f t="shared" si="23"/>
        <v>-1</v>
      </c>
      <c r="O71" s="11"/>
      <c r="P71" s="7"/>
      <c r="Q71" s="2"/>
      <c r="R71" s="6">
        <f t="shared" si="24"/>
        <v>0</v>
      </c>
      <c r="S71" s="2"/>
      <c r="T71" s="7">
        <v>28928.75</v>
      </c>
      <c r="U71" s="2"/>
      <c r="V71" s="6">
        <f t="shared" si="25"/>
        <v>1.6449117264586359E-2</v>
      </c>
      <c r="W71" s="2"/>
      <c r="X71" s="7">
        <f t="shared" si="26"/>
        <v>-28928.75</v>
      </c>
      <c r="Y71" s="2"/>
      <c r="Z71" s="6">
        <f t="shared" si="27"/>
        <v>-1</v>
      </c>
    </row>
    <row r="72" spans="1:26" s="24" customFormat="1" hidden="1" outlineLevel="2" x14ac:dyDescent="0.25">
      <c r="A72" s="28"/>
      <c r="B72" s="11" t="str">
        <f>CONCATENATE("          ", "6009", " - ", "TEMPORARY-SEASONAL")</f>
        <v xml:space="preserve">          6009 - TEMPORARY-SEASONAL</v>
      </c>
      <c r="C72" s="11"/>
      <c r="D72" s="7"/>
      <c r="E72" s="2"/>
      <c r="F72" s="6">
        <f t="shared" si="20"/>
        <v>0</v>
      </c>
      <c r="G72" s="2"/>
      <c r="H72" s="7">
        <v>0</v>
      </c>
      <c r="I72" s="2"/>
      <c r="J72" s="6">
        <f t="shared" si="21"/>
        <v>0</v>
      </c>
      <c r="K72" s="2"/>
      <c r="L72" s="7">
        <f t="shared" si="22"/>
        <v>0</v>
      </c>
      <c r="M72" s="2"/>
      <c r="N72" s="6">
        <f t="shared" si="23"/>
        <v>0</v>
      </c>
      <c r="O72" s="11"/>
      <c r="P72" s="7"/>
      <c r="Q72" s="2"/>
      <c r="R72" s="6">
        <f t="shared" si="24"/>
        <v>0</v>
      </c>
      <c r="S72" s="2"/>
      <c r="T72" s="7">
        <v>0</v>
      </c>
      <c r="U72" s="2"/>
      <c r="V72" s="6">
        <f t="shared" si="25"/>
        <v>0</v>
      </c>
      <c r="W72" s="2"/>
      <c r="X72" s="7">
        <f t="shared" si="26"/>
        <v>0</v>
      </c>
      <c r="Y72" s="2"/>
      <c r="Z72" s="6">
        <f t="shared" si="27"/>
        <v>0</v>
      </c>
    </row>
    <row r="73" spans="1:26" s="24" customFormat="1" hidden="1" outlineLevel="2" x14ac:dyDescent="0.25">
      <c r="A73" s="28"/>
      <c r="B73" s="11" t="str">
        <f>CONCATENATE("          ", "6010", " - ", "GRATUITY")</f>
        <v xml:space="preserve">          6010 - GRATUITY</v>
      </c>
      <c r="C73" s="11"/>
      <c r="D73" s="7"/>
      <c r="E73" s="2"/>
      <c r="F73" s="6">
        <f t="shared" si="20"/>
        <v>0</v>
      </c>
      <c r="G73" s="2"/>
      <c r="H73" s="7">
        <v>0</v>
      </c>
      <c r="I73" s="2"/>
      <c r="J73" s="6">
        <f t="shared" si="21"/>
        <v>0</v>
      </c>
      <c r="K73" s="2"/>
      <c r="L73" s="7">
        <f t="shared" si="22"/>
        <v>0</v>
      </c>
      <c r="M73" s="2"/>
      <c r="N73" s="6">
        <f t="shared" si="23"/>
        <v>0</v>
      </c>
      <c r="O73" s="11"/>
      <c r="P73" s="7"/>
      <c r="Q73" s="2"/>
      <c r="R73" s="6">
        <f t="shared" si="24"/>
        <v>0</v>
      </c>
      <c r="S73" s="2"/>
      <c r="T73" s="7">
        <v>0</v>
      </c>
      <c r="U73" s="2"/>
      <c r="V73" s="6">
        <f t="shared" si="25"/>
        <v>0</v>
      </c>
      <c r="W73" s="2"/>
      <c r="X73" s="7">
        <f t="shared" si="26"/>
        <v>0</v>
      </c>
      <c r="Y73" s="2"/>
      <c r="Z73" s="6">
        <f t="shared" si="27"/>
        <v>0</v>
      </c>
    </row>
    <row r="74" spans="1:26" s="27" customFormat="1" outlineLevel="1" collapsed="1" x14ac:dyDescent="0.25">
      <c r="A74" s="29"/>
      <c r="B74" s="14" t="str">
        <f>CONCATENATE("     ","Advertising/Promo                                 ")</f>
        <v xml:space="preserve">     Advertising/Promo                                 </v>
      </c>
      <c r="C74" s="14"/>
      <c r="D74" s="1">
        <f>SUM(OSRRefD22_2x_0)</f>
        <v>0</v>
      </c>
      <c r="E74" s="1"/>
      <c r="F74" s="5">
        <f t="shared" ref="F74:F86" si="28">IF(D$12=0,0,D74/D$12)</f>
        <v>0</v>
      </c>
      <c r="G74" s="1"/>
      <c r="H74" s="1">
        <f>SUM(OSRRefH22_2x_0)</f>
        <v>100</v>
      </c>
      <c r="I74" s="1"/>
      <c r="J74" s="5">
        <f t="shared" ref="J74:J86" si="29">IF(H$12=0,0,H74/H$12)</f>
        <v>2.7895559027002899E-3</v>
      </c>
      <c r="K74" s="1"/>
      <c r="L74" s="1">
        <f t="shared" ref="L74:L86" si="30">+D74-H74</f>
        <v>-100</v>
      </c>
      <c r="M74" s="1"/>
      <c r="N74" s="5">
        <f t="shared" ref="N74:N86" si="31">IF(H74=0,0,L74/H74)</f>
        <v>-1</v>
      </c>
      <c r="O74" s="14"/>
      <c r="P74" s="1">
        <f>SUM(OSRRefP22_2x_0)</f>
        <v>1359.88</v>
      </c>
      <c r="Q74" s="1"/>
      <c r="R74" s="5">
        <f t="shared" ref="R74:R86" si="32">IF(P$12=0,0,P74/P$12)</f>
        <v>1.2642219155139282E-3</v>
      </c>
      <c r="S74" s="1"/>
      <c r="T74" s="1">
        <f>SUM(OSRRefT22_2x_0)</f>
        <v>1250</v>
      </c>
      <c r="U74" s="1"/>
      <c r="V74" s="5">
        <f t="shared" ref="V74:V86" si="33">IF(T$12=0,0,T74/T$12)</f>
        <v>7.107599388405288E-4</v>
      </c>
      <c r="W74" s="1"/>
      <c r="X74" s="1">
        <f t="shared" ref="X74:X86" si="34">+P74-T74</f>
        <v>109.88000000000011</v>
      </c>
      <c r="Y74" s="1"/>
      <c r="Z74" s="5">
        <f t="shared" ref="Z74:Z86" si="35">IF(T74=0,0,X74/T74)</f>
        <v>8.7904000000000093E-2</v>
      </c>
    </row>
    <row r="75" spans="1:26" s="24" customFormat="1" hidden="1" outlineLevel="2" x14ac:dyDescent="0.25">
      <c r="A75" s="28"/>
      <c r="B75" s="11" t="str">
        <f>CONCATENATE("          ", "6362", " - ", "ADVERTISING EXPENSE")</f>
        <v xml:space="preserve">          6362 - ADVERTISING EXPENSE</v>
      </c>
      <c r="C75" s="11"/>
      <c r="D75" s="7"/>
      <c r="E75" s="2"/>
      <c r="F75" s="6">
        <f t="shared" si="28"/>
        <v>0</v>
      </c>
      <c r="G75" s="2"/>
      <c r="H75" s="7">
        <v>100</v>
      </c>
      <c r="I75" s="2"/>
      <c r="J75" s="6">
        <f t="shared" si="29"/>
        <v>2.7895559027002899E-3</v>
      </c>
      <c r="K75" s="2"/>
      <c r="L75" s="7">
        <f t="shared" si="30"/>
        <v>-100</v>
      </c>
      <c r="M75" s="2"/>
      <c r="N75" s="6">
        <f t="shared" si="31"/>
        <v>-1</v>
      </c>
      <c r="O75" s="11"/>
      <c r="P75" s="7">
        <v>1359.88</v>
      </c>
      <c r="Q75" s="2"/>
      <c r="R75" s="6">
        <f t="shared" si="32"/>
        <v>1.2642219155139282E-3</v>
      </c>
      <c r="S75" s="2"/>
      <c r="T75" s="7">
        <v>1250</v>
      </c>
      <c r="U75" s="2"/>
      <c r="V75" s="6">
        <f t="shared" si="33"/>
        <v>7.107599388405288E-4</v>
      </c>
      <c r="W75" s="2"/>
      <c r="X75" s="7">
        <f t="shared" si="34"/>
        <v>109.88000000000011</v>
      </c>
      <c r="Y75" s="2"/>
      <c r="Z75" s="6">
        <f t="shared" si="35"/>
        <v>8.7904000000000093E-2</v>
      </c>
    </row>
    <row r="76" spans="1:26" s="27" customFormat="1" outlineLevel="1" collapsed="1" x14ac:dyDescent="0.25">
      <c r="A76" s="29"/>
      <c r="B76" s="14" t="str">
        <f>CONCATENATE("     ","Discounts and Markdowns                           ")</f>
        <v xml:space="preserve">     Discounts and Markdowns                           </v>
      </c>
      <c r="C76" s="14"/>
      <c r="D76" s="1">
        <f>SUM(OSRRefD22_3x_0)</f>
        <v>0</v>
      </c>
      <c r="E76" s="1"/>
      <c r="F76" s="5">
        <f t="shared" si="28"/>
        <v>0</v>
      </c>
      <c r="G76" s="1"/>
      <c r="H76" s="1">
        <f>SUM(OSRRefH22_3x_0)</f>
        <v>1000</v>
      </c>
      <c r="I76" s="1"/>
      <c r="J76" s="5">
        <f t="shared" si="29"/>
        <v>2.78955590270029E-2</v>
      </c>
      <c r="K76" s="1"/>
      <c r="L76" s="1">
        <f t="shared" si="30"/>
        <v>-1000</v>
      </c>
      <c r="M76" s="1"/>
      <c r="N76" s="5">
        <f t="shared" si="31"/>
        <v>-1</v>
      </c>
      <c r="O76" s="14"/>
      <c r="P76" s="1">
        <f>SUM(OSRRefP22_3x_0)</f>
        <v>0</v>
      </c>
      <c r="Q76" s="1"/>
      <c r="R76" s="5">
        <f t="shared" si="32"/>
        <v>0</v>
      </c>
      <c r="S76" s="1"/>
      <c r="T76" s="1">
        <f>SUM(OSRRefT22_3x_0)</f>
        <v>7400</v>
      </c>
      <c r="U76" s="1"/>
      <c r="V76" s="5">
        <f t="shared" si="33"/>
        <v>4.20769883793593E-3</v>
      </c>
      <c r="W76" s="1"/>
      <c r="X76" s="1">
        <f t="shared" si="34"/>
        <v>-7400</v>
      </c>
      <c r="Y76" s="1"/>
      <c r="Z76" s="5">
        <f t="shared" si="35"/>
        <v>-1</v>
      </c>
    </row>
    <row r="77" spans="1:26" s="24" customFormat="1" hidden="1" outlineLevel="2" x14ac:dyDescent="0.25">
      <c r="A77" s="28"/>
      <c r="B77" s="11" t="str">
        <f>CONCATENATE("          ", "6382", " - ", "DISCOUNTS/MARK DOWNS")</f>
        <v xml:space="preserve">          6382 - DISCOUNTS/MARK DOWNS</v>
      </c>
      <c r="C77" s="11"/>
      <c r="D77" s="7"/>
      <c r="E77" s="2"/>
      <c r="F77" s="6">
        <f t="shared" si="28"/>
        <v>0</v>
      </c>
      <c r="G77" s="2"/>
      <c r="H77" s="7">
        <v>1000</v>
      </c>
      <c r="I77" s="2"/>
      <c r="J77" s="6">
        <f t="shared" si="29"/>
        <v>2.78955590270029E-2</v>
      </c>
      <c r="K77" s="2"/>
      <c r="L77" s="7">
        <f t="shared" si="30"/>
        <v>-1000</v>
      </c>
      <c r="M77" s="2"/>
      <c r="N77" s="6">
        <f t="shared" si="31"/>
        <v>-1</v>
      </c>
      <c r="O77" s="11"/>
      <c r="P77" s="7"/>
      <c r="Q77" s="2"/>
      <c r="R77" s="6">
        <f t="shared" si="32"/>
        <v>0</v>
      </c>
      <c r="S77" s="2"/>
      <c r="T77" s="7">
        <v>7400</v>
      </c>
      <c r="U77" s="2"/>
      <c r="V77" s="6">
        <f t="shared" si="33"/>
        <v>4.20769883793593E-3</v>
      </c>
      <c r="W77" s="2"/>
      <c r="X77" s="7">
        <f t="shared" si="34"/>
        <v>-7400</v>
      </c>
      <c r="Y77" s="2"/>
      <c r="Z77" s="6">
        <f t="shared" si="35"/>
        <v>-1</v>
      </c>
    </row>
    <row r="78" spans="1:26" s="27" customFormat="1" outlineLevel="1" collapsed="1" x14ac:dyDescent="0.25">
      <c r="A78" s="29"/>
      <c r="B78" s="14" t="str">
        <f>CONCATENATE("     ","Employees' Appreciation                           ")</f>
        <v xml:space="preserve">     Employees' Appreciation                           </v>
      </c>
      <c r="C78" s="14"/>
      <c r="D78" s="1">
        <f>SUM(OSRRefD22_4x_0)</f>
        <v>0</v>
      </c>
      <c r="E78" s="1"/>
      <c r="F78" s="5">
        <f t="shared" si="28"/>
        <v>0</v>
      </c>
      <c r="G78" s="1"/>
      <c r="H78" s="1">
        <f>SUM(OSRRefH22_4x_0)</f>
        <v>75</v>
      </c>
      <c r="I78" s="1"/>
      <c r="J78" s="5">
        <f t="shared" si="29"/>
        <v>2.0921669270252178E-3</v>
      </c>
      <c r="K78" s="1"/>
      <c r="L78" s="1">
        <f t="shared" si="30"/>
        <v>-75</v>
      </c>
      <c r="M78" s="1"/>
      <c r="N78" s="5">
        <f t="shared" si="31"/>
        <v>-1</v>
      </c>
      <c r="O78" s="14"/>
      <c r="P78" s="1">
        <f>SUM(OSRRefP22_4x_0)</f>
        <v>107.7</v>
      </c>
      <c r="Q78" s="1"/>
      <c r="R78" s="5">
        <f t="shared" si="32"/>
        <v>1.0012405528491489E-4</v>
      </c>
      <c r="S78" s="1"/>
      <c r="T78" s="1">
        <f>SUM(OSRRefT22_4x_0)</f>
        <v>300</v>
      </c>
      <c r="U78" s="1"/>
      <c r="V78" s="5">
        <f t="shared" si="33"/>
        <v>1.7058238532172691E-4</v>
      </c>
      <c r="W78" s="1"/>
      <c r="X78" s="1">
        <f t="shared" si="34"/>
        <v>-192.3</v>
      </c>
      <c r="Y78" s="1"/>
      <c r="Z78" s="5">
        <f t="shared" si="35"/>
        <v>-0.64100000000000001</v>
      </c>
    </row>
    <row r="79" spans="1:26" s="24" customFormat="1" hidden="1" outlineLevel="2" x14ac:dyDescent="0.25">
      <c r="A79" s="28"/>
      <c r="B79" s="11" t="str">
        <f>CONCATENATE("          ", "6277", " - ", "EMPLOYEE APPRECIATION")</f>
        <v xml:space="preserve">          6277 - EMPLOYEE APPRECIATION</v>
      </c>
      <c r="C79" s="11"/>
      <c r="D79" s="7"/>
      <c r="E79" s="2"/>
      <c r="F79" s="6">
        <f t="shared" si="28"/>
        <v>0</v>
      </c>
      <c r="G79" s="2"/>
      <c r="H79" s="7">
        <v>75</v>
      </c>
      <c r="I79" s="2"/>
      <c r="J79" s="6">
        <f t="shared" si="29"/>
        <v>2.0921669270252178E-3</v>
      </c>
      <c r="K79" s="2"/>
      <c r="L79" s="7">
        <f t="shared" si="30"/>
        <v>-75</v>
      </c>
      <c r="M79" s="2"/>
      <c r="N79" s="6">
        <f t="shared" si="31"/>
        <v>-1</v>
      </c>
      <c r="O79" s="11"/>
      <c r="P79" s="7">
        <v>107.7</v>
      </c>
      <c r="Q79" s="2"/>
      <c r="R79" s="6">
        <f t="shared" si="32"/>
        <v>1.0012405528491489E-4</v>
      </c>
      <c r="S79" s="2"/>
      <c r="T79" s="7">
        <v>300</v>
      </c>
      <c r="U79" s="2"/>
      <c r="V79" s="6">
        <f t="shared" si="33"/>
        <v>1.7058238532172691E-4</v>
      </c>
      <c r="W79" s="2"/>
      <c r="X79" s="7">
        <f t="shared" si="34"/>
        <v>-192.3</v>
      </c>
      <c r="Y79" s="2"/>
      <c r="Z79" s="6">
        <f t="shared" si="35"/>
        <v>-0.64100000000000001</v>
      </c>
    </row>
    <row r="80" spans="1:26" s="27" customFormat="1" outlineLevel="1" collapsed="1" x14ac:dyDescent="0.25">
      <c r="A80" s="29"/>
      <c r="B80" s="14" t="str">
        <f>CONCATENATE("     ","Equipment Rental                                  ")</f>
        <v xml:space="preserve">     Equipment Rental                                  </v>
      </c>
      <c r="C80" s="14"/>
      <c r="D80" s="1">
        <f>SUM(OSRRefD22_5x_0)</f>
        <v>182.52</v>
      </c>
      <c r="E80" s="1"/>
      <c r="F80" s="5">
        <f t="shared" si="28"/>
        <v>5.7262649580318622E-3</v>
      </c>
      <c r="G80" s="1"/>
      <c r="H80" s="1">
        <f>SUM(OSRRefH22_5x_0)</f>
        <v>100</v>
      </c>
      <c r="I80" s="1"/>
      <c r="J80" s="5">
        <f t="shared" si="29"/>
        <v>2.7895559027002899E-3</v>
      </c>
      <c r="K80" s="1"/>
      <c r="L80" s="1">
        <f t="shared" si="30"/>
        <v>82.52000000000001</v>
      </c>
      <c r="M80" s="1"/>
      <c r="N80" s="5">
        <f t="shared" si="31"/>
        <v>0.82520000000000016</v>
      </c>
      <c r="O80" s="14"/>
      <c r="P80" s="1">
        <f>SUM(OSRRefP22_5x_0)</f>
        <v>456.3</v>
      </c>
      <c r="Q80" s="1"/>
      <c r="R80" s="5">
        <f t="shared" si="32"/>
        <v>4.242024737837202E-4</v>
      </c>
      <c r="S80" s="1"/>
      <c r="T80" s="1">
        <f>SUM(OSRRefT22_5x_0)</f>
        <v>400</v>
      </c>
      <c r="U80" s="1"/>
      <c r="V80" s="5">
        <f t="shared" si="33"/>
        <v>2.2744318042896921E-4</v>
      </c>
      <c r="W80" s="1"/>
      <c r="X80" s="1">
        <f t="shared" si="34"/>
        <v>56.300000000000011</v>
      </c>
      <c r="Y80" s="1"/>
      <c r="Z80" s="5">
        <f t="shared" si="35"/>
        <v>0.14075000000000004</v>
      </c>
    </row>
    <row r="81" spans="1:26" s="24" customFormat="1" hidden="1" outlineLevel="2" x14ac:dyDescent="0.25">
      <c r="A81" s="28"/>
      <c r="B81" s="11" t="str">
        <f>CONCATENATE("          ", "6351", " - ", "EQUIPMENT RENTAL")</f>
        <v xml:space="preserve">          6351 - EQUIPMENT RENTAL</v>
      </c>
      <c r="C81" s="11"/>
      <c r="D81" s="7">
        <v>182.52</v>
      </c>
      <c r="E81" s="2"/>
      <c r="F81" s="6">
        <f t="shared" si="28"/>
        <v>5.7262649580318622E-3</v>
      </c>
      <c r="G81" s="2"/>
      <c r="H81" s="7">
        <v>100</v>
      </c>
      <c r="I81" s="2"/>
      <c r="J81" s="6">
        <f t="shared" si="29"/>
        <v>2.7895559027002899E-3</v>
      </c>
      <c r="K81" s="2"/>
      <c r="L81" s="7">
        <f t="shared" si="30"/>
        <v>82.52000000000001</v>
      </c>
      <c r="M81" s="2"/>
      <c r="N81" s="6">
        <f t="shared" si="31"/>
        <v>0.82520000000000016</v>
      </c>
      <c r="O81" s="11"/>
      <c r="P81" s="7">
        <v>456.3</v>
      </c>
      <c r="Q81" s="2"/>
      <c r="R81" s="6">
        <f t="shared" si="32"/>
        <v>4.242024737837202E-4</v>
      </c>
      <c r="S81" s="2"/>
      <c r="T81" s="7">
        <v>400</v>
      </c>
      <c r="U81" s="2"/>
      <c r="V81" s="6">
        <f t="shared" si="33"/>
        <v>2.2744318042896921E-4</v>
      </c>
      <c r="W81" s="2"/>
      <c r="X81" s="7">
        <f t="shared" si="34"/>
        <v>56.300000000000011</v>
      </c>
      <c r="Y81" s="2"/>
      <c r="Z81" s="6">
        <f t="shared" si="35"/>
        <v>0.14075000000000004</v>
      </c>
    </row>
    <row r="82" spans="1:26" s="27" customFormat="1" outlineLevel="1" collapsed="1" x14ac:dyDescent="0.25">
      <c r="A82" s="29"/>
      <c r="B82" s="14" t="str">
        <f>CONCATENATE("     ","Freight out/Postage                               ")</f>
        <v xml:space="preserve">     Freight out/Postage                               </v>
      </c>
      <c r="C82" s="14"/>
      <c r="D82" s="1">
        <f>SUM(OSRRefD22_6x_0)</f>
        <v>29.84</v>
      </c>
      <c r="E82" s="1"/>
      <c r="F82" s="5">
        <f t="shared" si="28"/>
        <v>9.3618094645885801E-4</v>
      </c>
      <c r="G82" s="1"/>
      <c r="H82" s="1">
        <f>SUM(OSRRefH22_6x_0)</f>
        <v>2200</v>
      </c>
      <c r="I82" s="1"/>
      <c r="J82" s="5">
        <f t="shared" si="29"/>
        <v>6.1370229859406385E-2</v>
      </c>
      <c r="K82" s="1"/>
      <c r="L82" s="1">
        <f t="shared" si="30"/>
        <v>-2170.16</v>
      </c>
      <c r="M82" s="1"/>
      <c r="N82" s="5">
        <f t="shared" si="31"/>
        <v>-0.98643636363636356</v>
      </c>
      <c r="O82" s="14"/>
      <c r="P82" s="1">
        <f>SUM(OSRRefP22_6x_0)</f>
        <v>566</v>
      </c>
      <c r="Q82" s="1"/>
      <c r="R82" s="5">
        <f t="shared" si="32"/>
        <v>5.2618584300150257E-4</v>
      </c>
      <c r="S82" s="1"/>
      <c r="T82" s="1">
        <f>SUM(OSRRefT22_6x_0)</f>
        <v>5700</v>
      </c>
      <c r="U82" s="1"/>
      <c r="V82" s="5">
        <f t="shared" si="33"/>
        <v>3.2410653211128113E-3</v>
      </c>
      <c r="W82" s="1"/>
      <c r="X82" s="1">
        <f t="shared" si="34"/>
        <v>-5134</v>
      </c>
      <c r="Y82" s="1"/>
      <c r="Z82" s="5">
        <f t="shared" si="35"/>
        <v>-0.90070175438596489</v>
      </c>
    </row>
    <row r="83" spans="1:26" s="24" customFormat="1" hidden="1" outlineLevel="2" x14ac:dyDescent="0.25">
      <c r="A83" s="28"/>
      <c r="B83" s="11" t="str">
        <f>CONCATENATE("          ", "6305", " - ", "FREIGHT OUT")</f>
        <v xml:space="preserve">          6305 - FREIGHT OUT</v>
      </c>
      <c r="C83" s="11"/>
      <c r="D83" s="7">
        <v>29.84</v>
      </c>
      <c r="E83" s="2"/>
      <c r="F83" s="6">
        <f t="shared" si="28"/>
        <v>9.3618094645885801E-4</v>
      </c>
      <c r="G83" s="2"/>
      <c r="H83" s="7">
        <v>2200</v>
      </c>
      <c r="I83" s="2"/>
      <c r="J83" s="6">
        <f t="shared" si="29"/>
        <v>6.1370229859406385E-2</v>
      </c>
      <c r="K83" s="2"/>
      <c r="L83" s="7">
        <f t="shared" si="30"/>
        <v>-2170.16</v>
      </c>
      <c r="M83" s="2"/>
      <c r="N83" s="6">
        <f t="shared" si="31"/>
        <v>-0.98643636363636356</v>
      </c>
      <c r="O83" s="11"/>
      <c r="P83" s="7">
        <v>566</v>
      </c>
      <c r="Q83" s="2"/>
      <c r="R83" s="6">
        <f t="shared" si="32"/>
        <v>5.2618584300150257E-4</v>
      </c>
      <c r="S83" s="2"/>
      <c r="T83" s="7">
        <v>5700</v>
      </c>
      <c r="U83" s="2"/>
      <c r="V83" s="6">
        <f t="shared" si="33"/>
        <v>3.2410653211128113E-3</v>
      </c>
      <c r="W83" s="2"/>
      <c r="X83" s="7">
        <f t="shared" si="34"/>
        <v>-5134</v>
      </c>
      <c r="Y83" s="2"/>
      <c r="Z83" s="6">
        <f t="shared" si="35"/>
        <v>-0.90070175438596489</v>
      </c>
    </row>
    <row r="84" spans="1:26" s="27" customFormat="1" outlineLevel="1" collapsed="1" x14ac:dyDescent="0.25">
      <c r="A84" s="29"/>
      <c r="B84" s="14" t="str">
        <f>CONCATENATE("     ","General                                           ")</f>
        <v xml:space="preserve">     General                                           </v>
      </c>
      <c r="C84" s="14"/>
      <c r="D84" s="1">
        <f>SUM(OSRRefD22_7x_0)</f>
        <v>-40</v>
      </c>
      <c r="E84" s="1"/>
      <c r="F84" s="5">
        <f t="shared" si="28"/>
        <v>-1.2549342445829195E-3</v>
      </c>
      <c r="G84" s="1"/>
      <c r="H84" s="1">
        <f>SUM(OSRRefH22_7x_0)</f>
        <v>0</v>
      </c>
      <c r="I84" s="1"/>
      <c r="J84" s="5">
        <f t="shared" si="29"/>
        <v>0</v>
      </c>
      <c r="K84" s="1"/>
      <c r="L84" s="1">
        <f t="shared" si="30"/>
        <v>-40</v>
      </c>
      <c r="M84" s="1"/>
      <c r="N84" s="5">
        <f t="shared" si="31"/>
        <v>0</v>
      </c>
      <c r="O84" s="14"/>
      <c r="P84" s="1">
        <f>SUM(OSRRefP22_7x_0)</f>
        <v>-4834.1899999999996</v>
      </c>
      <c r="Q84" s="1"/>
      <c r="R84" s="5">
        <f t="shared" si="32"/>
        <v>-4.4941384105643698E-3</v>
      </c>
      <c r="S84" s="1"/>
      <c r="T84" s="1">
        <f>SUM(OSRRefT22_7x_0)</f>
        <v>125</v>
      </c>
      <c r="U84" s="1"/>
      <c r="V84" s="5">
        <f t="shared" si="33"/>
        <v>7.1075993884052877E-5</v>
      </c>
      <c r="W84" s="1"/>
      <c r="X84" s="1">
        <f t="shared" si="34"/>
        <v>-4959.1899999999996</v>
      </c>
      <c r="Y84" s="1"/>
      <c r="Z84" s="5">
        <f t="shared" si="35"/>
        <v>-39.673519999999996</v>
      </c>
    </row>
    <row r="85" spans="1:26" s="24" customFormat="1" hidden="1" outlineLevel="2" x14ac:dyDescent="0.25">
      <c r="A85" s="28"/>
      <c r="B85" s="11" t="str">
        <f>CONCATENATE("          ", "6269", " - ", "ENTERTAINMENT")</f>
        <v xml:space="preserve">          6269 - ENTERTAINMENT</v>
      </c>
      <c r="C85" s="11"/>
      <c r="D85" s="7"/>
      <c r="E85" s="2"/>
      <c r="F85" s="6">
        <f t="shared" si="28"/>
        <v>0</v>
      </c>
      <c r="G85" s="2"/>
      <c r="H85" s="7"/>
      <c r="I85" s="2"/>
      <c r="J85" s="6">
        <f t="shared" si="29"/>
        <v>0</v>
      </c>
      <c r="K85" s="2"/>
      <c r="L85" s="7">
        <f t="shared" si="30"/>
        <v>0</v>
      </c>
      <c r="M85" s="2"/>
      <c r="N85" s="6">
        <f t="shared" si="31"/>
        <v>0</v>
      </c>
      <c r="O85" s="11"/>
      <c r="P85" s="7"/>
      <c r="Q85" s="2"/>
      <c r="R85" s="6">
        <f t="shared" si="32"/>
        <v>0</v>
      </c>
      <c r="S85" s="2"/>
      <c r="T85" s="7">
        <v>125</v>
      </c>
      <c r="U85" s="2"/>
      <c r="V85" s="6">
        <f t="shared" si="33"/>
        <v>7.1075993884052877E-5</v>
      </c>
      <c r="W85" s="2"/>
      <c r="X85" s="7">
        <f t="shared" si="34"/>
        <v>-125</v>
      </c>
      <c r="Y85" s="2"/>
      <c r="Z85" s="6">
        <f t="shared" si="35"/>
        <v>-1</v>
      </c>
    </row>
    <row r="86" spans="1:26" s="24" customFormat="1" hidden="1" outlineLevel="2" x14ac:dyDescent="0.25">
      <c r="A86" s="28"/>
      <c r="B86" s="11" t="str">
        <f>CONCATENATE("          ", "6279", " - ", "GENERAL EXPENSE")</f>
        <v xml:space="preserve">          6279 - GENERAL EXPENSE</v>
      </c>
      <c r="C86" s="11"/>
      <c r="D86" s="7">
        <v>-40</v>
      </c>
      <c r="E86" s="2"/>
      <c r="F86" s="6">
        <f t="shared" si="28"/>
        <v>-1.2549342445829195E-3</v>
      </c>
      <c r="G86" s="2"/>
      <c r="H86" s="7"/>
      <c r="I86" s="2"/>
      <c r="J86" s="6">
        <f t="shared" si="29"/>
        <v>0</v>
      </c>
      <c r="K86" s="2"/>
      <c r="L86" s="7">
        <f t="shared" si="30"/>
        <v>-40</v>
      </c>
      <c r="M86" s="2"/>
      <c r="N86" s="6">
        <f t="shared" si="31"/>
        <v>0</v>
      </c>
      <c r="O86" s="11"/>
      <c r="P86" s="7">
        <v>-4834.1899999999996</v>
      </c>
      <c r="Q86" s="2"/>
      <c r="R86" s="6">
        <f t="shared" si="32"/>
        <v>-4.4941384105643698E-3</v>
      </c>
      <c r="S86" s="2"/>
      <c r="T86" s="7"/>
      <c r="U86" s="2"/>
      <c r="V86" s="6">
        <f t="shared" si="33"/>
        <v>0</v>
      </c>
      <c r="W86" s="2"/>
      <c r="X86" s="7">
        <f t="shared" si="34"/>
        <v>-4834.1899999999996</v>
      </c>
      <c r="Y86" s="2"/>
      <c r="Z86" s="6">
        <f t="shared" si="35"/>
        <v>0</v>
      </c>
    </row>
    <row r="87" spans="1:26" s="27" customFormat="1" outlineLevel="1" collapsed="1" x14ac:dyDescent="0.25">
      <c r="A87" s="29"/>
      <c r="B87" s="14" t="str">
        <f>CONCATENATE("     ","Inventory Adjustment                              ")</f>
        <v xml:space="preserve">     Inventory Adjustment                              </v>
      </c>
      <c r="C87" s="14"/>
      <c r="D87" s="1">
        <f>SUM(OSRRefD22_8x_0)</f>
        <v>1000</v>
      </c>
      <c r="E87" s="1"/>
      <c r="F87" s="5">
        <f t="shared" ref="F87:F91" si="36">IF(D$12=0,0,D87/D$12)</f>
        <v>3.1373356114572988E-2</v>
      </c>
      <c r="G87" s="1"/>
      <c r="H87" s="1">
        <f>SUM(OSRRefH22_8x_0)</f>
        <v>1000</v>
      </c>
      <c r="I87" s="1"/>
      <c r="J87" s="5">
        <f t="shared" ref="J87:J91" si="37">IF(H$12=0,0,H87/H$12)</f>
        <v>2.78955590270029E-2</v>
      </c>
      <c r="K87" s="1"/>
      <c r="L87" s="1">
        <f t="shared" ref="L87:L91" si="38">+D87-H87</f>
        <v>0</v>
      </c>
      <c r="M87" s="1"/>
      <c r="N87" s="5">
        <f t="shared" ref="N87:N91" si="39">IF(H87=0,0,L87/H87)</f>
        <v>0</v>
      </c>
      <c r="O87" s="14"/>
      <c r="P87" s="1">
        <f>SUM(OSRRefP22_8x_0)</f>
        <v>4000</v>
      </c>
      <c r="Q87" s="1"/>
      <c r="R87" s="5">
        <f t="shared" ref="R87:R91" si="40">IF(P$12=0,0,P87/P$12)</f>
        <v>3.7186278657350006E-3</v>
      </c>
      <c r="S87" s="1"/>
      <c r="T87" s="1">
        <f>SUM(OSRRefT22_8x_0)</f>
        <v>4000</v>
      </c>
      <c r="U87" s="1"/>
      <c r="V87" s="5">
        <f t="shared" ref="V87:V91" si="41">IF(T$12=0,0,T87/T$12)</f>
        <v>2.2744318042896921E-3</v>
      </c>
      <c r="W87" s="1"/>
      <c r="X87" s="1">
        <f t="shared" ref="X87:X91" si="42">+P87-T87</f>
        <v>0</v>
      </c>
      <c r="Y87" s="1"/>
      <c r="Z87" s="5">
        <f t="shared" ref="Z87:Z91" si="43">IF(T87=0,0,X87/T87)</f>
        <v>0</v>
      </c>
    </row>
    <row r="88" spans="1:26" s="24" customFormat="1" hidden="1" outlineLevel="2" x14ac:dyDescent="0.25">
      <c r="A88" s="28"/>
      <c r="B88" s="11" t="str">
        <f>CONCATENATE("          ", "6408", " - ", "INVENTORY ADJUSTMENT")</f>
        <v xml:space="preserve">          6408 - INVENTORY ADJUSTMENT</v>
      </c>
      <c r="C88" s="11"/>
      <c r="D88" s="7">
        <v>1000</v>
      </c>
      <c r="E88" s="2"/>
      <c r="F88" s="6">
        <f t="shared" si="36"/>
        <v>3.1373356114572988E-2</v>
      </c>
      <c r="G88" s="2"/>
      <c r="H88" s="7">
        <v>1000</v>
      </c>
      <c r="I88" s="2"/>
      <c r="J88" s="6">
        <f t="shared" si="37"/>
        <v>2.78955590270029E-2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>
        <v>4000</v>
      </c>
      <c r="Q88" s="2"/>
      <c r="R88" s="6">
        <f t="shared" si="40"/>
        <v>3.7186278657350006E-3</v>
      </c>
      <c r="S88" s="2"/>
      <c r="T88" s="7">
        <v>4000</v>
      </c>
      <c r="U88" s="2"/>
      <c r="V88" s="6">
        <f t="shared" si="41"/>
        <v>2.2744318042896921E-3</v>
      </c>
      <c r="W88" s="2"/>
      <c r="X88" s="7">
        <f t="shared" si="42"/>
        <v>0</v>
      </c>
      <c r="Y88" s="2"/>
      <c r="Z88" s="6">
        <f t="shared" si="43"/>
        <v>0</v>
      </c>
    </row>
    <row r="89" spans="1:26" s="27" customFormat="1" outlineLevel="1" collapsed="1" x14ac:dyDescent="0.25">
      <c r="A89" s="29"/>
      <c r="B89" s="14" t="str">
        <f>CONCATENATE("     ","Repair and Maintenance                            ")</f>
        <v xml:space="preserve">     Repair and Maintenance                            </v>
      </c>
      <c r="C89" s="14"/>
      <c r="D89" s="1">
        <f>SUM(OSRRefD22_9x_0)</f>
        <v>19.670000000000002</v>
      </c>
      <c r="E89" s="1"/>
      <c r="F89" s="5">
        <f t="shared" si="36"/>
        <v>6.1711391477365079E-4</v>
      </c>
      <c r="G89" s="1"/>
      <c r="H89" s="1">
        <f>SUM(OSRRefH22_9x_0)</f>
        <v>140</v>
      </c>
      <c r="I89" s="1"/>
      <c r="J89" s="5">
        <f t="shared" si="37"/>
        <v>3.9053782637804061E-3</v>
      </c>
      <c r="K89" s="1"/>
      <c r="L89" s="1">
        <f t="shared" si="38"/>
        <v>-120.33</v>
      </c>
      <c r="M89" s="1"/>
      <c r="N89" s="5">
        <f t="shared" si="39"/>
        <v>-0.85950000000000004</v>
      </c>
      <c r="O89" s="14"/>
      <c r="P89" s="1">
        <f>SUM(OSRRefP22_9x_0)</f>
        <v>111.47</v>
      </c>
      <c r="Q89" s="1"/>
      <c r="R89" s="5">
        <f t="shared" si="40"/>
        <v>1.0362886204837012E-4</v>
      </c>
      <c r="S89" s="1"/>
      <c r="T89" s="1">
        <f>SUM(OSRRefT22_9x_0)</f>
        <v>560</v>
      </c>
      <c r="U89" s="1"/>
      <c r="V89" s="5">
        <f t="shared" si="41"/>
        <v>3.1842045260055689E-4</v>
      </c>
      <c r="W89" s="1"/>
      <c r="X89" s="1">
        <f t="shared" si="42"/>
        <v>-448.53</v>
      </c>
      <c r="Y89" s="1"/>
      <c r="Z89" s="5">
        <f t="shared" si="43"/>
        <v>-0.8009464285714285</v>
      </c>
    </row>
    <row r="90" spans="1:26" s="24" customFormat="1" hidden="1" outlineLevel="2" x14ac:dyDescent="0.25">
      <c r="A90" s="28"/>
      <c r="B90" s="11" t="str">
        <f>CONCATENATE("          ", "6373", " - ", "MAINTENANCE CONTRACTS")</f>
        <v xml:space="preserve">          6373 - MAINTENANCE CONTRACTS</v>
      </c>
      <c r="C90" s="11"/>
      <c r="D90" s="7">
        <v>19.670000000000002</v>
      </c>
      <c r="E90" s="2"/>
      <c r="F90" s="6">
        <f t="shared" si="36"/>
        <v>6.1711391477365079E-4</v>
      </c>
      <c r="G90" s="2"/>
      <c r="H90" s="7">
        <v>40</v>
      </c>
      <c r="I90" s="2"/>
      <c r="J90" s="6">
        <f t="shared" si="37"/>
        <v>1.1158223610801161E-3</v>
      </c>
      <c r="K90" s="2"/>
      <c r="L90" s="7">
        <f t="shared" si="38"/>
        <v>-20.329999999999998</v>
      </c>
      <c r="M90" s="2"/>
      <c r="N90" s="6">
        <f t="shared" si="39"/>
        <v>-0.50824999999999998</v>
      </c>
      <c r="O90" s="11"/>
      <c r="P90" s="7">
        <v>86.36</v>
      </c>
      <c r="Q90" s="2"/>
      <c r="R90" s="6">
        <f t="shared" si="40"/>
        <v>8.0285175621218666E-5</v>
      </c>
      <c r="S90" s="2"/>
      <c r="T90" s="7">
        <v>160</v>
      </c>
      <c r="U90" s="2"/>
      <c r="V90" s="6">
        <f t="shared" si="41"/>
        <v>9.0977272171587683E-5</v>
      </c>
      <c r="W90" s="2"/>
      <c r="X90" s="7">
        <f t="shared" si="42"/>
        <v>-73.64</v>
      </c>
      <c r="Y90" s="2"/>
      <c r="Z90" s="6">
        <f t="shared" si="43"/>
        <v>-0.46024999999999999</v>
      </c>
    </row>
    <row r="91" spans="1:26" s="24" customFormat="1" hidden="1" outlineLevel="2" x14ac:dyDescent="0.25">
      <c r="A91" s="28"/>
      <c r="B91" s="11" t="str">
        <f>CONCATENATE("          ", "6375", " - ", "OUTSIDE REPAIRS &amp; MAINTENANCE")</f>
        <v xml:space="preserve">          6375 - OUTSIDE REPAIRS &amp; MAINTENANCE</v>
      </c>
      <c r="C91" s="11"/>
      <c r="D91" s="7"/>
      <c r="E91" s="2"/>
      <c r="F91" s="6">
        <f t="shared" si="36"/>
        <v>0</v>
      </c>
      <c r="G91" s="2"/>
      <c r="H91" s="7">
        <v>100</v>
      </c>
      <c r="I91" s="2"/>
      <c r="J91" s="6">
        <f t="shared" si="37"/>
        <v>2.7895559027002899E-3</v>
      </c>
      <c r="K91" s="2"/>
      <c r="L91" s="7">
        <f t="shared" si="38"/>
        <v>-100</v>
      </c>
      <c r="M91" s="2"/>
      <c r="N91" s="6">
        <f t="shared" si="39"/>
        <v>-1</v>
      </c>
      <c r="O91" s="11"/>
      <c r="P91" s="7">
        <v>25.11</v>
      </c>
      <c r="Q91" s="2"/>
      <c r="R91" s="6">
        <f t="shared" si="40"/>
        <v>2.3343686427151465E-5</v>
      </c>
      <c r="S91" s="2"/>
      <c r="T91" s="7">
        <v>400</v>
      </c>
      <c r="U91" s="2"/>
      <c r="V91" s="6">
        <f t="shared" si="41"/>
        <v>2.2744318042896921E-4</v>
      </c>
      <c r="W91" s="2"/>
      <c r="X91" s="7">
        <f t="shared" si="42"/>
        <v>-374.89</v>
      </c>
      <c r="Y91" s="2"/>
      <c r="Z91" s="6">
        <f t="shared" si="43"/>
        <v>-0.93722499999999997</v>
      </c>
    </row>
    <row r="92" spans="1:26" s="27" customFormat="1" outlineLevel="1" collapsed="1" x14ac:dyDescent="0.25">
      <c r="A92" s="29"/>
      <c r="B92" s="14" t="str">
        <f>CONCATENATE("     ","Subscriptions &amp; Dues                              ")</f>
        <v xml:space="preserve">     Subscriptions &amp; Dues                              </v>
      </c>
      <c r="C92" s="14"/>
      <c r="D92" s="1">
        <f>SUM(OSRRefD22_10x_0)</f>
        <v>790.32</v>
      </c>
      <c r="E92" s="1"/>
      <c r="F92" s="5">
        <f t="shared" ref="F92:F97" si="44">IF(D$12=0,0,D92/D$12)</f>
        <v>2.4794990804469327E-2</v>
      </c>
      <c r="G92" s="1"/>
      <c r="H92" s="1">
        <f>SUM(OSRRefH22_10x_0)</f>
        <v>300</v>
      </c>
      <c r="I92" s="1"/>
      <c r="J92" s="5">
        <f t="shared" ref="J92:J97" si="45">IF(H$12=0,0,H92/H$12)</f>
        <v>8.3686677081008711E-3</v>
      </c>
      <c r="K92" s="1"/>
      <c r="L92" s="1">
        <f t="shared" ref="L92:L97" si="46">+D92-H92</f>
        <v>490.32000000000005</v>
      </c>
      <c r="M92" s="1"/>
      <c r="N92" s="5">
        <f t="shared" ref="N92:N97" si="47">IF(H92=0,0,L92/H92)</f>
        <v>1.6344000000000001</v>
      </c>
      <c r="O92" s="14"/>
      <c r="P92" s="1">
        <f>SUM(OSRRefP22_10x_0)</f>
        <v>1423.36</v>
      </c>
      <c r="Q92" s="1"/>
      <c r="R92" s="5">
        <f t="shared" ref="R92:R97" si="48">IF(P$12=0,0,P92/P$12)</f>
        <v>1.3232365397431425E-3</v>
      </c>
      <c r="S92" s="1"/>
      <c r="T92" s="1">
        <f>SUM(OSRRefT22_10x_0)</f>
        <v>1200</v>
      </c>
      <c r="U92" s="1"/>
      <c r="V92" s="5">
        <f t="shared" ref="V92:V97" si="49">IF(T$12=0,0,T92/T$12)</f>
        <v>6.8232954128690762E-4</v>
      </c>
      <c r="W92" s="1"/>
      <c r="X92" s="1">
        <f t="shared" ref="X92:X97" si="50">+P92-T92</f>
        <v>223.3599999999999</v>
      </c>
      <c r="Y92" s="1"/>
      <c r="Z92" s="5">
        <f t="shared" ref="Z92:Z97" si="51">IF(T92=0,0,X92/T92)</f>
        <v>0.18613333333333326</v>
      </c>
    </row>
    <row r="93" spans="1:26" s="24" customFormat="1" hidden="1" outlineLevel="2" x14ac:dyDescent="0.25">
      <c r="A93" s="28"/>
      <c r="B93" s="11" t="str">
        <f>CONCATENATE("          ", "6258", " - ", "MEMBERSHIP DUES")</f>
        <v xml:space="preserve">          6258 - MEMBERSHIP DUES</v>
      </c>
      <c r="C93" s="11"/>
      <c r="D93" s="7">
        <v>790.32</v>
      </c>
      <c r="E93" s="2"/>
      <c r="F93" s="6">
        <f t="shared" si="44"/>
        <v>2.4794990804469327E-2</v>
      </c>
      <c r="G93" s="2"/>
      <c r="H93" s="7">
        <v>300</v>
      </c>
      <c r="I93" s="2"/>
      <c r="J93" s="6">
        <f t="shared" si="45"/>
        <v>8.3686677081008711E-3</v>
      </c>
      <c r="K93" s="2"/>
      <c r="L93" s="7">
        <f t="shared" si="46"/>
        <v>490.32000000000005</v>
      </c>
      <c r="M93" s="2"/>
      <c r="N93" s="6">
        <f t="shared" si="47"/>
        <v>1.6344000000000001</v>
      </c>
      <c r="O93" s="11"/>
      <c r="P93" s="7">
        <v>1423.36</v>
      </c>
      <c r="Q93" s="2"/>
      <c r="R93" s="6">
        <f t="shared" si="48"/>
        <v>1.3232365397431425E-3</v>
      </c>
      <c r="S93" s="2"/>
      <c r="T93" s="7">
        <v>1200</v>
      </c>
      <c r="U93" s="2"/>
      <c r="V93" s="6">
        <f t="shared" si="49"/>
        <v>6.8232954128690762E-4</v>
      </c>
      <c r="W93" s="2"/>
      <c r="X93" s="7">
        <f t="shared" si="50"/>
        <v>223.3599999999999</v>
      </c>
      <c r="Y93" s="2"/>
      <c r="Z93" s="6">
        <f t="shared" si="51"/>
        <v>0.18613333333333326</v>
      </c>
    </row>
    <row r="94" spans="1:26" s="27" customFormat="1" outlineLevel="1" collapsed="1" x14ac:dyDescent="0.25">
      <c r="A94" s="29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SUM(OSRRefD22_11x_0)</f>
        <v>146.28</v>
      </c>
      <c r="E94" s="1"/>
      <c r="F94" s="5">
        <f t="shared" si="44"/>
        <v>4.5892945324397371E-3</v>
      </c>
      <c r="G94" s="1"/>
      <c r="H94" s="1">
        <f>SUM(OSRRefH22_11x_0)</f>
        <v>600</v>
      </c>
      <c r="I94" s="1"/>
      <c r="J94" s="5">
        <f t="shared" si="45"/>
        <v>1.6737335416201742E-2</v>
      </c>
      <c r="K94" s="1"/>
      <c r="L94" s="1">
        <f t="shared" si="46"/>
        <v>-453.72</v>
      </c>
      <c r="M94" s="1"/>
      <c r="N94" s="5">
        <f t="shared" si="47"/>
        <v>-0.75620000000000009</v>
      </c>
      <c r="O94" s="14"/>
      <c r="P94" s="1">
        <f>SUM(OSRRefP22_11x_0)</f>
        <v>1235.25</v>
      </c>
      <c r="Q94" s="1"/>
      <c r="R94" s="5">
        <f t="shared" si="48"/>
        <v>1.1483587677872898E-3</v>
      </c>
      <c r="S94" s="1"/>
      <c r="T94" s="1">
        <f>SUM(OSRRefT22_11x_0)</f>
        <v>4600</v>
      </c>
      <c r="U94" s="1"/>
      <c r="V94" s="5">
        <f t="shared" si="49"/>
        <v>2.6155965749331458E-3</v>
      </c>
      <c r="W94" s="1"/>
      <c r="X94" s="1">
        <f t="shared" si="50"/>
        <v>-3364.75</v>
      </c>
      <c r="Y94" s="1"/>
      <c r="Z94" s="5">
        <f t="shared" si="51"/>
        <v>-0.73146739130434779</v>
      </c>
    </row>
    <row r="95" spans="1:26" s="24" customFormat="1" hidden="1" outlineLevel="2" x14ac:dyDescent="0.25">
      <c r="A95" s="28"/>
      <c r="B95" s="11" t="str">
        <f>CONCATENATE("          ", "6241", " - ", "OFFICE EXPENSE")</f>
        <v xml:space="preserve">          6241 - OFFICE EXPENSE</v>
      </c>
      <c r="C95" s="11"/>
      <c r="D95" s="7">
        <v>146.28</v>
      </c>
      <c r="E95" s="2"/>
      <c r="F95" s="6">
        <f t="shared" si="44"/>
        <v>4.5892945324397371E-3</v>
      </c>
      <c r="G95" s="2"/>
      <c r="H95" s="7">
        <v>300</v>
      </c>
      <c r="I95" s="2"/>
      <c r="J95" s="6">
        <f t="shared" si="45"/>
        <v>8.3686677081008711E-3</v>
      </c>
      <c r="K95" s="2"/>
      <c r="L95" s="7">
        <f t="shared" si="46"/>
        <v>-153.72</v>
      </c>
      <c r="M95" s="2"/>
      <c r="N95" s="6">
        <f t="shared" si="47"/>
        <v>-0.51239999999999997</v>
      </c>
      <c r="O95" s="11"/>
      <c r="P95" s="7">
        <v>602.15</v>
      </c>
      <c r="Q95" s="2"/>
      <c r="R95" s="6">
        <f t="shared" si="48"/>
        <v>5.597929423380826E-4</v>
      </c>
      <c r="S95" s="2"/>
      <c r="T95" s="7">
        <v>1500</v>
      </c>
      <c r="U95" s="2"/>
      <c r="V95" s="6">
        <f t="shared" si="49"/>
        <v>8.5291192660863458E-4</v>
      </c>
      <c r="W95" s="2"/>
      <c r="X95" s="7">
        <f t="shared" si="50"/>
        <v>-897.85</v>
      </c>
      <c r="Y95" s="2"/>
      <c r="Z95" s="6">
        <f t="shared" si="51"/>
        <v>-0.59856666666666669</v>
      </c>
    </row>
    <row r="96" spans="1:26" s="24" customFormat="1" hidden="1" outlineLevel="2" x14ac:dyDescent="0.25">
      <c r="A96" s="28"/>
      <c r="B96" s="11" t="str">
        <f>CONCATENATE("          ", "6245", " - ", "PRINTING")</f>
        <v xml:space="preserve">          6245 - PRINTING</v>
      </c>
      <c r="C96" s="11"/>
      <c r="D96" s="7"/>
      <c r="E96" s="2"/>
      <c r="F96" s="6">
        <f t="shared" si="44"/>
        <v>0</v>
      </c>
      <c r="G96" s="2"/>
      <c r="H96" s="7">
        <v>100</v>
      </c>
      <c r="I96" s="2"/>
      <c r="J96" s="6">
        <f t="shared" si="45"/>
        <v>2.7895559027002899E-3</v>
      </c>
      <c r="K96" s="2"/>
      <c r="L96" s="7">
        <f t="shared" si="46"/>
        <v>-100</v>
      </c>
      <c r="M96" s="2"/>
      <c r="N96" s="6">
        <f t="shared" si="47"/>
        <v>-1</v>
      </c>
      <c r="O96" s="11"/>
      <c r="P96" s="7"/>
      <c r="Q96" s="2"/>
      <c r="R96" s="6">
        <f t="shared" si="48"/>
        <v>0</v>
      </c>
      <c r="S96" s="2"/>
      <c r="T96" s="7">
        <v>700</v>
      </c>
      <c r="U96" s="2"/>
      <c r="V96" s="6">
        <f t="shared" si="49"/>
        <v>3.9802556575069611E-4</v>
      </c>
      <c r="W96" s="2"/>
      <c r="X96" s="7">
        <f t="shared" si="50"/>
        <v>-700</v>
      </c>
      <c r="Y96" s="2"/>
      <c r="Z96" s="6">
        <f t="shared" si="51"/>
        <v>-1</v>
      </c>
    </row>
    <row r="97" spans="1:26" s="24" customFormat="1" hidden="1" outlineLevel="2" x14ac:dyDescent="0.25">
      <c r="A97" s="28"/>
      <c r="B97" s="11" t="str">
        <f>CONCATENATE("          ", "6247", " - ", "STORE SUPPLIES")</f>
        <v xml:space="preserve">          6247 - STORE SUPPLIES</v>
      </c>
      <c r="C97" s="11"/>
      <c r="D97" s="7"/>
      <c r="E97" s="2"/>
      <c r="F97" s="6">
        <f t="shared" si="44"/>
        <v>0</v>
      </c>
      <c r="G97" s="2"/>
      <c r="H97" s="7">
        <v>200</v>
      </c>
      <c r="I97" s="2"/>
      <c r="J97" s="6">
        <f t="shared" si="45"/>
        <v>5.5791118054005799E-3</v>
      </c>
      <c r="K97" s="2"/>
      <c r="L97" s="7">
        <f t="shared" si="46"/>
        <v>-200</v>
      </c>
      <c r="M97" s="2"/>
      <c r="N97" s="6">
        <f t="shared" si="47"/>
        <v>-1</v>
      </c>
      <c r="O97" s="11"/>
      <c r="P97" s="7">
        <v>633.1</v>
      </c>
      <c r="Q97" s="2"/>
      <c r="R97" s="6">
        <f t="shared" si="48"/>
        <v>5.8856582544920724E-4</v>
      </c>
      <c r="S97" s="2"/>
      <c r="T97" s="7">
        <v>2400</v>
      </c>
      <c r="U97" s="2"/>
      <c r="V97" s="6">
        <f t="shared" si="49"/>
        <v>1.3646590825738152E-3</v>
      </c>
      <c r="W97" s="2"/>
      <c r="X97" s="7">
        <f t="shared" si="50"/>
        <v>-1766.9</v>
      </c>
      <c r="Y97" s="2"/>
      <c r="Z97" s="6">
        <f t="shared" si="51"/>
        <v>-0.73620833333333335</v>
      </c>
    </row>
    <row r="98" spans="1:26" s="27" customFormat="1" outlineLevel="1" collapsed="1" x14ac:dyDescent="0.25">
      <c r="A98" s="29"/>
      <c r="B98" s="14" t="str">
        <f>CONCATENATE("     ","Telephone/Data Lines                              ")</f>
        <v xml:space="preserve">     Telephone/Data Lines                              </v>
      </c>
      <c r="C98" s="14"/>
      <c r="D98" s="1">
        <f>SUM(OSRRefD22_12x_0)</f>
        <v>-634.45000000000005</v>
      </c>
      <c r="E98" s="1"/>
      <c r="F98" s="5">
        <f t="shared" ref="F98:F100" si="52">IF(D$12=0,0,D98/D$12)</f>
        <v>-1.9904825786890835E-2</v>
      </c>
      <c r="G98" s="1"/>
      <c r="H98" s="1">
        <f>SUM(OSRRefH22_12x_0)</f>
        <v>600</v>
      </c>
      <c r="I98" s="1"/>
      <c r="J98" s="5">
        <f t="shared" ref="J98:J100" si="53">IF(H$12=0,0,H98/H$12)</f>
        <v>1.6737335416201742E-2</v>
      </c>
      <c r="K98" s="1"/>
      <c r="L98" s="1">
        <f t="shared" ref="L98:L100" si="54">+D98-H98</f>
        <v>-1234.45</v>
      </c>
      <c r="M98" s="1"/>
      <c r="N98" s="5">
        <f t="shared" ref="N98:N100" si="55">IF(H98=0,0,L98/H98)</f>
        <v>-2.0574166666666667</v>
      </c>
      <c r="O98" s="14"/>
      <c r="P98" s="1">
        <f>SUM(OSRRefP22_12x_0)</f>
        <v>3233.85</v>
      </c>
      <c r="Q98" s="1"/>
      <c r="R98" s="5">
        <f t="shared" ref="R98:R100" si="56">IF(P$12=0,0,P98/P$12)</f>
        <v>3.0063711809017826E-3</v>
      </c>
      <c r="S98" s="1"/>
      <c r="T98" s="1">
        <f>SUM(OSRRefT22_12x_0)</f>
        <v>3900</v>
      </c>
      <c r="U98" s="1"/>
      <c r="V98" s="5">
        <f t="shared" ref="V98:V100" si="57">IF(T$12=0,0,T98/T$12)</f>
        <v>2.2175710091824497E-3</v>
      </c>
      <c r="W98" s="1"/>
      <c r="X98" s="1">
        <f t="shared" ref="X98:X100" si="58">+P98-T98</f>
        <v>-666.15000000000009</v>
      </c>
      <c r="Y98" s="1"/>
      <c r="Z98" s="5">
        <f t="shared" ref="Z98:Z100" si="59">IF(T98=0,0,X98/T98)</f>
        <v>-0.17080769230769233</v>
      </c>
    </row>
    <row r="99" spans="1:26" s="24" customFormat="1" hidden="1" outlineLevel="2" x14ac:dyDescent="0.25">
      <c r="A99" s="28"/>
      <c r="B99" s="11" t="str">
        <f>CONCATENATE("          ", "6303", " - ", "DATA PHONE LINES")</f>
        <v xml:space="preserve">          6303 - DATA PHONE LINES</v>
      </c>
      <c r="C99" s="11"/>
      <c r="D99" s="7"/>
      <c r="E99" s="2"/>
      <c r="F99" s="6">
        <f t="shared" si="52"/>
        <v>0</v>
      </c>
      <c r="G99" s="2"/>
      <c r="H99" s="7">
        <v>300</v>
      </c>
      <c r="I99" s="2"/>
      <c r="J99" s="6">
        <f t="shared" si="53"/>
        <v>8.3686677081008711E-3</v>
      </c>
      <c r="K99" s="2"/>
      <c r="L99" s="7">
        <f t="shared" si="54"/>
        <v>-300</v>
      </c>
      <c r="M99" s="2"/>
      <c r="N99" s="6">
        <f t="shared" si="55"/>
        <v>-1</v>
      </c>
      <c r="O99" s="11"/>
      <c r="P99" s="7">
        <v>1180</v>
      </c>
      <c r="Q99" s="2"/>
      <c r="R99" s="6">
        <f t="shared" si="56"/>
        <v>1.0969952203918251E-3</v>
      </c>
      <c r="S99" s="2"/>
      <c r="T99" s="7">
        <v>1200</v>
      </c>
      <c r="U99" s="2"/>
      <c r="V99" s="6">
        <f t="shared" si="57"/>
        <v>6.8232954128690762E-4</v>
      </c>
      <c r="W99" s="2"/>
      <c r="X99" s="7">
        <f t="shared" si="58"/>
        <v>-20</v>
      </c>
      <c r="Y99" s="2"/>
      <c r="Z99" s="6">
        <f t="shared" si="59"/>
        <v>-1.6666666666666666E-2</v>
      </c>
    </row>
    <row r="100" spans="1:26" s="24" customFormat="1" hidden="1" outlineLevel="2" x14ac:dyDescent="0.25">
      <c r="A100" s="28"/>
      <c r="B100" s="11" t="str">
        <f>CONCATENATE("          ", "6309", " - ", "TELEPHONE")</f>
        <v xml:space="preserve">          6309 - TELEPHONE</v>
      </c>
      <c r="C100" s="11"/>
      <c r="D100" s="7">
        <v>-634.45000000000005</v>
      </c>
      <c r="E100" s="2"/>
      <c r="F100" s="6">
        <f t="shared" si="52"/>
        <v>-1.9904825786890835E-2</v>
      </c>
      <c r="G100" s="2"/>
      <c r="H100" s="7">
        <v>300</v>
      </c>
      <c r="I100" s="2"/>
      <c r="J100" s="6">
        <f t="shared" si="53"/>
        <v>8.3686677081008711E-3</v>
      </c>
      <c r="K100" s="2"/>
      <c r="L100" s="7">
        <f t="shared" si="54"/>
        <v>-934.45</v>
      </c>
      <c r="M100" s="2"/>
      <c r="N100" s="6">
        <f t="shared" si="55"/>
        <v>-3.1148333333333333</v>
      </c>
      <c r="O100" s="11"/>
      <c r="P100" s="7">
        <v>2053.85</v>
      </c>
      <c r="Q100" s="2"/>
      <c r="R100" s="6">
        <f t="shared" si="56"/>
        <v>1.9093759605099576E-3</v>
      </c>
      <c r="S100" s="2"/>
      <c r="T100" s="7">
        <v>2700</v>
      </c>
      <c r="U100" s="2"/>
      <c r="V100" s="6">
        <f t="shared" si="57"/>
        <v>1.5352414678955421E-3</v>
      </c>
      <c r="W100" s="2"/>
      <c r="X100" s="7">
        <f t="shared" si="58"/>
        <v>-646.15000000000009</v>
      </c>
      <c r="Y100" s="2"/>
      <c r="Z100" s="6">
        <f t="shared" si="59"/>
        <v>-0.23931481481481484</v>
      </c>
    </row>
    <row r="101" spans="1:26" s="27" customFormat="1" outlineLevel="1" collapsed="1" x14ac:dyDescent="0.25">
      <c r="A101" s="29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SUM(OSRRefD22_13x_0)</f>
        <v>0</v>
      </c>
      <c r="E101" s="1"/>
      <c r="F101" s="5">
        <f t="shared" ref="F101:F102" si="60">IF(D$12=0,0,D101/D$12)</f>
        <v>0</v>
      </c>
      <c r="G101" s="1"/>
      <c r="H101" s="1">
        <f>SUM(OSRRefH22_13x_0)</f>
        <v>0</v>
      </c>
      <c r="I101" s="1"/>
      <c r="J101" s="5">
        <f t="shared" ref="J101:J102" si="61">IF(H$12=0,0,H101/H$12)</f>
        <v>0</v>
      </c>
      <c r="K101" s="1"/>
      <c r="L101" s="1">
        <f t="shared" ref="L101:L102" si="62">+D101-H101</f>
        <v>0</v>
      </c>
      <c r="M101" s="1"/>
      <c r="N101" s="5">
        <f t="shared" ref="N101:N102" si="63">IF(H101=0,0,L101/H101)</f>
        <v>0</v>
      </c>
      <c r="O101" s="14"/>
      <c r="P101" s="1">
        <f>SUM(OSRRefP22_13x_0)</f>
        <v>0.16</v>
      </c>
      <c r="Q101" s="1"/>
      <c r="R101" s="5">
        <f t="shared" ref="R101:R102" si="64">IF(P$12=0,0,P101/P$12)</f>
        <v>1.4874511462940002E-7</v>
      </c>
      <c r="S101" s="1"/>
      <c r="T101" s="1">
        <f>SUM(OSRRefT22_13x_0)</f>
        <v>0</v>
      </c>
      <c r="U101" s="1"/>
      <c r="V101" s="5">
        <f t="shared" ref="V101:V102" si="65">IF(T$12=0,0,T101/T$12)</f>
        <v>0</v>
      </c>
      <c r="W101" s="1"/>
      <c r="X101" s="1">
        <f t="shared" ref="X101:X102" si="66">+P101-T101</f>
        <v>0.16</v>
      </c>
      <c r="Y101" s="1"/>
      <c r="Z101" s="5">
        <f t="shared" ref="Z101:Z102" si="67">IF(T101=0,0,X101/T101)</f>
        <v>0</v>
      </c>
    </row>
    <row r="102" spans="1:26" s="24" customFormat="1" hidden="1" outlineLevel="2" x14ac:dyDescent="0.25">
      <c r="A102" s="28"/>
      <c r="B102" s="11" t="str">
        <f>CONCATENATE("          ", "6292", " - ", "TRAVEL/CONFERENCE")</f>
        <v xml:space="preserve">          6292 - TRAVEL/CONFERENCE</v>
      </c>
      <c r="C102" s="11"/>
      <c r="D102" s="7"/>
      <c r="E102" s="2"/>
      <c r="F102" s="6">
        <f t="shared" si="60"/>
        <v>0</v>
      </c>
      <c r="G102" s="2"/>
      <c r="H102" s="7"/>
      <c r="I102" s="2"/>
      <c r="J102" s="6">
        <f t="shared" si="61"/>
        <v>0</v>
      </c>
      <c r="K102" s="2"/>
      <c r="L102" s="7">
        <f t="shared" si="62"/>
        <v>0</v>
      </c>
      <c r="M102" s="2"/>
      <c r="N102" s="6">
        <f t="shared" si="63"/>
        <v>0</v>
      </c>
      <c r="O102" s="11"/>
      <c r="P102" s="7">
        <v>0.16</v>
      </c>
      <c r="Q102" s="2"/>
      <c r="R102" s="6">
        <f t="shared" si="64"/>
        <v>1.4874511462940002E-7</v>
      </c>
      <c r="S102" s="2"/>
      <c r="T102" s="7"/>
      <c r="U102" s="2"/>
      <c r="V102" s="6">
        <f t="shared" si="65"/>
        <v>0</v>
      </c>
      <c r="W102" s="2"/>
      <c r="X102" s="7">
        <f t="shared" si="66"/>
        <v>0.16</v>
      </c>
      <c r="Y102" s="2"/>
      <c r="Z102" s="6">
        <f t="shared" si="67"/>
        <v>0</v>
      </c>
    </row>
    <row r="103" spans="1:26" s="63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5" t="s">
        <v>0</v>
      </c>
      <c r="C104" s="10"/>
      <c r="D104" s="4">
        <f>SUM(OSRRefD25x_0)</f>
        <v>267.40999999999997</v>
      </c>
      <c r="E104" s="4"/>
      <c r="F104" s="12">
        <f t="shared" ref="F104:F107" si="68">IF(D$12=0,0,D104/D$12)</f>
        <v>8.3895491585979625E-3</v>
      </c>
      <c r="G104" s="4"/>
      <c r="H104" s="4">
        <f>SUM(OSRRefH25x_0)</f>
        <v>800</v>
      </c>
      <c r="I104" s="4"/>
      <c r="J104" s="12">
        <f t="shared" ref="J104:J107" si="69">IF(H$12=0,0,H104/H$12)</f>
        <v>2.231644722160232E-2</v>
      </c>
      <c r="K104" s="4"/>
      <c r="L104" s="4">
        <f t="shared" ref="L104:L107" si="70">+D104-H104</f>
        <v>-532.59</v>
      </c>
      <c r="M104" s="4"/>
      <c r="N104" s="12">
        <f t="shared" ref="N104:N107" si="71">IF(H104=0,0,L104/H104)</f>
        <v>-0.66573750000000009</v>
      </c>
      <c r="O104" s="10"/>
      <c r="P104" s="4">
        <f>SUM(OSRRefP25x_0)</f>
        <v>161168.19</v>
      </c>
      <c r="Q104" s="4"/>
      <c r="R104" s="12">
        <f t="shared" ref="R104:R107" si="72">IF(P$12=0,0,P104/P$12)</f>
        <v>0.14983113060101827</v>
      </c>
      <c r="S104" s="4"/>
      <c r="T104" s="4">
        <f>SUM(OSRRefT25x_0)</f>
        <v>102159</v>
      </c>
      <c r="U104" s="4"/>
      <c r="V104" s="12">
        <f t="shared" ref="V104:V107" si="73">IF(T$12=0,0,T104/T$12)</f>
        <v>5.8088419673607665E-2</v>
      </c>
      <c r="W104" s="4"/>
      <c r="X104" s="4">
        <f t="shared" ref="X104:X107" si="74">+P104-T104</f>
        <v>59009.19</v>
      </c>
      <c r="Y104" s="4"/>
      <c r="Z104" s="12">
        <f t="shared" ref="Z104:Z107" si="75">IF(T104=0,0,X104/T104)</f>
        <v>0.57762106128681767</v>
      </c>
    </row>
    <row r="105" spans="1:26" s="24" customFormat="1" hidden="1" outlineLevel="1" x14ac:dyDescent="0.25">
      <c r="A105" s="51"/>
      <c r="B105" s="11" t="str">
        <f>CONCATENATE("          ", "9150", " - ", "MISC. INCOME")</f>
        <v xml:space="preserve">          9150 - MISC. INCOME</v>
      </c>
      <c r="C105" s="11"/>
      <c r="D105" s="2">
        <f>--5.33</f>
        <v>5.33</v>
      </c>
      <c r="E105" s="2"/>
      <c r="F105" s="22">
        <f t="shared" si="68"/>
        <v>1.6721998809067403E-4</v>
      </c>
      <c r="G105" s="2"/>
      <c r="H105" s="2">
        <v>800</v>
      </c>
      <c r="I105" s="2"/>
      <c r="J105" s="22">
        <f t="shared" si="69"/>
        <v>2.231644722160232E-2</v>
      </c>
      <c r="K105" s="2"/>
      <c r="L105" s="2">
        <f t="shared" si="70"/>
        <v>-794.67</v>
      </c>
      <c r="M105" s="2"/>
      <c r="N105" s="22">
        <f t="shared" si="71"/>
        <v>-0.99333749999999998</v>
      </c>
      <c r="O105" s="11"/>
      <c r="P105" s="2">
        <f>--11531.78</f>
        <v>11531.78</v>
      </c>
      <c r="Q105" s="2"/>
      <c r="R105" s="22">
        <f t="shared" si="72"/>
        <v>1.0720599612381391E-2</v>
      </c>
      <c r="S105" s="2"/>
      <c r="T105" s="2">
        <v>9900</v>
      </c>
      <c r="U105" s="2"/>
      <c r="V105" s="22">
        <f t="shared" si="73"/>
        <v>5.6292187156169876E-3</v>
      </c>
      <c r="W105" s="2"/>
      <c r="X105" s="2">
        <f t="shared" si="74"/>
        <v>1631.7800000000007</v>
      </c>
      <c r="Y105" s="2"/>
      <c r="Z105" s="22">
        <f t="shared" si="75"/>
        <v>0.16482626262626268</v>
      </c>
    </row>
    <row r="106" spans="1:26" s="24" customFormat="1" hidden="1" outlineLevel="1" x14ac:dyDescent="0.25">
      <c r="A106" s="51"/>
      <c r="B106" s="11" t="str">
        <f>CONCATENATE("          ", "9151", " - ", "MISC. INCOME")</f>
        <v xml:space="preserve">          9151 - MISC. INCOME</v>
      </c>
      <c r="C106" s="11"/>
      <c r="D106" s="2">
        <f>0</f>
        <v>0</v>
      </c>
      <c r="E106" s="2"/>
      <c r="F106" s="22">
        <f t="shared" si="68"/>
        <v>0</v>
      </c>
      <c r="G106" s="2"/>
      <c r="H106" s="2"/>
      <c r="I106" s="2"/>
      <c r="J106" s="22">
        <f t="shared" si="69"/>
        <v>0</v>
      </c>
      <c r="K106" s="2"/>
      <c r="L106" s="2">
        <f t="shared" si="70"/>
        <v>0</v>
      </c>
      <c r="M106" s="2"/>
      <c r="N106" s="22">
        <f t="shared" si="71"/>
        <v>0</v>
      </c>
      <c r="O106" s="11"/>
      <c r="P106" s="2">
        <f>--147285.39</f>
        <v>147285.39000000001</v>
      </c>
      <c r="Q106" s="2"/>
      <c r="R106" s="22">
        <f t="shared" si="72"/>
        <v>0.1369248888674118</v>
      </c>
      <c r="S106" s="2"/>
      <c r="T106" s="2">
        <v>92259</v>
      </c>
      <c r="U106" s="2"/>
      <c r="V106" s="22">
        <f t="shared" si="73"/>
        <v>5.2459200957990677E-2</v>
      </c>
      <c r="W106" s="2"/>
      <c r="X106" s="2">
        <f t="shared" si="74"/>
        <v>55026.390000000014</v>
      </c>
      <c r="Y106" s="2"/>
      <c r="Z106" s="22">
        <f t="shared" si="75"/>
        <v>0.59643384385263243</v>
      </c>
    </row>
    <row r="107" spans="1:26" s="24" customFormat="1" hidden="1" outlineLevel="1" x14ac:dyDescent="0.25">
      <c r="A107" s="51"/>
      <c r="B107" s="11" t="str">
        <f>CONCATENATE("          ", "9152", " - ", "MISC. INCOME")</f>
        <v xml:space="preserve">          9152 - MISC. INCOME</v>
      </c>
      <c r="C107" s="11"/>
      <c r="D107" s="2">
        <f>--262.08</f>
        <v>262.08</v>
      </c>
      <c r="E107" s="2"/>
      <c r="F107" s="22">
        <f t="shared" si="68"/>
        <v>8.2223291705072893E-3</v>
      </c>
      <c r="G107" s="2"/>
      <c r="H107" s="2"/>
      <c r="I107" s="2"/>
      <c r="J107" s="22">
        <f t="shared" si="69"/>
        <v>0</v>
      </c>
      <c r="K107" s="2"/>
      <c r="L107" s="2">
        <f t="shared" si="70"/>
        <v>262.08</v>
      </c>
      <c r="M107" s="2"/>
      <c r="N107" s="22">
        <f t="shared" si="71"/>
        <v>0</v>
      </c>
      <c r="O107" s="11"/>
      <c r="P107" s="2">
        <f>--2351.02</f>
        <v>2351.02</v>
      </c>
      <c r="Q107" s="2"/>
      <c r="R107" s="22">
        <f t="shared" si="72"/>
        <v>2.1856421212250753E-3</v>
      </c>
      <c r="S107" s="2"/>
      <c r="T107" s="2"/>
      <c r="U107" s="2"/>
      <c r="V107" s="22">
        <f t="shared" si="73"/>
        <v>0</v>
      </c>
      <c r="W107" s="2"/>
      <c r="X107" s="2">
        <f t="shared" si="74"/>
        <v>2351.02</v>
      </c>
      <c r="Y107" s="2"/>
      <c r="Z107" s="22">
        <f t="shared" si="75"/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6" t="s">
        <v>3</v>
      </c>
      <c r="C109" s="26"/>
      <c r="D109" s="20">
        <f>+D49-D51+D104</f>
        <v>-34106.719999999972</v>
      </c>
      <c r="E109" s="13"/>
      <c r="F109" s="19">
        <f>IF(D$12=0,0,D109/D$12)</f>
        <v>-1.070042272460028</v>
      </c>
      <c r="G109" s="13"/>
      <c r="H109" s="20">
        <f>+H49-H51+H104</f>
        <v>-36339.813717326942</v>
      </c>
      <c r="I109" s="13"/>
      <c r="J109" s="19">
        <f>IF(H$12=0,0,H109/H$12)</f>
        <v>-1.0137194185819833</v>
      </c>
      <c r="K109" s="15"/>
      <c r="L109" s="20">
        <f>+D109-H109</f>
        <v>2233.0937173269704</v>
      </c>
      <c r="M109" s="15"/>
      <c r="N109" s="19">
        <f>IF(H109=0,0,L109/H109)</f>
        <v>-6.1450334740219763E-2</v>
      </c>
      <c r="O109" s="25"/>
      <c r="P109" s="20">
        <f>+P49-P51+P104</f>
        <v>304185.44999999972</v>
      </c>
      <c r="Q109" s="13"/>
      <c r="R109" s="19">
        <f>IF(P$12=0,0,P109/P$12)</f>
        <v>0.28278812268028491</v>
      </c>
      <c r="S109" s="13"/>
      <c r="T109" s="20">
        <f>+T49-T51+T104</f>
        <v>360856.94786762306</v>
      </c>
      <c r="U109" s="13"/>
      <c r="V109" s="19">
        <f>IF(T$12=0,0,T109/T$12)</f>
        <v>0.20518612975725734</v>
      </c>
      <c r="W109" s="15"/>
      <c r="X109" s="20">
        <f>+P109-T109</f>
        <v>-56671.497867623344</v>
      </c>
      <c r="Y109" s="15"/>
      <c r="Z109" s="19">
        <f>IF(T109=0,0,X109/T109)</f>
        <v>-0.15704699106531472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14</v>
      </c>
      <c r="C111" s="10"/>
      <c r="D111" s="4">
        <v>39644.76</v>
      </c>
      <c r="E111" s="4"/>
      <c r="F111" s="12">
        <f>IF(D$12=0,0,D111/D$12)</f>
        <v>1.2437891735567788</v>
      </c>
      <c r="G111" s="4"/>
      <c r="H111" s="4">
        <v>38857</v>
      </c>
      <c r="I111" s="4"/>
      <c r="J111" s="12">
        <f>IF(H$12=0,0,H111/H$12)</f>
        <v>1.0839377371122518</v>
      </c>
      <c r="K111" s="4"/>
      <c r="L111" s="4">
        <f>+D111-H111</f>
        <v>787.76000000000204</v>
      </c>
      <c r="M111" s="4"/>
      <c r="N111" s="12">
        <f>IF(H111=0,0,L111/H111)</f>
        <v>2.027330982834501E-2</v>
      </c>
      <c r="O111" s="10"/>
      <c r="P111" s="4">
        <v>233012.33000000002</v>
      </c>
      <c r="Q111" s="4"/>
      <c r="R111" s="12">
        <f>IF(P$12=0,0,P111/P$12)</f>
        <v>0.21662153584945992</v>
      </c>
      <c r="S111" s="4"/>
      <c r="T111" s="4">
        <v>287931</v>
      </c>
      <c r="U111" s="4"/>
      <c r="V111" s="12">
        <f>IF(T$12=0,0,T111/T$12)</f>
        <v>0.16371985596023383</v>
      </c>
      <c r="W111" s="4"/>
      <c r="X111" s="4">
        <f>+P111-T111</f>
        <v>-54918.669999999984</v>
      </c>
      <c r="Y111" s="4"/>
      <c r="Z111" s="12">
        <f>IF(T111=0,0,X111/T111)</f>
        <v>-0.19073552344138001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6" t="s">
        <v>4</v>
      </c>
      <c r="C113" s="26"/>
      <c r="D113" s="34">
        <f>+D109-D111</f>
        <v>-73751.479999999981</v>
      </c>
      <c r="E113" s="13"/>
      <c r="F113" s="35">
        <f>IF(D$12=0,0,D113/D$12)</f>
        <v>-2.313831446016807</v>
      </c>
      <c r="G113" s="13"/>
      <c r="H113" s="34">
        <f>+H109-H111</f>
        <v>-75196.813717326935</v>
      </c>
      <c r="I113" s="13"/>
      <c r="J113" s="35">
        <f>IF(H$12=0,0,H113/H$12)</f>
        <v>-2.0976571556942352</v>
      </c>
      <c r="K113" s="15"/>
      <c r="L113" s="34">
        <f>D113-H113</f>
        <v>1445.3337173269538</v>
      </c>
      <c r="M113" s="15"/>
      <c r="N113" s="35">
        <f>IF(H113=0,0,L113/H113)</f>
        <v>-1.9220677657435348E-2</v>
      </c>
      <c r="O113" s="25"/>
      <c r="P113" s="34">
        <f>+P109-P111</f>
        <v>71173.119999999704</v>
      </c>
      <c r="Q113" s="13"/>
      <c r="R113" s="35">
        <f>IF(P$12=0,0,P113/P$12)</f>
        <v>6.6166586830824992E-2</v>
      </c>
      <c r="S113" s="13"/>
      <c r="T113" s="34">
        <f>+T109-T111</f>
        <v>72925.947867623065</v>
      </c>
      <c r="U113" s="13"/>
      <c r="V113" s="35">
        <f>IF(T$12=0,0,T113/T$12)</f>
        <v>4.1466273797023487E-2</v>
      </c>
      <c r="W113" s="15"/>
      <c r="X113" s="34">
        <f>P113-T113</f>
        <v>-1752.8278676233604</v>
      </c>
      <c r="Y113" s="15"/>
      <c r="Z113" s="35">
        <f>IF(T113=0,0,X113/T113)</f>
        <v>-2.4035722796570784E-2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6" t="s">
        <v>5</v>
      </c>
      <c r="C116" s="26"/>
      <c r="D116" s="30">
        <f>SUM(D113:D115)</f>
        <v>-73751.479999999981</v>
      </c>
      <c r="E116" s="13"/>
      <c r="F116" s="32">
        <f>IF(D$12=0,0,D116/D$12)</f>
        <v>-2.313831446016807</v>
      </c>
      <c r="G116" s="13"/>
      <c r="H116" s="30">
        <f>SUM(H113:H115)</f>
        <v>-75196.813717326935</v>
      </c>
      <c r="I116" s="13"/>
      <c r="J116" s="32">
        <f>IF(H$12=0,0,H116/H$12)</f>
        <v>-2.0976571556942352</v>
      </c>
      <c r="K116" s="15"/>
      <c r="L116" s="30">
        <f>+D116-H116</f>
        <v>1445.3337173269538</v>
      </c>
      <c r="M116" s="15"/>
      <c r="N116" s="32">
        <f>IF(H116=0,0,L116/H116)</f>
        <v>-1.9220677657435348E-2</v>
      </c>
      <c r="O116" s="25"/>
      <c r="P116" s="30">
        <f>SUM(P113:P115)</f>
        <v>71173.119999999704</v>
      </c>
      <c r="Q116" s="13"/>
      <c r="R116" s="32">
        <f>IF(P$12=0,0,P116/P$12)</f>
        <v>6.6166586830824992E-2</v>
      </c>
      <c r="S116" s="13"/>
      <c r="T116" s="30">
        <f>SUM(T113:T115)</f>
        <v>72925.947867623065</v>
      </c>
      <c r="U116" s="13"/>
      <c r="V116" s="32">
        <f>IF(T$12=0,0,T116/T$12)</f>
        <v>4.1466273797023487E-2</v>
      </c>
      <c r="W116" s="15"/>
      <c r="X116" s="30">
        <f>+P116-T116</f>
        <v>-1752.8278676233604</v>
      </c>
      <c r="Y116" s="15"/>
      <c r="Z116" s="32">
        <f>IF(T116=0,0,X116/T116)</f>
        <v>-2.4035722796570784E-2</v>
      </c>
    </row>
    <row r="117" spans="1:26" ht="15.75" thickTop="1" x14ac:dyDescent="0.25">
      <c r="A117" s="9"/>
      <c r="C117" s="9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A118" s="9"/>
      <c r="B118" s="60">
        <v>44151.568276736114</v>
      </c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58" t="s">
        <v>314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A120" s="9"/>
      <c r="B120" s="53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","324", " - ", "Textbook Rental")</f>
        <v>Department 324 - Textbook Rental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2309.06</v>
      </c>
      <c r="E12" s="4"/>
      <c r="F12" s="12"/>
      <c r="G12" s="4"/>
      <c r="H12" s="4">
        <f>SUM(OSRRefH13x_0)</f>
        <v>10115</v>
      </c>
      <c r="I12" s="4"/>
      <c r="J12" s="12"/>
      <c r="K12" s="4"/>
      <c r="L12" s="4">
        <f t="shared" ref="L12:L16" si="0">+D12-H12</f>
        <v>-7805.9400000000005</v>
      </c>
      <c r="M12" s="4"/>
      <c r="N12" s="12">
        <f t="shared" ref="N12:N16" si="1">IF(H12=0,0,L12/H12)</f>
        <v>-0.7717192288680178</v>
      </c>
      <c r="O12" s="10"/>
      <c r="P12" s="4">
        <f>SUM(OSRRefP13x_0)</f>
        <v>470040.45</v>
      </c>
      <c r="Q12" s="4"/>
      <c r="R12" s="12"/>
      <c r="S12" s="4"/>
      <c r="T12" s="4">
        <f>SUM(OSRRefT13x_0)</f>
        <v>811155</v>
      </c>
      <c r="U12" s="4"/>
      <c r="V12" s="12"/>
      <c r="W12" s="4"/>
      <c r="X12" s="4">
        <f t="shared" ref="X12:X16" si="2">+P12-T12</f>
        <v>-341114.55</v>
      </c>
      <c r="Y12" s="4"/>
      <c r="Z12" s="12">
        <f t="shared" ref="Z12:Z16" si="3">IF(T12=0,0,X12/T12)</f>
        <v>-0.42052943025685596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10115</v>
      </c>
      <c r="I13" s="2"/>
      <c r="J13" s="22"/>
      <c r="K13" s="2"/>
      <c r="L13" s="2">
        <f t="shared" si="0"/>
        <v>-10115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811155</v>
      </c>
      <c r="U13" s="2"/>
      <c r="V13" s="22"/>
      <c r="W13" s="2"/>
      <c r="X13" s="2">
        <f t="shared" si="2"/>
        <v>-811155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--1274.3</f>
        <v>1274.3</v>
      </c>
      <c r="E14" s="2"/>
      <c r="F14" s="22"/>
      <c r="G14" s="2"/>
      <c r="H14" s="2"/>
      <c r="I14" s="2"/>
      <c r="J14" s="22"/>
      <c r="K14" s="2"/>
      <c r="L14" s="2">
        <f t="shared" si="0"/>
        <v>1274.3</v>
      </c>
      <c r="M14" s="2"/>
      <c r="N14" s="22">
        <f t="shared" si="1"/>
        <v>0</v>
      </c>
      <c r="O14" s="11"/>
      <c r="P14" s="2">
        <f>--172228.96</f>
        <v>172228.96</v>
      </c>
      <c r="Q14" s="2"/>
      <c r="R14" s="22"/>
      <c r="S14" s="2"/>
      <c r="T14" s="2"/>
      <c r="U14" s="2"/>
      <c r="V14" s="22"/>
      <c r="W14" s="2"/>
      <c r="X14" s="2">
        <f t="shared" si="2"/>
        <v>172228.96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--898.97</f>
        <v>898.97</v>
      </c>
      <c r="E15" s="2"/>
      <c r="F15" s="22"/>
      <c r="G15" s="2"/>
      <c r="H15" s="2"/>
      <c r="I15" s="2"/>
      <c r="J15" s="22"/>
      <c r="K15" s="2"/>
      <c r="L15" s="2">
        <f t="shared" si="0"/>
        <v>898.97</v>
      </c>
      <c r="M15" s="2"/>
      <c r="N15" s="22">
        <f t="shared" si="1"/>
        <v>0</v>
      </c>
      <c r="O15" s="11"/>
      <c r="P15" s="2">
        <f>--133331.68</f>
        <v>133331.68</v>
      </c>
      <c r="Q15" s="2"/>
      <c r="R15" s="22"/>
      <c r="S15" s="2"/>
      <c r="T15" s="2"/>
      <c r="U15" s="2"/>
      <c r="V15" s="22"/>
      <c r="W15" s="2"/>
      <c r="X15" s="2">
        <f t="shared" si="2"/>
        <v>133331.68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"4100", " - ", "NON-TAXABLE SALES")</f>
        <v xml:space="preserve">          4100 - NON-TAXABLE SALES</v>
      </c>
      <c r="C16" s="11"/>
      <c r="D16" s="2">
        <f>--135.79</f>
        <v>135.79</v>
      </c>
      <c r="E16" s="2"/>
      <c r="F16" s="22"/>
      <c r="G16" s="2"/>
      <c r="H16" s="2"/>
      <c r="I16" s="2"/>
      <c r="J16" s="22"/>
      <c r="K16" s="2"/>
      <c r="L16" s="2">
        <f t="shared" si="0"/>
        <v>135.79</v>
      </c>
      <c r="M16" s="2"/>
      <c r="N16" s="22">
        <f t="shared" si="1"/>
        <v>0</v>
      </c>
      <c r="O16" s="11"/>
      <c r="P16" s="2">
        <f>--164479.81</f>
        <v>164479.81</v>
      </c>
      <c r="Q16" s="2"/>
      <c r="R16" s="22"/>
      <c r="S16" s="2"/>
      <c r="T16" s="2"/>
      <c r="U16" s="2"/>
      <c r="V16" s="22"/>
      <c r="W16" s="2"/>
      <c r="X16" s="2">
        <f t="shared" si="2"/>
        <v>164479.81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1259.5</v>
      </c>
      <c r="E18" s="4"/>
      <c r="F18" s="12">
        <f t="shared" ref="F18:F21" si="4">IF(D$12=0,0,D18/D$12)</f>
        <v>0.54546005733935021</v>
      </c>
      <c r="G18" s="4"/>
      <c r="H18" s="4">
        <f>SUM(OSRRefH16x_0)</f>
        <v>7333</v>
      </c>
      <c r="I18" s="4"/>
      <c r="J18" s="12">
        <f t="shared" ref="J18:J21" si="5">IF(H$12=0,0,H18/H$12)</f>
        <v>0.72496292634700943</v>
      </c>
      <c r="K18" s="4"/>
      <c r="L18" s="4">
        <f t="shared" ref="L18:L21" si="6">+D18-H18</f>
        <v>-6073.5</v>
      </c>
      <c r="M18" s="4"/>
      <c r="N18" s="12">
        <f t="shared" ref="N18:N21" si="7">IF(H18=0,0,L18/H18)</f>
        <v>-0.82824219282694667</v>
      </c>
      <c r="O18" s="10"/>
      <c r="P18" s="4">
        <f>SUM(OSRRefP16x_0)</f>
        <v>343786.33999999997</v>
      </c>
      <c r="Q18" s="4"/>
      <c r="R18" s="12">
        <f t="shared" ref="R18:R21" si="8">IF(P$12=0,0,P18/P$12)</f>
        <v>0.73139735101521575</v>
      </c>
      <c r="S18" s="4"/>
      <c r="T18" s="4">
        <f>SUM(OSRRefT16x_0)</f>
        <v>591574</v>
      </c>
      <c r="U18" s="4"/>
      <c r="V18" s="12">
        <f t="shared" ref="V18:V21" si="9">IF(T$12=0,0,T18/T$12)</f>
        <v>0.72929834618537759</v>
      </c>
      <c r="W18" s="4"/>
      <c r="X18" s="4">
        <f t="shared" ref="X18:X21" si="10">+P18-T18</f>
        <v>-247787.66000000003</v>
      </c>
      <c r="Y18" s="4"/>
      <c r="Z18" s="12">
        <f t="shared" ref="Z18:Z21" si="11">IF(T18=0,0,X18/T18)</f>
        <v>-0.41886164706359652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7333</v>
      </c>
      <c r="I19" s="2"/>
      <c r="J19" s="22">
        <f t="shared" si="5"/>
        <v>0.72496292634700943</v>
      </c>
      <c r="K19" s="2"/>
      <c r="L19" s="2">
        <f t="shared" si="6"/>
        <v>-7333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591574</v>
      </c>
      <c r="U19" s="2"/>
      <c r="V19" s="22">
        <f t="shared" si="9"/>
        <v>0.72929834618537759</v>
      </c>
      <c r="W19" s="2"/>
      <c r="X19" s="2">
        <f t="shared" si="10"/>
        <v>-591574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"5001", " - ", "PURCHASES @ COST-NEW TEXT")</f>
        <v xml:space="preserve">          5001 - PURCHASES @ COST-NEW TEXT</v>
      </c>
      <c r="C20" s="11"/>
      <c r="D20" s="2">
        <v>1259.5</v>
      </c>
      <c r="E20" s="2"/>
      <c r="F20" s="22">
        <f t="shared" si="4"/>
        <v>0.54546005733935021</v>
      </c>
      <c r="G20" s="2"/>
      <c r="H20" s="2"/>
      <c r="I20" s="2"/>
      <c r="J20" s="22">
        <f t="shared" si="5"/>
        <v>0</v>
      </c>
      <c r="K20" s="2"/>
      <c r="L20" s="2">
        <f t="shared" si="6"/>
        <v>1259.5</v>
      </c>
      <c r="M20" s="2"/>
      <c r="N20" s="22">
        <f t="shared" si="7"/>
        <v>0</v>
      </c>
      <c r="O20" s="11"/>
      <c r="P20" s="2">
        <v>204451.86</v>
      </c>
      <c r="Q20" s="2"/>
      <c r="R20" s="22">
        <f t="shared" si="8"/>
        <v>0.43496652256204754</v>
      </c>
      <c r="S20" s="2"/>
      <c r="T20" s="2"/>
      <c r="U20" s="2"/>
      <c r="V20" s="22">
        <f t="shared" si="9"/>
        <v>0</v>
      </c>
      <c r="W20" s="2"/>
      <c r="X20" s="2">
        <f t="shared" si="10"/>
        <v>204451.86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"5002", " - ", "PURCHASES @ COST-USED TEXT")</f>
        <v xml:space="preserve">          5002 - PURCHASES @ COST-USED TEXT</v>
      </c>
      <c r="C21" s="11"/>
      <c r="D21" s="2"/>
      <c r="E21" s="2"/>
      <c r="F21" s="22">
        <f t="shared" si="4"/>
        <v>0</v>
      </c>
      <c r="G21" s="2"/>
      <c r="H21" s="2"/>
      <c r="I21" s="2"/>
      <c r="J21" s="22">
        <f t="shared" si="5"/>
        <v>0</v>
      </c>
      <c r="K21" s="2"/>
      <c r="L21" s="2">
        <f t="shared" si="6"/>
        <v>0</v>
      </c>
      <c r="M21" s="2"/>
      <c r="N21" s="22">
        <f t="shared" si="7"/>
        <v>0</v>
      </c>
      <c r="O21" s="11"/>
      <c r="P21" s="2">
        <v>139334.47999999998</v>
      </c>
      <c r="Q21" s="2"/>
      <c r="R21" s="22">
        <f t="shared" si="8"/>
        <v>0.2964308284531682</v>
      </c>
      <c r="S21" s="2"/>
      <c r="T21" s="2"/>
      <c r="U21" s="2"/>
      <c r="V21" s="22">
        <f t="shared" si="9"/>
        <v>0</v>
      </c>
      <c r="W21" s="2"/>
      <c r="X21" s="2">
        <f t="shared" si="10"/>
        <v>139334.47999999998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0">
        <f>D12-D18</f>
        <v>1049.56</v>
      </c>
      <c r="E23" s="13"/>
      <c r="F23" s="19">
        <f>IF(D$12=0,0,D23/D$12)</f>
        <v>0.45453994266064979</v>
      </c>
      <c r="G23" s="13"/>
      <c r="H23" s="20">
        <f>H12-H18</f>
        <v>2782</v>
      </c>
      <c r="I23" s="13"/>
      <c r="J23" s="19">
        <f>IF(H$12=0,0,H23/H$12)</f>
        <v>0.27503707365299063</v>
      </c>
      <c r="K23" s="15"/>
      <c r="L23" s="20">
        <f>+D23-H23</f>
        <v>-1732.44</v>
      </c>
      <c r="M23" s="15"/>
      <c r="N23" s="19">
        <f>IF(H23=0,0,L23/H23)</f>
        <v>-0.62273184759166067</v>
      </c>
      <c r="O23" s="25"/>
      <c r="P23" s="20">
        <f>P12-P18</f>
        <v>126254.11000000004</v>
      </c>
      <c r="Q23" s="13"/>
      <c r="R23" s="19">
        <f>IF(P$12=0,0,P23/P$12)</f>
        <v>0.26860264898478425</v>
      </c>
      <c r="S23" s="13"/>
      <c r="T23" s="20">
        <f>T12-T18</f>
        <v>219581</v>
      </c>
      <c r="U23" s="13"/>
      <c r="V23" s="19">
        <f>IF(T$12=0,0,T23/T$12)</f>
        <v>0.27070165381462236</v>
      </c>
      <c r="W23" s="15"/>
      <c r="X23" s="20">
        <f>+P23-T23</f>
        <v>-93326.889999999956</v>
      </c>
      <c r="Y23" s="15"/>
      <c r="Z23" s="19">
        <f>IF(T23=0,0,X23/T23)</f>
        <v>-0.42502261124596369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1">
        <f>SUM(OSRRefD22x_0)</f>
        <v>0</v>
      </c>
      <c r="E25" s="21"/>
      <c r="F25" s="31">
        <f t="shared" ref="F25:F34" si="12">IF(D$12=0,0,D25/D$12)</f>
        <v>0</v>
      </c>
      <c r="G25" s="21"/>
      <c r="H25" s="21">
        <f>SUM(OSRRefH22x_0)</f>
        <v>0</v>
      </c>
      <c r="I25" s="21"/>
      <c r="J25" s="31">
        <f t="shared" ref="J25:J34" si="13">IF(H$12=0,0,H25/H$12)</f>
        <v>0</v>
      </c>
      <c r="K25" s="4"/>
      <c r="L25" s="21">
        <f t="shared" ref="L25:L34" si="14">+D25-H25</f>
        <v>0</v>
      </c>
      <c r="M25" s="4"/>
      <c r="N25" s="31">
        <f t="shared" ref="N25:N34" si="15">IF(H25=0,0,L25/H25)</f>
        <v>0</v>
      </c>
      <c r="O25" s="10"/>
      <c r="P25" s="21">
        <f>SUM(OSRRefP22x_0)</f>
        <v>0</v>
      </c>
      <c r="Q25" s="21"/>
      <c r="R25" s="31">
        <f t="shared" ref="R25:R34" si="16">IF(P$12=0,0,P25/P$12)</f>
        <v>0</v>
      </c>
      <c r="S25" s="21"/>
      <c r="T25" s="21">
        <f>SUM(OSRRefT22x_0)</f>
        <v>0</v>
      </c>
      <c r="U25" s="21"/>
      <c r="V25" s="31">
        <f t="shared" ref="V25:V34" si="17">IF(T$12=0,0,T25/T$12)</f>
        <v>0</v>
      </c>
      <c r="W25" s="4"/>
      <c r="X25" s="21">
        <f t="shared" ref="X25:X34" si="18">+P25-T25</f>
        <v>0</v>
      </c>
      <c r="Y25" s="4"/>
      <c r="Z25" s="31">
        <f t="shared" ref="Z25:Z34" si="19">IF(T25=0,0,X25/T25)</f>
        <v>0</v>
      </c>
    </row>
    <row r="26" spans="1:26" s="27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4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8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8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8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7" customFormat="1" outlineLevel="1" collapsed="1" x14ac:dyDescent="0.25">
      <c r="A35" s="29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4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25">
      <c r="A36" s="28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8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8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8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8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8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8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8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8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8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63" customFormat="1" x14ac:dyDescent="0.2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5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6" t="s">
        <v>3</v>
      </c>
      <c r="C49" s="26"/>
      <c r="D49" s="20">
        <f>+D23-D25+D47</f>
        <v>1049.56</v>
      </c>
      <c r="E49" s="13"/>
      <c r="F49" s="19">
        <f>IF(D$12=0,0,D49/D$12)</f>
        <v>0.45453994266064979</v>
      </c>
      <c r="G49" s="13"/>
      <c r="H49" s="20">
        <f>+H23-H25+H47</f>
        <v>2782</v>
      </c>
      <c r="I49" s="13"/>
      <c r="J49" s="19">
        <f>IF(H$12=0,0,H49/H$12)</f>
        <v>0.27503707365299063</v>
      </c>
      <c r="K49" s="15"/>
      <c r="L49" s="20">
        <f>+D49-H49</f>
        <v>-1732.44</v>
      </c>
      <c r="M49" s="15"/>
      <c r="N49" s="19">
        <f>IF(H49=0,0,L49/H49)</f>
        <v>-0.62273184759166067</v>
      </c>
      <c r="O49" s="25"/>
      <c r="P49" s="20">
        <f>+P23-P25+P47</f>
        <v>126254.11000000004</v>
      </c>
      <c r="Q49" s="13"/>
      <c r="R49" s="19">
        <f>IF(P$12=0,0,P49/P$12)</f>
        <v>0.26860264898478425</v>
      </c>
      <c r="S49" s="13"/>
      <c r="T49" s="20">
        <f>+T23-T25+T47</f>
        <v>219581</v>
      </c>
      <c r="U49" s="13"/>
      <c r="V49" s="19">
        <f>IF(T$12=0,0,T49/T$12)</f>
        <v>0.27070165381462236</v>
      </c>
      <c r="W49" s="15"/>
      <c r="X49" s="20">
        <f>+P49-T49</f>
        <v>-93326.889999999956</v>
      </c>
      <c r="Y49" s="15"/>
      <c r="Z49" s="19">
        <f>IF(T49=0,0,X49/T49)</f>
        <v>-0.42502261124596369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2"/>
      <c r="B51" s="10" t="s">
        <v>14</v>
      </c>
      <c r="C51" s="10"/>
      <c r="D51" s="4">
        <v>15171.310000000001</v>
      </c>
      <c r="E51" s="4"/>
      <c r="F51" s="12">
        <f>IF(D$12=0,0,D51/D$12)</f>
        <v>6.5703403116419672</v>
      </c>
      <c r="G51" s="4"/>
      <c r="H51" s="4">
        <v>16994</v>
      </c>
      <c r="I51" s="4"/>
      <c r="J51" s="12">
        <f>IF(H$12=0,0,H51/H$12)</f>
        <v>1.6800790904597134</v>
      </c>
      <c r="K51" s="4"/>
      <c r="L51" s="4">
        <f>+D51-H51</f>
        <v>-1822.6899999999987</v>
      </c>
      <c r="M51" s="4"/>
      <c r="N51" s="12">
        <f>IF(H51=0,0,L51/H51)</f>
        <v>-0.10725491349888189</v>
      </c>
      <c r="O51" s="10"/>
      <c r="P51" s="4">
        <v>101820.88</v>
      </c>
      <c r="Q51" s="4"/>
      <c r="R51" s="12">
        <f>IF(P$12=0,0,P51/P$12)</f>
        <v>0.21662152693454362</v>
      </c>
      <c r="S51" s="4"/>
      <c r="T51" s="4">
        <v>132802</v>
      </c>
      <c r="U51" s="4"/>
      <c r="V51" s="12">
        <f>IF(T$12=0,0,T51/T$12)</f>
        <v>0.16371963434855238</v>
      </c>
      <c r="W51" s="4"/>
      <c r="X51" s="4">
        <f>+P51-T51</f>
        <v>-30981.119999999995</v>
      </c>
      <c r="Y51" s="4"/>
      <c r="Z51" s="12">
        <f>IF(T51=0,0,X51/T51)</f>
        <v>-0.23328805289076968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6" t="s">
        <v>4</v>
      </c>
      <c r="C53" s="26"/>
      <c r="D53" s="34">
        <f>+D49-D51</f>
        <v>-14121.750000000002</v>
      </c>
      <c r="E53" s="13"/>
      <c r="F53" s="35">
        <f>IF(D$12=0,0,D53/D$12)</f>
        <v>-6.1158003689813176</v>
      </c>
      <c r="G53" s="13"/>
      <c r="H53" s="34">
        <f>+H49-H51</f>
        <v>-14212</v>
      </c>
      <c r="I53" s="13"/>
      <c r="J53" s="35">
        <f>IF(H$12=0,0,H53/H$12)</f>
        <v>-1.4050420168067226</v>
      </c>
      <c r="K53" s="15"/>
      <c r="L53" s="34">
        <f>D53-H53</f>
        <v>90.249999999998181</v>
      </c>
      <c r="M53" s="15"/>
      <c r="N53" s="35">
        <f>IF(H53=0,0,L53/H53)</f>
        <v>-6.3502673796790162E-3</v>
      </c>
      <c r="O53" s="25"/>
      <c r="P53" s="34">
        <f>+P49-P51</f>
        <v>24433.23000000004</v>
      </c>
      <c r="Q53" s="13"/>
      <c r="R53" s="35">
        <f>IF(P$12=0,0,P53/P$12)</f>
        <v>5.198112205024065E-2</v>
      </c>
      <c r="S53" s="13"/>
      <c r="T53" s="34">
        <f>+T49-T51</f>
        <v>86779</v>
      </c>
      <c r="U53" s="13"/>
      <c r="V53" s="35">
        <f>IF(T$12=0,0,T53/T$12)</f>
        <v>0.10698201946606999</v>
      </c>
      <c r="W53" s="15"/>
      <c r="X53" s="34">
        <f>P53-T53</f>
        <v>-62345.76999999996</v>
      </c>
      <c r="Y53" s="15"/>
      <c r="Z53" s="35">
        <f>IF(T53=0,0,X53/T53)</f>
        <v>-0.71844305649984397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6" t="s">
        <v>5</v>
      </c>
      <c r="C56" s="26"/>
      <c r="D56" s="30">
        <f>SUM(D53:D55)</f>
        <v>-14121.750000000002</v>
      </c>
      <c r="E56" s="13"/>
      <c r="F56" s="32">
        <f>IF(D$12=0,0,D56/D$12)</f>
        <v>-6.1158003689813176</v>
      </c>
      <c r="G56" s="13"/>
      <c r="H56" s="30">
        <f>SUM(H53:H55)</f>
        <v>-14212</v>
      </c>
      <c r="I56" s="13"/>
      <c r="J56" s="32">
        <f>IF(H$12=0,0,H56/H$12)</f>
        <v>-1.4050420168067226</v>
      </c>
      <c r="K56" s="15"/>
      <c r="L56" s="30">
        <f>+D56-H56</f>
        <v>90.249999999998181</v>
      </c>
      <c r="M56" s="15"/>
      <c r="N56" s="32">
        <f>IF(H56=0,0,L56/H56)</f>
        <v>-6.3502673796790162E-3</v>
      </c>
      <c r="O56" s="25"/>
      <c r="P56" s="30">
        <f>SUM(P53:P55)</f>
        <v>24433.23000000004</v>
      </c>
      <c r="Q56" s="13"/>
      <c r="R56" s="32">
        <f>IF(P$12=0,0,P56/P$12)</f>
        <v>5.198112205024065E-2</v>
      </c>
      <c r="S56" s="13"/>
      <c r="T56" s="30">
        <f>SUM(T53:T55)</f>
        <v>86779</v>
      </c>
      <c r="U56" s="13"/>
      <c r="V56" s="32">
        <f>IF(T$12=0,0,T56/T$12)</f>
        <v>0.10698201946606999</v>
      </c>
      <c r="W56" s="15"/>
      <c r="X56" s="30">
        <f>+P56-T56</f>
        <v>-62345.76999999996</v>
      </c>
      <c r="Y56" s="15"/>
      <c r="Z56" s="32">
        <f>IF(T56=0,0,X56/T56)</f>
        <v>-0.71844305649984397</v>
      </c>
    </row>
    <row r="57" spans="1:26" ht="15.75" thickTop="1" x14ac:dyDescent="0.25">
      <c r="A57" s="9"/>
      <c r="C57" s="9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A58" s="9"/>
      <c r="B58" s="60">
        <v>44151.568472071762</v>
      </c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25">
      <c r="A59" s="9"/>
      <c r="B59" s="58" t="s">
        <v>314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3"/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115409.98000000003</v>
      </c>
      <c r="E12" s="4"/>
      <c r="F12" s="12"/>
      <c r="G12" s="4"/>
      <c r="H12" s="4">
        <f>SUM(OSRRefH13x_0)</f>
        <v>327712</v>
      </c>
      <c r="I12" s="4"/>
      <c r="J12" s="12"/>
      <c r="K12" s="4"/>
      <c r="L12" s="4">
        <f t="shared" ref="L12:L48" si="0">+D12-H12</f>
        <v>-212302.01999999996</v>
      </c>
      <c r="M12" s="4"/>
      <c r="N12" s="12">
        <f t="shared" ref="N12:N48" si="1">IF(H12=0,0,L12/H12)</f>
        <v>-0.64783108339029383</v>
      </c>
      <c r="O12" s="10"/>
      <c r="P12" s="4">
        <f>SUM(OSRRefP13x_0)</f>
        <v>715017.3</v>
      </c>
      <c r="Q12" s="4"/>
      <c r="R12" s="12"/>
      <c r="S12" s="4"/>
      <c r="T12" s="4">
        <f>SUM(OSRRefT13x_0)</f>
        <v>1274928</v>
      </c>
      <c r="U12" s="4"/>
      <c r="V12" s="12"/>
      <c r="W12" s="4"/>
      <c r="X12" s="4">
        <f t="shared" ref="X12:X48" si="2">+P12-T12</f>
        <v>-559910.69999999995</v>
      </c>
      <c r="Y12" s="4"/>
      <c r="Z12" s="12">
        <f t="shared" ref="Z12:Z48" si="3">IF(T12=0,0,X12/T12)</f>
        <v>-0.43917044727231652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-10002.87</f>
        <v>-10002.870000000001</v>
      </c>
      <c r="E13" s="2"/>
      <c r="F13" s="22"/>
      <c r="G13" s="2"/>
      <c r="H13" s="2">
        <v>327712</v>
      </c>
      <c r="I13" s="2"/>
      <c r="J13" s="22"/>
      <c r="K13" s="2"/>
      <c r="L13" s="2">
        <f t="shared" si="0"/>
        <v>-337714.87</v>
      </c>
      <c r="M13" s="2"/>
      <c r="N13" s="22">
        <f t="shared" si="1"/>
        <v>-1.0305233558734499</v>
      </c>
      <c r="O13" s="11"/>
      <c r="P13" s="2">
        <f>-39984.41</f>
        <v>-39984.410000000003</v>
      </c>
      <c r="Q13" s="2"/>
      <c r="R13" s="22"/>
      <c r="S13" s="2"/>
      <c r="T13" s="2">
        <v>1274928</v>
      </c>
      <c r="U13" s="2"/>
      <c r="V13" s="22"/>
      <c r="W13" s="2"/>
      <c r="X13" s="2">
        <f t="shared" si="2"/>
        <v>-1314912.4099999999</v>
      </c>
      <c r="Y13" s="2"/>
      <c r="Z13" s="22">
        <f t="shared" si="3"/>
        <v>-1.0313620926044451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--20.8</f>
        <v>20.8</v>
      </c>
      <c r="E14" s="2"/>
      <c r="F14" s="22"/>
      <c r="G14" s="2"/>
      <c r="H14" s="2"/>
      <c r="I14" s="2"/>
      <c r="J14" s="22"/>
      <c r="K14" s="2"/>
      <c r="L14" s="2">
        <f t="shared" si="0"/>
        <v>20.8</v>
      </c>
      <c r="M14" s="2"/>
      <c r="N14" s="22">
        <f t="shared" si="1"/>
        <v>0</v>
      </c>
      <c r="O14" s="11"/>
      <c r="P14" s="2">
        <f>--261.32</f>
        <v>261.32</v>
      </c>
      <c r="Q14" s="2"/>
      <c r="R14" s="22"/>
      <c r="S14" s="2"/>
      <c r="T14" s="2"/>
      <c r="U14" s="2"/>
      <c r="V14" s="22"/>
      <c r="W14" s="2"/>
      <c r="X14" s="2">
        <f t="shared" si="2"/>
        <v>261.32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--2328.89</f>
        <v>2328.89</v>
      </c>
      <c r="E15" s="2"/>
      <c r="F15" s="22"/>
      <c r="G15" s="2"/>
      <c r="H15" s="2"/>
      <c r="I15" s="2"/>
      <c r="J15" s="22"/>
      <c r="K15" s="2"/>
      <c r="L15" s="2">
        <f t="shared" si="0"/>
        <v>2328.89</v>
      </c>
      <c r="M15" s="2"/>
      <c r="N15" s="22">
        <f t="shared" si="1"/>
        <v>0</v>
      </c>
      <c r="O15" s="11"/>
      <c r="P15" s="2">
        <f>--27013.18</f>
        <v>27013.18</v>
      </c>
      <c r="Q15" s="2"/>
      <c r="R15" s="22"/>
      <c r="S15" s="2"/>
      <c r="T15" s="2"/>
      <c r="U15" s="2"/>
      <c r="V15" s="22"/>
      <c r="W15" s="2"/>
      <c r="X15" s="2">
        <f t="shared" si="2"/>
        <v>27013.18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--1769.95</f>
        <v>1769.95</v>
      </c>
      <c r="E16" s="2"/>
      <c r="F16" s="22"/>
      <c r="G16" s="2"/>
      <c r="H16" s="2"/>
      <c r="I16" s="2"/>
      <c r="J16" s="22"/>
      <c r="K16" s="2"/>
      <c r="L16" s="2">
        <f t="shared" si="0"/>
        <v>1769.95</v>
      </c>
      <c r="M16" s="2"/>
      <c r="N16" s="22">
        <f t="shared" si="1"/>
        <v>0</v>
      </c>
      <c r="O16" s="11"/>
      <c r="P16" s="2">
        <f>--1789.8</f>
        <v>1789.8</v>
      </c>
      <c r="Q16" s="2"/>
      <c r="R16" s="22"/>
      <c r="S16" s="2"/>
      <c r="T16" s="2"/>
      <c r="U16" s="2"/>
      <c r="V16" s="22"/>
      <c r="W16" s="2"/>
      <c r="X16" s="2">
        <f t="shared" si="2"/>
        <v>1789.8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--424.62</f>
        <v>424.62</v>
      </c>
      <c r="E17" s="2"/>
      <c r="F17" s="22"/>
      <c r="G17" s="2"/>
      <c r="H17" s="2"/>
      <c r="I17" s="2"/>
      <c r="J17" s="22"/>
      <c r="K17" s="2"/>
      <c r="L17" s="2">
        <f t="shared" si="0"/>
        <v>424.62</v>
      </c>
      <c r="M17" s="2"/>
      <c r="N17" s="22">
        <f t="shared" si="1"/>
        <v>0</v>
      </c>
      <c r="O17" s="11"/>
      <c r="P17" s="2">
        <f>--1293.41</f>
        <v>1293.4100000000001</v>
      </c>
      <c r="Q17" s="2"/>
      <c r="R17" s="22"/>
      <c r="S17" s="2"/>
      <c r="T17" s="2"/>
      <c r="U17" s="2"/>
      <c r="V17" s="22"/>
      <c r="W17" s="2"/>
      <c r="X17" s="2">
        <f t="shared" si="2"/>
        <v>1293.4100000000001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--54384.72</f>
        <v>54384.72</v>
      </c>
      <c r="E19" s="2"/>
      <c r="F19" s="22"/>
      <c r="G19" s="2"/>
      <c r="H19" s="2"/>
      <c r="I19" s="2"/>
      <c r="J19" s="22"/>
      <c r="K19" s="2"/>
      <c r="L19" s="2">
        <f t="shared" si="0"/>
        <v>54384.72</v>
      </c>
      <c r="M19" s="2"/>
      <c r="N19" s="22">
        <f t="shared" si="1"/>
        <v>0</v>
      </c>
      <c r="O19" s="11"/>
      <c r="P19" s="2">
        <f>--382804.91</f>
        <v>382804.91</v>
      </c>
      <c r="Q19" s="2"/>
      <c r="R19" s="22"/>
      <c r="S19" s="2"/>
      <c r="T19" s="2"/>
      <c r="U19" s="2"/>
      <c r="V19" s="22"/>
      <c r="W19" s="2"/>
      <c r="X19" s="2">
        <f t="shared" si="2"/>
        <v>382804.91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--13906.05</f>
        <v>13906.05</v>
      </c>
      <c r="E20" s="2"/>
      <c r="F20" s="22"/>
      <c r="G20" s="2"/>
      <c r="H20" s="2"/>
      <c r="I20" s="2"/>
      <c r="J20" s="22"/>
      <c r="K20" s="2"/>
      <c r="L20" s="2">
        <f t="shared" si="0"/>
        <v>13906.05</v>
      </c>
      <c r="M20" s="2"/>
      <c r="N20" s="22">
        <f t="shared" si="1"/>
        <v>0</v>
      </c>
      <c r="O20" s="11"/>
      <c r="P20" s="2">
        <f>--92717.9</f>
        <v>92717.9</v>
      </c>
      <c r="Q20" s="2"/>
      <c r="R20" s="22"/>
      <c r="S20" s="2"/>
      <c r="T20" s="2"/>
      <c r="U20" s="2"/>
      <c r="V20" s="22"/>
      <c r="W20" s="2"/>
      <c r="X20" s="2">
        <f t="shared" si="2"/>
        <v>92717.9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--4800.32</f>
        <v>4800.32</v>
      </c>
      <c r="E21" s="2"/>
      <c r="F21" s="22"/>
      <c r="G21" s="2"/>
      <c r="H21" s="2"/>
      <c r="I21" s="2"/>
      <c r="J21" s="22"/>
      <c r="K21" s="2"/>
      <c r="L21" s="2">
        <f t="shared" si="0"/>
        <v>4800.32</v>
      </c>
      <c r="M21" s="2"/>
      <c r="N21" s="22">
        <f t="shared" si="1"/>
        <v>0</v>
      </c>
      <c r="O21" s="11"/>
      <c r="P21" s="2">
        <f>--43296.1</f>
        <v>43296.1</v>
      </c>
      <c r="Q21" s="2"/>
      <c r="R21" s="22"/>
      <c r="S21" s="2"/>
      <c r="T21" s="2"/>
      <c r="U21" s="2"/>
      <c r="V21" s="22"/>
      <c r="W21" s="2"/>
      <c r="X21" s="2">
        <f t="shared" si="2"/>
        <v>43296.1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--30454.88</f>
        <v>30454.880000000001</v>
      </c>
      <c r="E22" s="2"/>
      <c r="F22" s="22"/>
      <c r="G22" s="2"/>
      <c r="H22" s="2"/>
      <c r="I22" s="2"/>
      <c r="J22" s="22"/>
      <c r="K22" s="2"/>
      <c r="L22" s="2">
        <f t="shared" si="0"/>
        <v>30454.880000000001</v>
      </c>
      <c r="M22" s="2"/>
      <c r="N22" s="22">
        <f t="shared" si="1"/>
        <v>0</v>
      </c>
      <c r="O22" s="11"/>
      <c r="P22" s="2">
        <f>--40238.06</f>
        <v>40238.06</v>
      </c>
      <c r="Q22" s="2"/>
      <c r="R22" s="22"/>
      <c r="S22" s="2"/>
      <c r="T22" s="2"/>
      <c r="U22" s="2"/>
      <c r="V22" s="22"/>
      <c r="W22" s="2"/>
      <c r="X22" s="2">
        <f t="shared" si="2"/>
        <v>40238.06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--1157.64</f>
        <v>1157.6400000000001</v>
      </c>
      <c r="E23" s="2"/>
      <c r="F23" s="22"/>
      <c r="G23" s="2"/>
      <c r="H23" s="2"/>
      <c r="I23" s="2"/>
      <c r="J23" s="22"/>
      <c r="K23" s="2"/>
      <c r="L23" s="2">
        <f t="shared" si="0"/>
        <v>1157.6400000000001</v>
      </c>
      <c r="M23" s="2"/>
      <c r="N23" s="22">
        <f t="shared" si="1"/>
        <v>0</v>
      </c>
      <c r="O23" s="11"/>
      <c r="P23" s="2">
        <f>--12489.16</f>
        <v>12489.16</v>
      </c>
      <c r="Q23" s="2"/>
      <c r="R23" s="22"/>
      <c r="S23" s="2"/>
      <c r="T23" s="2"/>
      <c r="U23" s="2"/>
      <c r="V23" s="22"/>
      <c r="W23" s="2"/>
      <c r="X23" s="2">
        <f t="shared" si="2"/>
        <v>12489.16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--4950.17</f>
        <v>4950.17</v>
      </c>
      <c r="E24" s="2"/>
      <c r="F24" s="22"/>
      <c r="G24" s="2"/>
      <c r="H24" s="2"/>
      <c r="I24" s="2"/>
      <c r="J24" s="22"/>
      <c r="K24" s="2"/>
      <c r="L24" s="2">
        <f t="shared" si="0"/>
        <v>4950.17</v>
      </c>
      <c r="M24" s="2"/>
      <c r="N24" s="22">
        <f t="shared" si="1"/>
        <v>0</v>
      </c>
      <c r="O24" s="11"/>
      <c r="P24" s="2">
        <f>--96956.61</f>
        <v>96956.61</v>
      </c>
      <c r="Q24" s="2"/>
      <c r="R24" s="22"/>
      <c r="S24" s="2"/>
      <c r="T24" s="2"/>
      <c r="U24" s="2"/>
      <c r="V24" s="22"/>
      <c r="W24" s="2"/>
      <c r="X24" s="2">
        <f t="shared" si="2"/>
        <v>96956.61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--160.95</f>
        <v>160.94999999999999</v>
      </c>
      <c r="E26" s="2"/>
      <c r="F26" s="22"/>
      <c r="G26" s="2"/>
      <c r="H26" s="2"/>
      <c r="I26" s="2"/>
      <c r="J26" s="22"/>
      <c r="K26" s="2"/>
      <c r="L26" s="2">
        <f t="shared" si="0"/>
        <v>160.94999999999999</v>
      </c>
      <c r="M26" s="2"/>
      <c r="N26" s="22">
        <f t="shared" si="1"/>
        <v>0</v>
      </c>
      <c r="O26" s="11"/>
      <c r="P26" s="2">
        <f>--2831.69</f>
        <v>2831.69</v>
      </c>
      <c r="Q26" s="2"/>
      <c r="R26" s="22"/>
      <c r="S26" s="2"/>
      <c r="T26" s="2"/>
      <c r="U26" s="2"/>
      <c r="V26" s="22"/>
      <c r="W26" s="2"/>
      <c r="X26" s="2">
        <f t="shared" si="2"/>
        <v>2831.69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"4131", " - ", "NON-TAXABLE SALES-FOOD")</f>
        <v xml:space="preserve">          4131 - NON-TAXABLE SALES-FOOD</v>
      </c>
      <c r="C27" s="11"/>
      <c r="D27" s="2">
        <f>--1507.02</f>
        <v>1507.02</v>
      </c>
      <c r="E27" s="2"/>
      <c r="F27" s="22"/>
      <c r="G27" s="2"/>
      <c r="H27" s="2"/>
      <c r="I27" s="2"/>
      <c r="J27" s="22"/>
      <c r="K27" s="2"/>
      <c r="L27" s="2">
        <f t="shared" si="0"/>
        <v>1507.02</v>
      </c>
      <c r="M27" s="2"/>
      <c r="N27" s="22">
        <f t="shared" si="1"/>
        <v>0</v>
      </c>
      <c r="O27" s="11"/>
      <c r="P27" s="2">
        <f>--3678.28</f>
        <v>3678.28</v>
      </c>
      <c r="Q27" s="2"/>
      <c r="R27" s="22"/>
      <c r="S27" s="2"/>
      <c r="T27" s="2"/>
      <c r="U27" s="2"/>
      <c r="V27" s="22"/>
      <c r="W27" s="2"/>
      <c r="X27" s="2">
        <f t="shared" si="2"/>
        <v>3678.28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"4132", " - ", "NON-TAXABLE SALES-JUICE")</f>
        <v xml:space="preserve">          4132 - NON-TAXABLE SALES-JUICE</v>
      </c>
      <c r="C28" s="11"/>
      <c r="D28" s="2">
        <f t="shared" ref="D28:D31" si="4">0</f>
        <v>0</v>
      </c>
      <c r="E28" s="2"/>
      <c r="F28" s="22"/>
      <c r="G28" s="2"/>
      <c r="H28" s="2"/>
      <c r="I28" s="2"/>
      <c r="J28" s="22"/>
      <c r="K28" s="2"/>
      <c r="L28" s="2">
        <f t="shared" si="0"/>
        <v>0</v>
      </c>
      <c r="M28" s="2"/>
      <c r="N28" s="22">
        <f t="shared" si="1"/>
        <v>0</v>
      </c>
      <c r="O28" s="11"/>
      <c r="P28" s="2">
        <f>--22.49</f>
        <v>22.49</v>
      </c>
      <c r="Q28" s="2"/>
      <c r="R28" s="22"/>
      <c r="S28" s="2"/>
      <c r="T28" s="2"/>
      <c r="U28" s="2"/>
      <c r="V28" s="22"/>
      <c r="W28" s="2"/>
      <c r="X28" s="2">
        <f t="shared" si="2"/>
        <v>22.49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"4133", " - ", "NON-TAXABLE SALES-CANDY")</f>
        <v xml:space="preserve">          4133 - NON-TAXABLE SALES-CANDY</v>
      </c>
      <c r="C29" s="11"/>
      <c r="D29" s="2">
        <f t="shared" si="4"/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--80.71</f>
        <v>80.709999999999994</v>
      </c>
      <c r="Q29" s="2"/>
      <c r="R29" s="22"/>
      <c r="S29" s="2"/>
      <c r="T29" s="2"/>
      <c r="U29" s="2"/>
      <c r="V29" s="22"/>
      <c r="W29" s="2"/>
      <c r="X29" s="2">
        <f t="shared" si="2"/>
        <v>80.709999999999994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"4134", " - ", "NON-TAXABLE SALES-SODA")</f>
        <v xml:space="preserve">          4134 - NON-TAXABLE SALES-SODA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--45.53</f>
        <v>45.53</v>
      </c>
      <c r="Q30" s="2"/>
      <c r="R30" s="22"/>
      <c r="S30" s="2"/>
      <c r="T30" s="2"/>
      <c r="U30" s="2"/>
      <c r="V30" s="22"/>
      <c r="W30" s="2"/>
      <c r="X30" s="2">
        <f t="shared" si="2"/>
        <v>45.53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"4137", " - ", "NON-TAXABLE SALES-WATER")</f>
        <v xml:space="preserve">          4137 - NON-TAXABLE SALES-WATER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--68.25</f>
        <v>68.25</v>
      </c>
      <c r="Q31" s="2"/>
      <c r="R31" s="22"/>
      <c r="S31" s="2"/>
      <c r="T31" s="2"/>
      <c r="U31" s="2"/>
      <c r="V31" s="22"/>
      <c r="W31" s="2"/>
      <c r="X31" s="2">
        <f t="shared" si="2"/>
        <v>68.25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"4140", " - ", "NON-TAXABLE SALES-LOGO CLOTHIN")</f>
        <v xml:space="preserve">          4140 - NON-TAXABLE SALES-LOGO CLOTHIN</v>
      </c>
      <c r="C32" s="11"/>
      <c r="D32" s="2">
        <f>--13163.04</f>
        <v>13163.04</v>
      </c>
      <c r="E32" s="2"/>
      <c r="F32" s="22"/>
      <c r="G32" s="2"/>
      <c r="H32" s="2"/>
      <c r="I32" s="2"/>
      <c r="J32" s="22"/>
      <c r="K32" s="2"/>
      <c r="L32" s="2">
        <f t="shared" si="0"/>
        <v>13163.04</v>
      </c>
      <c r="M32" s="2"/>
      <c r="N32" s="22">
        <f t="shared" si="1"/>
        <v>0</v>
      </c>
      <c r="O32" s="11"/>
      <c r="P32" s="2">
        <f>--30615.48</f>
        <v>30615.48</v>
      </c>
      <c r="Q32" s="2"/>
      <c r="R32" s="22"/>
      <c r="S32" s="2"/>
      <c r="T32" s="2"/>
      <c r="U32" s="2"/>
      <c r="V32" s="22"/>
      <c r="W32" s="2"/>
      <c r="X32" s="2">
        <f t="shared" si="2"/>
        <v>30615.48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"4141", " - ", "NON-TAXABLE SALES-LOGO GIFTS")</f>
        <v xml:space="preserve">          4141 - NON-TAXABLE SALES-LOGO GIFTS</v>
      </c>
      <c r="C33" s="11"/>
      <c r="D33" s="2">
        <f>--383.71</f>
        <v>383.71</v>
      </c>
      <c r="E33" s="2"/>
      <c r="F33" s="22"/>
      <c r="G33" s="2"/>
      <c r="H33" s="2"/>
      <c r="I33" s="2"/>
      <c r="J33" s="22"/>
      <c r="K33" s="2"/>
      <c r="L33" s="2">
        <f t="shared" si="0"/>
        <v>383.71</v>
      </c>
      <c r="M33" s="2"/>
      <c r="N33" s="22">
        <f t="shared" si="1"/>
        <v>0</v>
      </c>
      <c r="O33" s="11"/>
      <c r="P33" s="2">
        <f>--2871.2</f>
        <v>2871.2</v>
      </c>
      <c r="Q33" s="2"/>
      <c r="R33" s="22"/>
      <c r="S33" s="2"/>
      <c r="T33" s="2"/>
      <c r="U33" s="2"/>
      <c r="V33" s="22"/>
      <c r="W33" s="2"/>
      <c r="X33" s="2">
        <f t="shared" si="2"/>
        <v>2871.2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"4142", " - ", "NON-TAXABLE SALES-EVERYDAY GIF")</f>
        <v xml:space="preserve">          4142 - NON-TAXABLE SALES-EVERYDAY GIF</v>
      </c>
      <c r="C34" s="11"/>
      <c r="D34" s="2">
        <f>--65.68</f>
        <v>65.680000000000007</v>
      </c>
      <c r="E34" s="2"/>
      <c r="F34" s="22"/>
      <c r="G34" s="2"/>
      <c r="H34" s="2"/>
      <c r="I34" s="2"/>
      <c r="J34" s="22"/>
      <c r="K34" s="2"/>
      <c r="L34" s="2">
        <f t="shared" si="0"/>
        <v>65.680000000000007</v>
      </c>
      <c r="M34" s="2"/>
      <c r="N34" s="22">
        <f t="shared" si="1"/>
        <v>0</v>
      </c>
      <c r="O34" s="11"/>
      <c r="P34" s="2">
        <f>--1069.43</f>
        <v>1069.43</v>
      </c>
      <c r="Q34" s="2"/>
      <c r="R34" s="22"/>
      <c r="S34" s="2"/>
      <c r="T34" s="2"/>
      <c r="U34" s="2"/>
      <c r="V34" s="22"/>
      <c r="W34" s="2"/>
      <c r="X34" s="2">
        <f t="shared" si="2"/>
        <v>1069.43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"4143", " - ", "NON-TAXABLE SALES-CARDS")</f>
        <v xml:space="preserve">          4143 - NON-TAXABLE SALES-CARDS</v>
      </c>
      <c r="C35" s="11"/>
      <c r="D35" s="2">
        <f>--9.99</f>
        <v>9.99</v>
      </c>
      <c r="E35" s="2"/>
      <c r="F35" s="22"/>
      <c r="G35" s="2"/>
      <c r="H35" s="2"/>
      <c r="I35" s="2"/>
      <c r="J35" s="22"/>
      <c r="K35" s="2"/>
      <c r="L35" s="2">
        <f t="shared" si="0"/>
        <v>9.99</v>
      </c>
      <c r="M35" s="2"/>
      <c r="N35" s="22">
        <f t="shared" si="1"/>
        <v>0</v>
      </c>
      <c r="O35" s="11"/>
      <c r="P35" s="2">
        <f>--29.97</f>
        <v>29.97</v>
      </c>
      <c r="Q35" s="2"/>
      <c r="R35" s="22"/>
      <c r="S35" s="2"/>
      <c r="T35" s="2"/>
      <c r="U35" s="2"/>
      <c r="V35" s="22"/>
      <c r="W35" s="2"/>
      <c r="X35" s="2">
        <f t="shared" si="2"/>
        <v>29.97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"4144", " - ", "NON-TAXABLE SALES-ACCESSORIES")</f>
        <v xml:space="preserve">          4144 - NON-TAXABLE SALES-ACCESSORIES</v>
      </c>
      <c r="C36" s="11"/>
      <c r="D36" s="2">
        <f>--154</f>
        <v>154</v>
      </c>
      <c r="E36" s="2"/>
      <c r="F36" s="22"/>
      <c r="G36" s="2"/>
      <c r="H36" s="2"/>
      <c r="I36" s="2"/>
      <c r="J36" s="22"/>
      <c r="K36" s="2"/>
      <c r="L36" s="2">
        <f t="shared" si="0"/>
        <v>154</v>
      </c>
      <c r="M36" s="2"/>
      <c r="N36" s="22">
        <f t="shared" si="1"/>
        <v>0</v>
      </c>
      <c r="O36" s="11"/>
      <c r="P36" s="2">
        <f>--369.75</f>
        <v>369.75</v>
      </c>
      <c r="Q36" s="2"/>
      <c r="R36" s="22"/>
      <c r="S36" s="2"/>
      <c r="T36" s="2"/>
      <c r="U36" s="2"/>
      <c r="V36" s="22"/>
      <c r="W36" s="2"/>
      <c r="X36" s="2">
        <f t="shared" si="2"/>
        <v>369.75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"4145", " - ", "NON-TAXABLE SALES-SPECIAL ORDE")</f>
        <v xml:space="preserve">          4145 - NON-TAXABLE SALES-SPECIAL ORDE</v>
      </c>
      <c r="C37" s="11"/>
      <c r="D37" s="2">
        <f>0</f>
        <v>0</v>
      </c>
      <c r="E37" s="2"/>
      <c r="F37" s="22"/>
      <c r="G37" s="2"/>
      <c r="H37" s="2"/>
      <c r="I37" s="2"/>
      <c r="J37" s="22"/>
      <c r="K37" s="2"/>
      <c r="L37" s="2">
        <f t="shared" si="0"/>
        <v>0</v>
      </c>
      <c r="M37" s="2"/>
      <c r="N37" s="22">
        <f t="shared" si="1"/>
        <v>0</v>
      </c>
      <c r="O37" s="11"/>
      <c r="P37" s="2">
        <f>--35846</f>
        <v>35846</v>
      </c>
      <c r="Q37" s="2"/>
      <c r="R37" s="22"/>
      <c r="S37" s="2"/>
      <c r="T37" s="2"/>
      <c r="U37" s="2"/>
      <c r="V37" s="22"/>
      <c r="W37" s="2"/>
      <c r="X37" s="2">
        <f t="shared" si="2"/>
        <v>35846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>-5.36</f>
        <v>-5.36</v>
      </c>
      <c r="E38" s="2"/>
      <c r="F38" s="22"/>
      <c r="G38" s="2"/>
      <c r="H38" s="2"/>
      <c r="I38" s="2"/>
      <c r="J38" s="22"/>
      <c r="K38" s="2"/>
      <c r="L38" s="2">
        <f t="shared" si="0"/>
        <v>-5.36</v>
      </c>
      <c r="M38" s="2"/>
      <c r="N38" s="22">
        <f t="shared" si="1"/>
        <v>0</v>
      </c>
      <c r="O38" s="11"/>
      <c r="P38" s="2">
        <f>-34.23</f>
        <v>-34.229999999999997</v>
      </c>
      <c r="Q38" s="2"/>
      <c r="R38" s="22"/>
      <c r="S38" s="2"/>
      <c r="T38" s="2"/>
      <c r="U38" s="2"/>
      <c r="V38" s="22"/>
      <c r="W38" s="2"/>
      <c r="X38" s="2">
        <f t="shared" si="2"/>
        <v>-34.229999999999997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>-9.99</f>
        <v>-9.99</v>
      </c>
      <c r="E39" s="2"/>
      <c r="F39" s="22"/>
      <c r="G39" s="2"/>
      <c r="H39" s="2"/>
      <c r="I39" s="2"/>
      <c r="J39" s="22"/>
      <c r="K39" s="2"/>
      <c r="L39" s="2">
        <f t="shared" si="0"/>
        <v>-9.99</v>
      </c>
      <c r="M39" s="2"/>
      <c r="N39" s="22">
        <f t="shared" si="1"/>
        <v>0</v>
      </c>
      <c r="O39" s="11"/>
      <c r="P39" s="2">
        <f>-418.69</f>
        <v>-418.69</v>
      </c>
      <c r="Q39" s="2"/>
      <c r="R39" s="22"/>
      <c r="S39" s="2"/>
      <c r="T39" s="2"/>
      <c r="U39" s="2"/>
      <c r="V39" s="22"/>
      <c r="W39" s="2"/>
      <c r="X39" s="2">
        <f t="shared" si="2"/>
        <v>-418.69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"4240", " - ", "SALES RETURN TAXABLE-LOGO CLOT")</f>
        <v xml:space="preserve">          4240 - SALES RETURN TAXABLE-LOGO CLOT</v>
      </c>
      <c r="C40" s="11"/>
      <c r="D40" s="2">
        <f>-2239.56</f>
        <v>-2239.56</v>
      </c>
      <c r="E40" s="2"/>
      <c r="F40" s="22"/>
      <c r="G40" s="2"/>
      <c r="H40" s="2"/>
      <c r="I40" s="2"/>
      <c r="J40" s="22"/>
      <c r="K40" s="2"/>
      <c r="L40" s="2">
        <f t="shared" si="0"/>
        <v>-2239.56</v>
      </c>
      <c r="M40" s="2"/>
      <c r="N40" s="22">
        <f t="shared" si="1"/>
        <v>0</v>
      </c>
      <c r="O40" s="11"/>
      <c r="P40" s="2">
        <f>-13849.52</f>
        <v>-13849.52</v>
      </c>
      <c r="Q40" s="2"/>
      <c r="R40" s="22"/>
      <c r="S40" s="2"/>
      <c r="T40" s="2"/>
      <c r="U40" s="2"/>
      <c r="V40" s="22"/>
      <c r="W40" s="2"/>
      <c r="X40" s="2">
        <f t="shared" si="2"/>
        <v>-13849.52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"4241", " - ", "SALES RETURN TAXABLE-LOGO GIFT")</f>
        <v xml:space="preserve">          4241 - SALES RETURN TAXABLE-LOGO GIFT</v>
      </c>
      <c r="C41" s="11"/>
      <c r="D41" s="2">
        <f>-318.5</f>
        <v>-318.5</v>
      </c>
      <c r="E41" s="2"/>
      <c r="F41" s="22"/>
      <c r="G41" s="2"/>
      <c r="H41" s="2"/>
      <c r="I41" s="2"/>
      <c r="J41" s="22"/>
      <c r="K41" s="2"/>
      <c r="L41" s="2">
        <f t="shared" si="0"/>
        <v>-318.5</v>
      </c>
      <c r="M41" s="2"/>
      <c r="N41" s="22">
        <f t="shared" si="1"/>
        <v>0</v>
      </c>
      <c r="O41" s="11"/>
      <c r="P41" s="2">
        <f>-1879.86</f>
        <v>-1879.86</v>
      </c>
      <c r="Q41" s="2"/>
      <c r="R41" s="22"/>
      <c r="S41" s="2"/>
      <c r="T41" s="2"/>
      <c r="U41" s="2"/>
      <c r="V41" s="22"/>
      <c r="W41" s="2"/>
      <c r="X41" s="2">
        <f t="shared" si="2"/>
        <v>-1879.86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"4242", " - ", "SALES RETURN TAXABLE-EVERYDAY")</f>
        <v xml:space="preserve">          4242 - SALES RETURN TAXABLE-EVERYDAY</v>
      </c>
      <c r="C42" s="11"/>
      <c r="D42" s="2">
        <f>-266.95</f>
        <v>-266.95</v>
      </c>
      <c r="E42" s="2"/>
      <c r="F42" s="22"/>
      <c r="G42" s="2"/>
      <c r="H42" s="2"/>
      <c r="I42" s="2"/>
      <c r="J42" s="22"/>
      <c r="K42" s="2"/>
      <c r="L42" s="2">
        <f t="shared" si="0"/>
        <v>-266.95</v>
      </c>
      <c r="M42" s="2"/>
      <c r="N42" s="22">
        <f t="shared" si="1"/>
        <v>0</v>
      </c>
      <c r="O42" s="11"/>
      <c r="P42" s="2">
        <f>-1321.51</f>
        <v>-1321.51</v>
      </c>
      <c r="Q42" s="2"/>
      <c r="R42" s="22"/>
      <c r="S42" s="2"/>
      <c r="T42" s="2"/>
      <c r="U42" s="2"/>
      <c r="V42" s="22"/>
      <c r="W42" s="2"/>
      <c r="X42" s="2">
        <f t="shared" si="2"/>
        <v>-1321.51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"4243", " - ", "SALES RETURN TAXABLE-CARDS")</f>
        <v xml:space="preserve">          4243 - SALES RETURN TAXABLE-CARDS</v>
      </c>
      <c r="C43" s="11"/>
      <c r="D43" s="2">
        <f>-829.55</f>
        <v>-829.55</v>
      </c>
      <c r="E43" s="2"/>
      <c r="F43" s="22"/>
      <c r="G43" s="2"/>
      <c r="H43" s="2"/>
      <c r="I43" s="2"/>
      <c r="J43" s="22"/>
      <c r="K43" s="2"/>
      <c r="L43" s="2">
        <f t="shared" si="0"/>
        <v>-829.55</v>
      </c>
      <c r="M43" s="2"/>
      <c r="N43" s="22">
        <f t="shared" si="1"/>
        <v>0</v>
      </c>
      <c r="O43" s="11"/>
      <c r="P43" s="2">
        <f>-982.92</f>
        <v>-982.92</v>
      </c>
      <c r="Q43" s="2"/>
      <c r="R43" s="22"/>
      <c r="S43" s="2"/>
      <c r="T43" s="2"/>
      <c r="U43" s="2"/>
      <c r="V43" s="22"/>
      <c r="W43" s="2"/>
      <c r="X43" s="2">
        <f t="shared" si="2"/>
        <v>-982.92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"4244", " - ", "SALES RETURN TAXABLE-ACCESSORI")</f>
        <v xml:space="preserve">          4244 - SALES RETURN TAXABLE-ACCESSORI</v>
      </c>
      <c r="C44" s="11"/>
      <c r="D44" s="2">
        <f>0</f>
        <v>0</v>
      </c>
      <c r="E44" s="2"/>
      <c r="F44" s="22"/>
      <c r="G44" s="2"/>
      <c r="H44" s="2"/>
      <c r="I44" s="2"/>
      <c r="J44" s="22"/>
      <c r="K44" s="2"/>
      <c r="L44" s="2">
        <f t="shared" si="0"/>
        <v>0</v>
      </c>
      <c r="M44" s="2"/>
      <c r="N44" s="22">
        <f t="shared" si="1"/>
        <v>0</v>
      </c>
      <c r="O44" s="11"/>
      <c r="P44" s="2">
        <f>-410.99</f>
        <v>-410.99</v>
      </c>
      <c r="Q44" s="2"/>
      <c r="R44" s="22"/>
      <c r="S44" s="2"/>
      <c r="T44" s="2"/>
      <c r="U44" s="2"/>
      <c r="V44" s="22"/>
      <c r="W44" s="2"/>
      <c r="X44" s="2">
        <f t="shared" si="2"/>
        <v>-410.99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"4245", " - ", "SALES RETURN TAXABLE-SPECIAL O")</f>
        <v xml:space="preserve">          4245 - SALES RETURN TAXABLE-SPECIAL O</v>
      </c>
      <c r="C45" s="11"/>
      <c r="D45" s="2">
        <f>-363.98</f>
        <v>-363.98</v>
      </c>
      <c r="E45" s="2"/>
      <c r="F45" s="22"/>
      <c r="G45" s="2"/>
      <c r="H45" s="2"/>
      <c r="I45" s="2"/>
      <c r="J45" s="22"/>
      <c r="K45" s="2"/>
      <c r="L45" s="2">
        <f t="shared" si="0"/>
        <v>-363.98</v>
      </c>
      <c r="M45" s="2"/>
      <c r="N45" s="22">
        <f t="shared" si="1"/>
        <v>0</v>
      </c>
      <c r="O45" s="11"/>
      <c r="P45" s="2">
        <f>-1546.93</f>
        <v>-1546.93</v>
      </c>
      <c r="Q45" s="2"/>
      <c r="R45" s="22"/>
      <c r="S45" s="2"/>
      <c r="T45" s="2"/>
      <c r="U45" s="2"/>
      <c r="V45" s="22"/>
      <c r="W45" s="2"/>
      <c r="X45" s="2">
        <f t="shared" si="2"/>
        <v>-1546.93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"4340", " - ", "SALES RETURN NON TAXABLE-LOGO")</f>
        <v xml:space="preserve">          4340 - SALES RETURN NON TAXABLE-LOGO</v>
      </c>
      <c r="C46" s="11"/>
      <c r="D46" s="2">
        <f>-195.69</f>
        <v>-195.69</v>
      </c>
      <c r="E46" s="2"/>
      <c r="F46" s="22"/>
      <c r="G46" s="2"/>
      <c r="H46" s="2"/>
      <c r="I46" s="2"/>
      <c r="J46" s="22"/>
      <c r="K46" s="2"/>
      <c r="L46" s="2">
        <f t="shared" si="0"/>
        <v>-195.69</v>
      </c>
      <c r="M46" s="2"/>
      <c r="N46" s="22">
        <f t="shared" si="1"/>
        <v>0</v>
      </c>
      <c r="O46" s="11"/>
      <c r="P46" s="2">
        <f>-736.73</f>
        <v>-736.73</v>
      </c>
      <c r="Q46" s="2"/>
      <c r="R46" s="22"/>
      <c r="S46" s="2"/>
      <c r="T46" s="2"/>
      <c r="U46" s="2"/>
      <c r="V46" s="22"/>
      <c r="W46" s="2"/>
      <c r="X46" s="2">
        <f t="shared" si="2"/>
        <v>-736.73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"4341", " - ", "SALES RETURN NON TAXABLE-LOGO")</f>
        <v xml:space="preserve">          4341 - SALES RETURN NON TAXABLE-LOGO</v>
      </c>
      <c r="C47" s="11"/>
      <c r="D47" s="2">
        <f t="shared" ref="D47:D48" si="5">0</f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-146.9</f>
        <v>-146.9</v>
      </c>
      <c r="Q47" s="2"/>
      <c r="R47" s="22"/>
      <c r="S47" s="2"/>
      <c r="T47" s="2"/>
      <c r="U47" s="2"/>
      <c r="V47" s="22"/>
      <c r="W47" s="2"/>
      <c r="X47" s="2">
        <f t="shared" si="2"/>
        <v>-146.9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"4342", " - ", "SALES RETURN NON TAXABLE-EVERY")</f>
        <v xml:space="preserve">          4342 - SALES RETURN NON TAXABLE-EVERY</v>
      </c>
      <c r="C48" s="11"/>
      <c r="D48" s="2">
        <f t="shared" si="5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-118.7</f>
        <v>-118.7</v>
      </c>
      <c r="Q48" s="2"/>
      <c r="R48" s="22"/>
      <c r="S48" s="2"/>
      <c r="T48" s="2"/>
      <c r="U48" s="2"/>
      <c r="V48" s="22"/>
      <c r="W48" s="2"/>
      <c r="X48" s="2">
        <f t="shared" si="2"/>
        <v>-118.7</v>
      </c>
      <c r="Y48" s="2"/>
      <c r="Z48" s="22">
        <f t="shared" si="3"/>
        <v>0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collapsed="1" x14ac:dyDescent="0.25">
      <c r="A50" s="10"/>
      <c r="B50" s="25" t="s">
        <v>8</v>
      </c>
      <c r="C50" s="10"/>
      <c r="D50" s="4">
        <f>SUM(OSRRefD16x_0)</f>
        <v>60248.999999999985</v>
      </c>
      <c r="E50" s="4"/>
      <c r="F50" s="12">
        <f t="shared" ref="F50:F71" si="6">IF(D$12=0,0,D50/D$12)</f>
        <v>0.52204324097448052</v>
      </c>
      <c r="G50" s="4"/>
      <c r="H50" s="4">
        <f>SUM(OSRRefH16x_0)</f>
        <v>150303</v>
      </c>
      <c r="I50" s="4"/>
      <c r="J50" s="12">
        <f t="shared" ref="J50:J71" si="7">IF(H$12=0,0,H50/H$12)</f>
        <v>0.45864356508153503</v>
      </c>
      <c r="K50" s="4"/>
      <c r="L50" s="4">
        <f t="shared" ref="L50:L71" si="8">+D50-H50</f>
        <v>-90054.000000000015</v>
      </c>
      <c r="M50" s="4"/>
      <c r="N50" s="12">
        <f t="shared" ref="N50:N71" si="9">IF(H50=0,0,L50/H50)</f>
        <v>-0.59914971757050772</v>
      </c>
      <c r="O50" s="10"/>
      <c r="P50" s="4">
        <f>SUM(OSRRefP16x_0)</f>
        <v>419529.54000000004</v>
      </c>
      <c r="Q50" s="4"/>
      <c r="R50" s="12">
        <f t="shared" ref="R50:R71" si="10">IF(P$12=0,0,P50/P$12)</f>
        <v>0.58674040474265454</v>
      </c>
      <c r="S50" s="4"/>
      <c r="T50" s="4">
        <f>SUM(OSRRefT16x_0)</f>
        <v>583650</v>
      </c>
      <c r="U50" s="4"/>
      <c r="V50" s="12">
        <f t="shared" ref="V50:V71" si="11">IF(T$12=0,0,T50/T$12)</f>
        <v>0.45779055758442827</v>
      </c>
      <c r="W50" s="4"/>
      <c r="X50" s="4">
        <f t="shared" ref="X50:X71" si="12">+P50-T50</f>
        <v>-164120.45999999996</v>
      </c>
      <c r="Y50" s="4"/>
      <c r="Z50" s="12">
        <f t="shared" ref="Z50:Z71" si="13">IF(T50=0,0,X50/T50)</f>
        <v>-0.28119671035723459</v>
      </c>
    </row>
    <row r="51" spans="1:26" s="24" customFormat="1" hidden="1" outlineLevel="1" x14ac:dyDescent="0.25">
      <c r="A51" s="51"/>
      <c r="B51" s="11" t="str">
        <f>CONCATENATE("          ", "5000", " - ", "PURCHASES @ COST")</f>
        <v xml:space="preserve">          5000 - PURCHASES @ COST</v>
      </c>
      <c r="C51" s="11"/>
      <c r="D51" s="2"/>
      <c r="E51" s="2"/>
      <c r="F51" s="22">
        <f t="shared" si="6"/>
        <v>0</v>
      </c>
      <c r="G51" s="2"/>
      <c r="H51" s="2">
        <v>150303</v>
      </c>
      <c r="I51" s="2"/>
      <c r="J51" s="22">
        <f t="shared" si="7"/>
        <v>0.45864356508153503</v>
      </c>
      <c r="K51" s="2"/>
      <c r="L51" s="2">
        <f t="shared" si="8"/>
        <v>-150303</v>
      </c>
      <c r="M51" s="2"/>
      <c r="N51" s="22">
        <f t="shared" si="9"/>
        <v>-1</v>
      </c>
      <c r="O51" s="11"/>
      <c r="P51" s="2"/>
      <c r="Q51" s="2"/>
      <c r="R51" s="22">
        <f t="shared" si="10"/>
        <v>0</v>
      </c>
      <c r="S51" s="2"/>
      <c r="T51" s="2">
        <v>583650</v>
      </c>
      <c r="U51" s="2"/>
      <c r="V51" s="22">
        <f t="shared" si="11"/>
        <v>0.45779055758442827</v>
      </c>
      <c r="W51" s="2"/>
      <c r="X51" s="2">
        <f t="shared" si="12"/>
        <v>-583650</v>
      </c>
      <c r="Y51" s="2"/>
      <c r="Z51" s="22">
        <f t="shared" si="13"/>
        <v>-1</v>
      </c>
    </row>
    <row r="52" spans="1:26" s="24" customFormat="1" hidden="1" outlineLevel="1" x14ac:dyDescent="0.25">
      <c r="A52" s="51"/>
      <c r="B52" s="11" t="str">
        <f>CONCATENATE("          ", "5025", " - ", "PURCHASES @ COST-TEST FORMS")</f>
        <v xml:space="preserve">          5025 - PURCHASES @ COST-TEST FORMS</v>
      </c>
      <c r="C52" s="11"/>
      <c r="D52" s="2">
        <v>599.29</v>
      </c>
      <c r="E52" s="2"/>
      <c r="F52" s="22">
        <f t="shared" si="6"/>
        <v>5.1927051715978103E-3</v>
      </c>
      <c r="G52" s="2"/>
      <c r="H52" s="2"/>
      <c r="I52" s="2"/>
      <c r="J52" s="22">
        <f t="shared" si="7"/>
        <v>0</v>
      </c>
      <c r="K52" s="2"/>
      <c r="L52" s="2">
        <f t="shared" si="8"/>
        <v>599.29</v>
      </c>
      <c r="M52" s="2"/>
      <c r="N52" s="22">
        <f t="shared" si="9"/>
        <v>0</v>
      </c>
      <c r="O52" s="11"/>
      <c r="P52" s="2">
        <v>599.29</v>
      </c>
      <c r="Q52" s="2"/>
      <c r="R52" s="22">
        <f t="shared" si="10"/>
        <v>8.3814755251376426E-4</v>
      </c>
      <c r="S52" s="2"/>
      <c r="T52" s="2"/>
      <c r="U52" s="2"/>
      <c r="V52" s="22">
        <f t="shared" si="11"/>
        <v>0</v>
      </c>
      <c r="W52" s="2"/>
      <c r="X52" s="2">
        <f t="shared" si="12"/>
        <v>599.29</v>
      </c>
      <c r="Y52" s="2"/>
      <c r="Z52" s="22">
        <f t="shared" si="13"/>
        <v>0</v>
      </c>
    </row>
    <row r="53" spans="1:26" s="24" customFormat="1" hidden="1" outlineLevel="1" x14ac:dyDescent="0.25">
      <c r="A53" s="51"/>
      <c r="B53" s="11" t="str">
        <f>CONCATENATE("          ", "5026", " - ", "PURCHASES @ COST-WRITING INSTR")</f>
        <v xml:space="preserve">          5026 - PURCHASES @ COST-WRITING INSTR</v>
      </c>
      <c r="C53" s="11"/>
      <c r="D53" s="2">
        <v>10</v>
      </c>
      <c r="E53" s="2"/>
      <c r="F53" s="22">
        <f t="shared" si="6"/>
        <v>8.6647619209361248E-5</v>
      </c>
      <c r="G53" s="2"/>
      <c r="H53" s="2"/>
      <c r="I53" s="2"/>
      <c r="J53" s="22">
        <f t="shared" si="7"/>
        <v>0</v>
      </c>
      <c r="K53" s="2"/>
      <c r="L53" s="2">
        <f t="shared" si="8"/>
        <v>10</v>
      </c>
      <c r="M53" s="2"/>
      <c r="N53" s="22">
        <f t="shared" si="9"/>
        <v>0</v>
      </c>
      <c r="O53" s="11"/>
      <c r="P53" s="2">
        <v>10</v>
      </c>
      <c r="Q53" s="2"/>
      <c r="R53" s="22">
        <f t="shared" si="10"/>
        <v>1.3985675591345831E-5</v>
      </c>
      <c r="S53" s="2"/>
      <c r="T53" s="2"/>
      <c r="U53" s="2"/>
      <c r="V53" s="22">
        <f t="shared" si="11"/>
        <v>0</v>
      </c>
      <c r="W53" s="2"/>
      <c r="X53" s="2">
        <f t="shared" si="12"/>
        <v>10</v>
      </c>
      <c r="Y53" s="2"/>
      <c r="Z53" s="22">
        <f t="shared" si="13"/>
        <v>0</v>
      </c>
    </row>
    <row r="54" spans="1:26" s="24" customFormat="1" hidden="1" outlineLevel="1" x14ac:dyDescent="0.25">
      <c r="A54" s="51"/>
      <c r="B54" s="11" t="str">
        <f>CONCATENATE("          ", "5027", " - ", "PURCHASES @ COST-SCHOOL SUPPLI")</f>
        <v xml:space="preserve">          5027 - PURCHASES @ COST-SCHOOL SUPPLI</v>
      </c>
      <c r="C54" s="11"/>
      <c r="D54" s="2">
        <v>9672.48</v>
      </c>
      <c r="E54" s="2"/>
      <c r="F54" s="22">
        <f t="shared" si="6"/>
        <v>8.3809736385016251E-2</v>
      </c>
      <c r="G54" s="2"/>
      <c r="H54" s="2"/>
      <c r="I54" s="2"/>
      <c r="J54" s="22">
        <f t="shared" si="7"/>
        <v>0</v>
      </c>
      <c r="K54" s="2"/>
      <c r="L54" s="2">
        <f t="shared" si="8"/>
        <v>9672.48</v>
      </c>
      <c r="M54" s="2"/>
      <c r="N54" s="22">
        <f t="shared" si="9"/>
        <v>0</v>
      </c>
      <c r="O54" s="11"/>
      <c r="P54" s="2">
        <v>18175.88</v>
      </c>
      <c r="Q54" s="2"/>
      <c r="R54" s="22">
        <f t="shared" si="10"/>
        <v>2.5420196126723086E-2</v>
      </c>
      <c r="S54" s="2"/>
      <c r="T54" s="2"/>
      <c r="U54" s="2"/>
      <c r="V54" s="22">
        <f t="shared" si="11"/>
        <v>0</v>
      </c>
      <c r="W54" s="2"/>
      <c r="X54" s="2">
        <f t="shared" si="12"/>
        <v>18175.88</v>
      </c>
      <c r="Y54" s="2"/>
      <c r="Z54" s="22">
        <f t="shared" si="13"/>
        <v>0</v>
      </c>
    </row>
    <row r="55" spans="1:26" s="24" customFormat="1" hidden="1" outlineLevel="1" x14ac:dyDescent="0.25">
      <c r="A55" s="51"/>
      <c r="B55" s="11" t="str">
        <f>CONCATENATE("          ", "5028", " - ", "PURCHASES @ COST-ART/TECH")</f>
        <v xml:space="preserve">          5028 - PURCHASES @ COST-ART/TECH</v>
      </c>
      <c r="C55" s="11"/>
      <c r="D55" s="2"/>
      <c r="E55" s="2"/>
      <c r="F55" s="22">
        <f t="shared" si="6"/>
        <v>0</v>
      </c>
      <c r="G55" s="2"/>
      <c r="H55" s="2"/>
      <c r="I55" s="2"/>
      <c r="J55" s="22">
        <f t="shared" si="7"/>
        <v>0</v>
      </c>
      <c r="K55" s="2"/>
      <c r="L55" s="2">
        <f t="shared" si="8"/>
        <v>0</v>
      </c>
      <c r="M55" s="2"/>
      <c r="N55" s="22">
        <f t="shared" si="9"/>
        <v>0</v>
      </c>
      <c r="O55" s="11"/>
      <c r="P55" s="2">
        <v>-83.4</v>
      </c>
      <c r="Q55" s="2"/>
      <c r="R55" s="22">
        <f t="shared" si="10"/>
        <v>-1.1664053443182424E-4</v>
      </c>
      <c r="S55" s="2"/>
      <c r="T55" s="2"/>
      <c r="U55" s="2"/>
      <c r="V55" s="22">
        <f t="shared" si="11"/>
        <v>0</v>
      </c>
      <c r="W55" s="2"/>
      <c r="X55" s="2">
        <f t="shared" si="12"/>
        <v>-83.4</v>
      </c>
      <c r="Y55" s="2"/>
      <c r="Z55" s="22">
        <f t="shared" si="13"/>
        <v>0</v>
      </c>
    </row>
    <row r="56" spans="1:26" s="24" customFormat="1" hidden="1" outlineLevel="1" x14ac:dyDescent="0.25">
      <c r="A56" s="51"/>
      <c r="B56" s="11" t="str">
        <f>CONCATENATE("          ", "5031", " - ", "PURCHASES @ COST-FOOD")</f>
        <v xml:space="preserve">          5031 - PURCHASES @ COST-FOOD</v>
      </c>
      <c r="C56" s="11"/>
      <c r="D56" s="2">
        <v>4421.92</v>
      </c>
      <c r="E56" s="2"/>
      <c r="F56" s="22">
        <f t="shared" si="6"/>
        <v>3.8314884033425874E-2</v>
      </c>
      <c r="G56" s="2"/>
      <c r="H56" s="2"/>
      <c r="I56" s="2"/>
      <c r="J56" s="22">
        <f t="shared" si="7"/>
        <v>0</v>
      </c>
      <c r="K56" s="2"/>
      <c r="L56" s="2">
        <f t="shared" si="8"/>
        <v>4421.92</v>
      </c>
      <c r="M56" s="2"/>
      <c r="N56" s="22">
        <f t="shared" si="9"/>
        <v>0</v>
      </c>
      <c r="O56" s="11"/>
      <c r="P56" s="2">
        <v>5605.43</v>
      </c>
      <c r="Q56" s="2"/>
      <c r="R56" s="22">
        <f t="shared" si="10"/>
        <v>7.839572552999767E-3</v>
      </c>
      <c r="S56" s="2"/>
      <c r="T56" s="2"/>
      <c r="U56" s="2"/>
      <c r="V56" s="22">
        <f t="shared" si="11"/>
        <v>0</v>
      </c>
      <c r="W56" s="2"/>
      <c r="X56" s="2">
        <f t="shared" si="12"/>
        <v>5605.43</v>
      </c>
      <c r="Y56" s="2"/>
      <c r="Z56" s="22">
        <f t="shared" si="13"/>
        <v>0</v>
      </c>
    </row>
    <row r="57" spans="1:26" s="24" customFormat="1" hidden="1" outlineLevel="1" x14ac:dyDescent="0.25">
      <c r="A57" s="51"/>
      <c r="B57" s="11" t="str">
        <f>CONCATENATE("          ", "5040", " - ", "PURCHASES @ COST-LOGO CLOTHING")</f>
        <v xml:space="preserve">          5040 - PURCHASES @ COST-LOGO CLOTHING</v>
      </c>
      <c r="C57" s="11"/>
      <c r="D57" s="2">
        <v>25420.9</v>
      </c>
      <c r="E57" s="2"/>
      <c r="F57" s="22">
        <f t="shared" si="6"/>
        <v>0.22026604631592517</v>
      </c>
      <c r="G57" s="2"/>
      <c r="H57" s="2"/>
      <c r="I57" s="2"/>
      <c r="J57" s="22">
        <f t="shared" si="7"/>
        <v>0</v>
      </c>
      <c r="K57" s="2"/>
      <c r="L57" s="2">
        <f t="shared" si="8"/>
        <v>25420.9</v>
      </c>
      <c r="M57" s="2"/>
      <c r="N57" s="22">
        <f t="shared" si="9"/>
        <v>0</v>
      </c>
      <c r="O57" s="11"/>
      <c r="P57" s="2">
        <v>39170.950000000004</v>
      </c>
      <c r="Q57" s="2"/>
      <c r="R57" s="22">
        <f t="shared" si="10"/>
        <v>5.4783219930482803E-2</v>
      </c>
      <c r="S57" s="2"/>
      <c r="T57" s="2"/>
      <c r="U57" s="2"/>
      <c r="V57" s="22">
        <f t="shared" si="11"/>
        <v>0</v>
      </c>
      <c r="W57" s="2"/>
      <c r="X57" s="2">
        <f t="shared" si="12"/>
        <v>39170.950000000004</v>
      </c>
      <c r="Y57" s="2"/>
      <c r="Z57" s="22">
        <f t="shared" si="13"/>
        <v>0</v>
      </c>
    </row>
    <row r="58" spans="1:26" s="24" customFormat="1" hidden="1" outlineLevel="1" x14ac:dyDescent="0.25">
      <c r="A58" s="51"/>
      <c r="B58" s="11" t="str">
        <f>CONCATENATE("          ", "5041", " - ", "PURCHASES @ COST-LOGO GIFTS")</f>
        <v xml:space="preserve">          5041 - PURCHASES @ COST-LOGO GIFTS</v>
      </c>
      <c r="C58" s="11"/>
      <c r="D58" s="2">
        <v>15289.8</v>
      </c>
      <c r="E58" s="2"/>
      <c r="F58" s="22">
        <f t="shared" si="6"/>
        <v>0.13248247681872916</v>
      </c>
      <c r="G58" s="2"/>
      <c r="H58" s="2"/>
      <c r="I58" s="2"/>
      <c r="J58" s="22">
        <f t="shared" si="7"/>
        <v>0</v>
      </c>
      <c r="K58" s="2"/>
      <c r="L58" s="2">
        <f t="shared" si="8"/>
        <v>15289.8</v>
      </c>
      <c r="M58" s="2"/>
      <c r="N58" s="22">
        <f t="shared" si="9"/>
        <v>0</v>
      </c>
      <c r="O58" s="11"/>
      <c r="P58" s="2">
        <v>17287.34</v>
      </c>
      <c r="Q58" s="2"/>
      <c r="R58" s="22">
        <f t="shared" si="10"/>
        <v>2.4177512907729643E-2</v>
      </c>
      <c r="S58" s="2"/>
      <c r="T58" s="2"/>
      <c r="U58" s="2"/>
      <c r="V58" s="22">
        <f t="shared" si="11"/>
        <v>0</v>
      </c>
      <c r="W58" s="2"/>
      <c r="X58" s="2">
        <f t="shared" si="12"/>
        <v>17287.34</v>
      </c>
      <c r="Y58" s="2"/>
      <c r="Z58" s="22">
        <f t="shared" si="13"/>
        <v>0</v>
      </c>
    </row>
    <row r="59" spans="1:26" s="24" customFormat="1" hidden="1" outlineLevel="1" x14ac:dyDescent="0.25">
      <c r="A59" s="51"/>
      <c r="B59" s="11" t="str">
        <f>CONCATENATE("          ", "5042", " - ", "PURCHASES @ COST-EVERYDAY GIFT")</f>
        <v xml:space="preserve">          5042 - PURCHASES @ COST-EVERYDAY GIFT</v>
      </c>
      <c r="C59" s="11"/>
      <c r="D59" s="2">
        <v>9421.5300000000007</v>
      </c>
      <c r="E59" s="2"/>
      <c r="F59" s="22">
        <f t="shared" si="6"/>
        <v>8.1635314380957336E-2</v>
      </c>
      <c r="G59" s="2"/>
      <c r="H59" s="2"/>
      <c r="I59" s="2"/>
      <c r="J59" s="22">
        <f t="shared" si="7"/>
        <v>0</v>
      </c>
      <c r="K59" s="2"/>
      <c r="L59" s="2">
        <f t="shared" si="8"/>
        <v>9421.5300000000007</v>
      </c>
      <c r="M59" s="2"/>
      <c r="N59" s="22">
        <f t="shared" si="9"/>
        <v>0</v>
      </c>
      <c r="O59" s="11"/>
      <c r="P59" s="2">
        <v>10912.68</v>
      </c>
      <c r="Q59" s="2"/>
      <c r="R59" s="22">
        <f t="shared" si="10"/>
        <v>1.5262120231216782E-2</v>
      </c>
      <c r="S59" s="2"/>
      <c r="T59" s="2"/>
      <c r="U59" s="2"/>
      <c r="V59" s="22">
        <f t="shared" si="11"/>
        <v>0</v>
      </c>
      <c r="W59" s="2"/>
      <c r="X59" s="2">
        <f t="shared" si="12"/>
        <v>10912.68</v>
      </c>
      <c r="Y59" s="2"/>
      <c r="Z59" s="22">
        <f t="shared" si="13"/>
        <v>0</v>
      </c>
    </row>
    <row r="60" spans="1:26" s="24" customFormat="1" hidden="1" outlineLevel="1" x14ac:dyDescent="0.25">
      <c r="A60" s="51"/>
      <c r="B60" s="11" t="str">
        <f>CONCATENATE("          ", "5043", " - ", "PURCHASES @ COST-CARDS")</f>
        <v xml:space="preserve">          5043 - PURCHASES @ COST-CARDS</v>
      </c>
      <c r="C60" s="11"/>
      <c r="D60" s="2">
        <v>2526.75</v>
      </c>
      <c r="E60" s="2"/>
      <c r="F60" s="22">
        <f t="shared" si="6"/>
        <v>2.1893687183725353E-2</v>
      </c>
      <c r="G60" s="2"/>
      <c r="H60" s="2"/>
      <c r="I60" s="2"/>
      <c r="J60" s="22">
        <f t="shared" si="7"/>
        <v>0</v>
      </c>
      <c r="K60" s="2"/>
      <c r="L60" s="2">
        <f t="shared" si="8"/>
        <v>2526.75</v>
      </c>
      <c r="M60" s="2"/>
      <c r="N60" s="22">
        <f t="shared" si="9"/>
        <v>0</v>
      </c>
      <c r="O60" s="11"/>
      <c r="P60" s="2">
        <v>5643</v>
      </c>
      <c r="Q60" s="2"/>
      <c r="R60" s="22">
        <f t="shared" si="10"/>
        <v>7.8921167361964521E-3</v>
      </c>
      <c r="S60" s="2"/>
      <c r="T60" s="2"/>
      <c r="U60" s="2"/>
      <c r="V60" s="22">
        <f t="shared" si="11"/>
        <v>0</v>
      </c>
      <c r="W60" s="2"/>
      <c r="X60" s="2">
        <f t="shared" si="12"/>
        <v>5643</v>
      </c>
      <c r="Y60" s="2"/>
      <c r="Z60" s="22">
        <f t="shared" si="13"/>
        <v>0</v>
      </c>
    </row>
    <row r="61" spans="1:26" s="24" customFormat="1" hidden="1" outlineLevel="1" x14ac:dyDescent="0.25">
      <c r="A61" s="51"/>
      <c r="B61" s="11" t="str">
        <f>CONCATENATE("          ", "5045", " - ", "PURCHASES @ COST-SPECIAL ORDER")</f>
        <v xml:space="preserve">          5045 - PURCHASES @ COST-SPECIAL ORDER</v>
      </c>
      <c r="C61" s="11"/>
      <c r="D61" s="2">
        <v>10080.23</v>
      </c>
      <c r="E61" s="2"/>
      <c r="F61" s="22">
        <f t="shared" si="6"/>
        <v>8.7342793058277954E-2</v>
      </c>
      <c r="G61" s="2"/>
      <c r="H61" s="2"/>
      <c r="I61" s="2"/>
      <c r="J61" s="22">
        <f t="shared" si="7"/>
        <v>0</v>
      </c>
      <c r="K61" s="2"/>
      <c r="L61" s="2">
        <f t="shared" si="8"/>
        <v>10080.23</v>
      </c>
      <c r="M61" s="2"/>
      <c r="N61" s="22">
        <f t="shared" si="9"/>
        <v>0</v>
      </c>
      <c r="O61" s="11"/>
      <c r="P61" s="2">
        <v>71254.52</v>
      </c>
      <c r="Q61" s="2"/>
      <c r="R61" s="22">
        <f t="shared" si="10"/>
        <v>9.9654260113706344E-2</v>
      </c>
      <c r="S61" s="2"/>
      <c r="T61" s="2"/>
      <c r="U61" s="2"/>
      <c r="V61" s="22">
        <f t="shared" si="11"/>
        <v>0</v>
      </c>
      <c r="W61" s="2"/>
      <c r="X61" s="2">
        <f t="shared" si="12"/>
        <v>71254.52</v>
      </c>
      <c r="Y61" s="2"/>
      <c r="Z61" s="22">
        <f t="shared" si="13"/>
        <v>0</v>
      </c>
    </row>
    <row r="62" spans="1:26" s="24" customFormat="1" hidden="1" outlineLevel="1" x14ac:dyDescent="0.25">
      <c r="A62" s="51"/>
      <c r="B62" s="11" t="str">
        <f>CONCATENATE("          ", "5200", " - ", "PURCHASES OFFSET")</f>
        <v xml:space="preserve">          5200 - PURCHASES OFFSET</v>
      </c>
      <c r="C62" s="11"/>
      <c r="D62" s="2">
        <v>-79762.5</v>
      </c>
      <c r="E62" s="2"/>
      <c r="F62" s="22">
        <f t="shared" si="6"/>
        <v>-0.69112307271866769</v>
      </c>
      <c r="G62" s="2"/>
      <c r="H62" s="2"/>
      <c r="I62" s="2"/>
      <c r="J62" s="22">
        <f t="shared" si="7"/>
        <v>0</v>
      </c>
      <c r="K62" s="2"/>
      <c r="L62" s="2">
        <f t="shared" si="8"/>
        <v>-79762.5</v>
      </c>
      <c r="M62" s="2"/>
      <c r="N62" s="22">
        <f t="shared" si="9"/>
        <v>0</v>
      </c>
      <c r="O62" s="11"/>
      <c r="P62" s="2">
        <v>-173319.38</v>
      </c>
      <c r="Q62" s="2"/>
      <c r="R62" s="22">
        <f t="shared" si="10"/>
        <v>-0.2423988622373193</v>
      </c>
      <c r="S62" s="2"/>
      <c r="T62" s="2"/>
      <c r="U62" s="2"/>
      <c r="V62" s="22">
        <f t="shared" si="11"/>
        <v>0</v>
      </c>
      <c r="W62" s="2"/>
      <c r="X62" s="2">
        <f t="shared" si="12"/>
        <v>-173319.38</v>
      </c>
      <c r="Y62" s="2"/>
      <c r="Z62" s="22">
        <f t="shared" si="13"/>
        <v>0</v>
      </c>
    </row>
    <row r="63" spans="1:26" s="24" customFormat="1" hidden="1" outlineLevel="1" x14ac:dyDescent="0.25">
      <c r="A63" s="51"/>
      <c r="B63" s="11" t="str">
        <f>CONCATENATE("          ", "5300", " - ", "COG$ OFFSET")</f>
        <v xml:space="preserve">          5300 - COG$ OFFSET</v>
      </c>
      <c r="C63" s="11"/>
      <c r="D63" s="2">
        <v>60248.999999999993</v>
      </c>
      <c r="E63" s="2"/>
      <c r="F63" s="22">
        <f t="shared" si="6"/>
        <v>0.52204324097448052</v>
      </c>
      <c r="G63" s="2"/>
      <c r="H63" s="2"/>
      <c r="I63" s="2"/>
      <c r="J63" s="22">
        <f t="shared" si="7"/>
        <v>0</v>
      </c>
      <c r="K63" s="2"/>
      <c r="L63" s="2">
        <f t="shared" si="8"/>
        <v>60248.999999999993</v>
      </c>
      <c r="M63" s="2"/>
      <c r="N63" s="22">
        <f t="shared" si="9"/>
        <v>0</v>
      </c>
      <c r="O63" s="11"/>
      <c r="P63" s="2">
        <v>418613</v>
      </c>
      <c r="Q63" s="2"/>
      <c r="R63" s="22">
        <f t="shared" si="10"/>
        <v>0.58545856163200527</v>
      </c>
      <c r="S63" s="2"/>
      <c r="T63" s="2"/>
      <c r="U63" s="2"/>
      <c r="V63" s="22">
        <f t="shared" si="11"/>
        <v>0</v>
      </c>
      <c r="W63" s="2"/>
      <c r="X63" s="2">
        <f t="shared" si="12"/>
        <v>418613</v>
      </c>
      <c r="Y63" s="2"/>
      <c r="Z63" s="22">
        <f t="shared" si="13"/>
        <v>0</v>
      </c>
    </row>
    <row r="64" spans="1:26" s="24" customFormat="1" hidden="1" outlineLevel="1" x14ac:dyDescent="0.25">
      <c r="A64" s="51"/>
      <c r="B64" s="11" t="str">
        <f>CONCATENATE("          ", "5525", " - ", "FREIGHT-IN-TEST FORMS")</f>
        <v xml:space="preserve">          5525 - FREIGHT-IN-TEST FORMS</v>
      </c>
      <c r="C64" s="11"/>
      <c r="D64" s="2">
        <v>48.14</v>
      </c>
      <c r="E64" s="2"/>
      <c r="F64" s="22">
        <f t="shared" si="6"/>
        <v>4.1712163887386506E-4</v>
      </c>
      <c r="G64" s="2"/>
      <c r="H64" s="2"/>
      <c r="I64" s="2"/>
      <c r="J64" s="22">
        <f t="shared" si="7"/>
        <v>0</v>
      </c>
      <c r="K64" s="2"/>
      <c r="L64" s="2">
        <f t="shared" si="8"/>
        <v>48.14</v>
      </c>
      <c r="M64" s="2"/>
      <c r="N64" s="22">
        <f t="shared" si="9"/>
        <v>0</v>
      </c>
      <c r="O64" s="11"/>
      <c r="P64" s="2">
        <v>48.14</v>
      </c>
      <c r="Q64" s="2"/>
      <c r="R64" s="22">
        <f t="shared" si="10"/>
        <v>6.7327042296738826E-5</v>
      </c>
      <c r="S64" s="2"/>
      <c r="T64" s="2"/>
      <c r="U64" s="2"/>
      <c r="V64" s="22">
        <f t="shared" si="11"/>
        <v>0</v>
      </c>
      <c r="W64" s="2"/>
      <c r="X64" s="2">
        <f t="shared" si="12"/>
        <v>48.14</v>
      </c>
      <c r="Y64" s="2"/>
      <c r="Z64" s="22">
        <f t="shared" si="13"/>
        <v>0</v>
      </c>
    </row>
    <row r="65" spans="1:26" s="24" customFormat="1" hidden="1" outlineLevel="1" x14ac:dyDescent="0.25">
      <c r="A65" s="51"/>
      <c r="B65" s="11" t="str">
        <f>CONCATENATE("          ", "5527", " - ", "FREIGHT-IN-SCHOOL SUPPLIES")</f>
        <v xml:space="preserve">          5527 - FREIGHT-IN-SCHOOL SUPPLIES</v>
      </c>
      <c r="C65" s="11"/>
      <c r="D65" s="2">
        <v>56</v>
      </c>
      <c r="E65" s="2"/>
      <c r="F65" s="22">
        <f t="shared" si="6"/>
        <v>4.8522666757242302E-4</v>
      </c>
      <c r="G65" s="2"/>
      <c r="H65" s="2"/>
      <c r="I65" s="2"/>
      <c r="J65" s="22">
        <f t="shared" si="7"/>
        <v>0</v>
      </c>
      <c r="K65" s="2"/>
      <c r="L65" s="2">
        <f t="shared" si="8"/>
        <v>56</v>
      </c>
      <c r="M65" s="2"/>
      <c r="N65" s="22">
        <f t="shared" si="9"/>
        <v>0</v>
      </c>
      <c r="O65" s="11"/>
      <c r="P65" s="2">
        <v>56</v>
      </c>
      <c r="Q65" s="2"/>
      <c r="R65" s="22">
        <f t="shared" si="10"/>
        <v>7.8319783311536653E-5</v>
      </c>
      <c r="S65" s="2"/>
      <c r="T65" s="2"/>
      <c r="U65" s="2"/>
      <c r="V65" s="22">
        <f t="shared" si="11"/>
        <v>0</v>
      </c>
      <c r="W65" s="2"/>
      <c r="X65" s="2">
        <f t="shared" si="12"/>
        <v>56</v>
      </c>
      <c r="Y65" s="2"/>
      <c r="Z65" s="22">
        <f t="shared" si="13"/>
        <v>0</v>
      </c>
    </row>
    <row r="66" spans="1:26" s="24" customFormat="1" hidden="1" outlineLevel="1" x14ac:dyDescent="0.25">
      <c r="A66" s="51"/>
      <c r="B66" s="11" t="str">
        <f>CONCATENATE("          ", "5528", " - ", "FREIGHT-IN-ART/TECH")</f>
        <v xml:space="preserve">          5528 - FREIGHT-IN-ART/TECH</v>
      </c>
      <c r="C66" s="11"/>
      <c r="D66" s="2">
        <v>3.94</v>
      </c>
      <c r="E66" s="2"/>
      <c r="F66" s="22">
        <f t="shared" si="6"/>
        <v>3.4139161968488331E-5</v>
      </c>
      <c r="G66" s="2"/>
      <c r="H66" s="2"/>
      <c r="I66" s="2"/>
      <c r="J66" s="22">
        <f t="shared" si="7"/>
        <v>0</v>
      </c>
      <c r="K66" s="2"/>
      <c r="L66" s="2">
        <f t="shared" si="8"/>
        <v>3.94</v>
      </c>
      <c r="M66" s="2"/>
      <c r="N66" s="22">
        <f t="shared" si="9"/>
        <v>0</v>
      </c>
      <c r="O66" s="11"/>
      <c r="P66" s="2">
        <v>3.94</v>
      </c>
      <c r="Q66" s="2"/>
      <c r="R66" s="22">
        <f t="shared" si="10"/>
        <v>5.5103561829902572E-6</v>
      </c>
      <c r="S66" s="2"/>
      <c r="T66" s="2"/>
      <c r="U66" s="2"/>
      <c r="V66" s="22">
        <f t="shared" si="11"/>
        <v>0</v>
      </c>
      <c r="W66" s="2"/>
      <c r="X66" s="2">
        <f t="shared" si="12"/>
        <v>3.94</v>
      </c>
      <c r="Y66" s="2"/>
      <c r="Z66" s="22">
        <f t="shared" si="13"/>
        <v>0</v>
      </c>
    </row>
    <row r="67" spans="1:26" s="24" customFormat="1" hidden="1" outlineLevel="1" x14ac:dyDescent="0.25">
      <c r="A67" s="51"/>
      <c r="B67" s="11" t="str">
        <f>CONCATENATE("          ", "5540", " - ", "FREIGHT-IN-LOGO CLOTHING")</f>
        <v xml:space="preserve">          5540 - FREIGHT-IN-LOGO CLOTHING</v>
      </c>
      <c r="C67" s="11"/>
      <c r="D67" s="2">
        <v>1036.57</v>
      </c>
      <c r="E67" s="2"/>
      <c r="F67" s="22">
        <f t="shared" si="6"/>
        <v>8.9816322643847587E-3</v>
      </c>
      <c r="G67" s="2"/>
      <c r="H67" s="2"/>
      <c r="I67" s="2"/>
      <c r="J67" s="22">
        <f t="shared" si="7"/>
        <v>0</v>
      </c>
      <c r="K67" s="2"/>
      <c r="L67" s="2">
        <f t="shared" si="8"/>
        <v>1036.57</v>
      </c>
      <c r="M67" s="2"/>
      <c r="N67" s="22">
        <f t="shared" si="9"/>
        <v>0</v>
      </c>
      <c r="O67" s="11"/>
      <c r="P67" s="2">
        <v>3202.33</v>
      </c>
      <c r="Q67" s="2"/>
      <c r="R67" s="22">
        <f t="shared" si="10"/>
        <v>4.4786748516434495E-3</v>
      </c>
      <c r="S67" s="2"/>
      <c r="T67" s="2"/>
      <c r="U67" s="2"/>
      <c r="V67" s="22">
        <f t="shared" si="11"/>
        <v>0</v>
      </c>
      <c r="W67" s="2"/>
      <c r="X67" s="2">
        <f t="shared" si="12"/>
        <v>3202.33</v>
      </c>
      <c r="Y67" s="2"/>
      <c r="Z67" s="22">
        <f t="shared" si="13"/>
        <v>0</v>
      </c>
    </row>
    <row r="68" spans="1:26" s="24" customFormat="1" hidden="1" outlineLevel="1" x14ac:dyDescent="0.25">
      <c r="A68" s="51"/>
      <c r="B68" s="11" t="str">
        <f>CONCATENATE("          ", "5541", " - ", "FREIGHT-IN-LOGO GIFTS")</f>
        <v xml:space="preserve">          5541 - FREIGHT-IN-LOGO GIFTS</v>
      </c>
      <c r="C68" s="11"/>
      <c r="D68" s="2">
        <v>773.7</v>
      </c>
      <c r="E68" s="2"/>
      <c r="F68" s="22">
        <f t="shared" si="6"/>
        <v>6.7039262982282804E-3</v>
      </c>
      <c r="G68" s="2"/>
      <c r="H68" s="2"/>
      <c r="I68" s="2"/>
      <c r="J68" s="22">
        <f t="shared" si="7"/>
        <v>0</v>
      </c>
      <c r="K68" s="2"/>
      <c r="L68" s="2">
        <f t="shared" si="8"/>
        <v>773.7</v>
      </c>
      <c r="M68" s="2"/>
      <c r="N68" s="22">
        <f t="shared" si="9"/>
        <v>0</v>
      </c>
      <c r="O68" s="11"/>
      <c r="P68" s="2">
        <v>1134.81</v>
      </c>
      <c r="Q68" s="2"/>
      <c r="R68" s="22">
        <f t="shared" si="10"/>
        <v>1.5871084517815161E-3</v>
      </c>
      <c r="S68" s="2"/>
      <c r="T68" s="2"/>
      <c r="U68" s="2"/>
      <c r="V68" s="22">
        <f t="shared" si="11"/>
        <v>0</v>
      </c>
      <c r="W68" s="2"/>
      <c r="X68" s="2">
        <f t="shared" si="12"/>
        <v>1134.81</v>
      </c>
      <c r="Y68" s="2"/>
      <c r="Z68" s="22">
        <f t="shared" si="13"/>
        <v>0</v>
      </c>
    </row>
    <row r="69" spans="1:26" s="24" customFormat="1" hidden="1" outlineLevel="1" x14ac:dyDescent="0.25">
      <c r="A69" s="51"/>
      <c r="B69" s="11" t="str">
        <f>CONCATENATE("          ", "5542", " - ", "FREIGHT-IN-EVERYDAY GIFTS")</f>
        <v xml:space="preserve">          5542 - FREIGHT-IN-EVERYDAY GIFTS</v>
      </c>
      <c r="C69" s="11"/>
      <c r="D69" s="2">
        <v>104.17</v>
      </c>
      <c r="E69" s="2"/>
      <c r="F69" s="22">
        <f t="shared" si="6"/>
        <v>9.0260824930391622E-4</v>
      </c>
      <c r="G69" s="2"/>
      <c r="H69" s="2"/>
      <c r="I69" s="2"/>
      <c r="J69" s="22">
        <f t="shared" si="7"/>
        <v>0</v>
      </c>
      <c r="K69" s="2"/>
      <c r="L69" s="2">
        <f t="shared" si="8"/>
        <v>104.17</v>
      </c>
      <c r="M69" s="2"/>
      <c r="N69" s="22">
        <f t="shared" si="9"/>
        <v>0</v>
      </c>
      <c r="O69" s="11"/>
      <c r="P69" s="2">
        <v>175.55</v>
      </c>
      <c r="Q69" s="2"/>
      <c r="R69" s="22">
        <f t="shared" si="10"/>
        <v>2.4551853500607608E-4</v>
      </c>
      <c r="S69" s="2"/>
      <c r="T69" s="2"/>
      <c r="U69" s="2"/>
      <c r="V69" s="22">
        <f t="shared" si="11"/>
        <v>0</v>
      </c>
      <c r="W69" s="2"/>
      <c r="X69" s="2">
        <f t="shared" si="12"/>
        <v>175.55</v>
      </c>
      <c r="Y69" s="2"/>
      <c r="Z69" s="22">
        <f t="shared" si="13"/>
        <v>0</v>
      </c>
    </row>
    <row r="70" spans="1:26" s="24" customFormat="1" hidden="1" outlineLevel="1" x14ac:dyDescent="0.25">
      <c r="A70" s="51"/>
      <c r="B70" s="11" t="str">
        <f>CONCATENATE("          ", "5543", " - ", "FREIGHT-IN-CARDS")</f>
        <v xml:space="preserve">          5543 - FREIGHT-IN-CARDS</v>
      </c>
      <c r="C70" s="11"/>
      <c r="D70" s="2">
        <v>107.42</v>
      </c>
      <c r="E70" s="2"/>
      <c r="F70" s="22">
        <f t="shared" si="6"/>
        <v>9.3076872554695856E-4</v>
      </c>
      <c r="G70" s="2"/>
      <c r="H70" s="2"/>
      <c r="I70" s="2"/>
      <c r="J70" s="22">
        <f t="shared" si="7"/>
        <v>0</v>
      </c>
      <c r="K70" s="2"/>
      <c r="L70" s="2">
        <f t="shared" si="8"/>
        <v>107.42</v>
      </c>
      <c r="M70" s="2"/>
      <c r="N70" s="22">
        <f t="shared" si="9"/>
        <v>0</v>
      </c>
      <c r="O70" s="11"/>
      <c r="P70" s="2">
        <v>189.19</v>
      </c>
      <c r="Q70" s="2"/>
      <c r="R70" s="22">
        <f t="shared" si="10"/>
        <v>2.6459499651267175E-4</v>
      </c>
      <c r="S70" s="2"/>
      <c r="T70" s="2"/>
      <c r="U70" s="2"/>
      <c r="V70" s="22">
        <f t="shared" si="11"/>
        <v>0</v>
      </c>
      <c r="W70" s="2"/>
      <c r="X70" s="2">
        <f t="shared" si="12"/>
        <v>189.19</v>
      </c>
      <c r="Y70" s="2"/>
      <c r="Z70" s="22">
        <f t="shared" si="13"/>
        <v>0</v>
      </c>
    </row>
    <row r="71" spans="1:26" s="24" customFormat="1" hidden="1" outlineLevel="1" x14ac:dyDescent="0.25">
      <c r="A71" s="51"/>
      <c r="B71" s="11" t="str">
        <f>CONCATENATE("          ", "5545", " - ", "FREIGHT-IN-SPECIAL ORDERS")</f>
        <v xml:space="preserve">          5545 - FREIGHT-IN-SPECIAL ORDERS</v>
      </c>
      <c r="C71" s="11"/>
      <c r="D71" s="2">
        <v>189.66</v>
      </c>
      <c r="E71" s="2"/>
      <c r="F71" s="22">
        <f t="shared" si="6"/>
        <v>1.6433587459247455E-3</v>
      </c>
      <c r="G71" s="2"/>
      <c r="H71" s="2"/>
      <c r="I71" s="2"/>
      <c r="J71" s="22">
        <f t="shared" si="7"/>
        <v>0</v>
      </c>
      <c r="K71" s="2"/>
      <c r="L71" s="2">
        <f t="shared" si="8"/>
        <v>189.66</v>
      </c>
      <c r="M71" s="2"/>
      <c r="N71" s="22">
        <f t="shared" si="9"/>
        <v>0</v>
      </c>
      <c r="O71" s="11"/>
      <c r="P71" s="2">
        <v>850.27</v>
      </c>
      <c r="Q71" s="2"/>
      <c r="R71" s="22">
        <f t="shared" si="10"/>
        <v>1.189160038505362E-3</v>
      </c>
      <c r="S71" s="2"/>
      <c r="T71" s="2"/>
      <c r="U71" s="2"/>
      <c r="V71" s="22">
        <f t="shared" si="11"/>
        <v>0</v>
      </c>
      <c r="W71" s="2"/>
      <c r="X71" s="2">
        <f t="shared" si="12"/>
        <v>850.27</v>
      </c>
      <c r="Y71" s="2"/>
      <c r="Z71" s="22">
        <f t="shared" si="13"/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6</v>
      </c>
      <c r="C73" s="26"/>
      <c r="D73" s="20">
        <f>D12-D50</f>
        <v>55160.98000000004</v>
      </c>
      <c r="E73" s="13"/>
      <c r="F73" s="19">
        <f>IF(D$12=0,0,D73/D$12)</f>
        <v>0.47795675902551954</v>
      </c>
      <c r="G73" s="13"/>
      <c r="H73" s="20">
        <f>H12-H50</f>
        <v>177409</v>
      </c>
      <c r="I73" s="13"/>
      <c r="J73" s="19">
        <f>IF(H$12=0,0,H73/H$12)</f>
        <v>0.54135643491846497</v>
      </c>
      <c r="K73" s="15"/>
      <c r="L73" s="20">
        <f>+D73-H73</f>
        <v>-122248.01999999996</v>
      </c>
      <c r="M73" s="15"/>
      <c r="N73" s="19">
        <f>IF(H73=0,0,L73/H73)</f>
        <v>-0.68907451143966747</v>
      </c>
      <c r="O73" s="25"/>
      <c r="P73" s="20">
        <f>P12-P50</f>
        <v>295487.76</v>
      </c>
      <c r="Q73" s="13"/>
      <c r="R73" s="19">
        <f>IF(P$12=0,0,P73/P$12)</f>
        <v>0.41325959525734551</v>
      </c>
      <c r="S73" s="13"/>
      <c r="T73" s="20">
        <f>T12-T50</f>
        <v>691278</v>
      </c>
      <c r="U73" s="13"/>
      <c r="V73" s="19">
        <f>IF(T$12=0,0,T73/T$12)</f>
        <v>0.54220944241557167</v>
      </c>
      <c r="W73" s="15"/>
      <c r="X73" s="20">
        <f>+P73-T73</f>
        <v>-395790.24</v>
      </c>
      <c r="Y73" s="15"/>
      <c r="Z73" s="19">
        <f>IF(T73=0,0,X73/T73)</f>
        <v>-0.57254858392716101</v>
      </c>
    </row>
    <row r="74" spans="1:26" x14ac:dyDescent="0.25">
      <c r="A74" s="9"/>
      <c r="B74" s="10"/>
      <c r="C74" s="9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5" t="s">
        <v>9</v>
      </c>
      <c r="C75" s="10"/>
      <c r="D75" s="21">
        <f>SUM(OSRRefD22x_0)</f>
        <v>75807.510000000009</v>
      </c>
      <c r="E75" s="21"/>
      <c r="F75" s="31">
        <f t="shared" ref="F75:F85" si="14">IF(D$12=0,0,D75/D$12)</f>
        <v>0.65685402596898457</v>
      </c>
      <c r="G75" s="21"/>
      <c r="H75" s="21">
        <f>SUM(OSRRefH22x_0)</f>
        <v>131246.93804615387</v>
      </c>
      <c r="I75" s="21"/>
      <c r="J75" s="31">
        <f t="shared" ref="J75:J85" si="15">IF(H$12=0,0,H75/H$12)</f>
        <v>0.40049475773286869</v>
      </c>
      <c r="K75" s="4"/>
      <c r="L75" s="21">
        <f t="shared" ref="L75:L85" si="16">+D75-H75</f>
        <v>-55439.428046153858</v>
      </c>
      <c r="M75" s="4"/>
      <c r="N75" s="31">
        <f t="shared" ref="N75:N85" si="17">IF(H75=0,0,L75/H75)</f>
        <v>-0.42240549662696292</v>
      </c>
      <c r="O75" s="10"/>
      <c r="P75" s="21">
        <f>SUM(OSRRefP22x_0)</f>
        <v>285809.32000000007</v>
      </c>
      <c r="Q75" s="21"/>
      <c r="R75" s="31">
        <f t="shared" ref="R75:R85" si="18">IF(P$12=0,0,P75/P$12)</f>
        <v>0.39972364305031505</v>
      </c>
      <c r="S75" s="21"/>
      <c r="T75" s="21">
        <f>SUM(OSRRefT22x_0)</f>
        <v>508195.56444115378</v>
      </c>
      <c r="U75" s="21"/>
      <c r="V75" s="31">
        <f t="shared" ref="V75:V85" si="19">IF(T$12=0,0,T75/T$12)</f>
        <v>0.39860726601122087</v>
      </c>
      <c r="W75" s="4"/>
      <c r="X75" s="21">
        <f t="shared" ref="X75:X85" si="20">+P75-T75</f>
        <v>-222386.24444115371</v>
      </c>
      <c r="Y75" s="4"/>
      <c r="Z75" s="31">
        <f t="shared" ref="Z75:Z85" si="21">IF(T75=0,0,X75/T75)</f>
        <v>-0.43759973522339707</v>
      </c>
    </row>
    <row r="76" spans="1:26" s="27" customFormat="1" outlineLevel="1" collapsed="1" x14ac:dyDescent="0.25">
      <c r="A76" s="29"/>
      <c r="B76" s="14" t="str">
        <f>CONCATENATE("     ","*Benefits                                         ")</f>
        <v xml:space="preserve">     *Benefits                                         </v>
      </c>
      <c r="C76" s="14"/>
      <c r="D76" s="1">
        <f>SUM(OSRRefD22_0x_0)</f>
        <v>15231.83</v>
      </c>
      <c r="E76" s="1"/>
      <c r="F76" s="5">
        <f t="shared" si="14"/>
        <v>0.1319801805701725</v>
      </c>
      <c r="G76" s="1"/>
      <c r="H76" s="1">
        <f>SUM(OSRRefH22_0x_0)</f>
        <v>15431.111123076907</v>
      </c>
      <c r="I76" s="1"/>
      <c r="J76" s="5">
        <f t="shared" si="15"/>
        <v>4.708741554498129E-2</v>
      </c>
      <c r="K76" s="1"/>
      <c r="L76" s="1">
        <f t="shared" si="16"/>
        <v>-199.28112307690753</v>
      </c>
      <c r="M76" s="1"/>
      <c r="N76" s="5">
        <f t="shared" si="17"/>
        <v>-1.291424327693984E-2</v>
      </c>
      <c r="O76" s="14"/>
      <c r="P76" s="1">
        <f>SUM(OSRRefP22_0x_0)</f>
        <v>63441.040000000008</v>
      </c>
      <c r="Q76" s="1"/>
      <c r="R76" s="5">
        <f t="shared" si="18"/>
        <v>8.8726580461759463E-2</v>
      </c>
      <c r="S76" s="1"/>
      <c r="T76" s="1">
        <f>SUM(OSRRefT22_0x_0)</f>
        <v>64400.987518076887</v>
      </c>
      <c r="U76" s="1"/>
      <c r="V76" s="5">
        <f t="shared" si="19"/>
        <v>5.0513430968711089E-2</v>
      </c>
      <c r="W76" s="1"/>
      <c r="X76" s="1">
        <f t="shared" si="20"/>
        <v>-959.94751807687862</v>
      </c>
      <c r="Y76" s="1"/>
      <c r="Z76" s="5">
        <f t="shared" si="21"/>
        <v>-1.4905788794114817E-2</v>
      </c>
    </row>
    <row r="77" spans="1:26" s="24" customFormat="1" hidden="1" outlineLevel="2" x14ac:dyDescent="0.25">
      <c r="A77" s="28"/>
      <c r="B77" s="11" t="str">
        <f>CONCATENATE("          ", "6111", " - ", "F.I.C.A.")</f>
        <v xml:space="preserve">          6111 - F.I.C.A.</v>
      </c>
      <c r="C77" s="11"/>
      <c r="D77" s="7">
        <v>3369.28</v>
      </c>
      <c r="E77" s="2"/>
      <c r="F77" s="6">
        <f t="shared" si="14"/>
        <v>2.9194009044971669E-2</v>
      </c>
      <c r="G77" s="2"/>
      <c r="H77" s="7">
        <v>2176.6898076923053</v>
      </c>
      <c r="I77" s="2"/>
      <c r="J77" s="6">
        <f t="shared" si="15"/>
        <v>6.6420814852440717E-3</v>
      </c>
      <c r="K77" s="2"/>
      <c r="L77" s="7">
        <f t="shared" si="16"/>
        <v>1192.5901923076949</v>
      </c>
      <c r="M77" s="2"/>
      <c r="N77" s="6">
        <f t="shared" si="17"/>
        <v>0.54789166012223933</v>
      </c>
      <c r="O77" s="11"/>
      <c r="P77" s="7">
        <v>14197.75</v>
      </c>
      <c r="Q77" s="2"/>
      <c r="R77" s="6">
        <f t="shared" si="18"/>
        <v>1.9856512562703026E-2</v>
      </c>
      <c r="S77" s="2"/>
      <c r="T77" s="7">
        <v>13991.506002692306</v>
      </c>
      <c r="U77" s="2"/>
      <c r="V77" s="6">
        <f t="shared" si="19"/>
        <v>1.0974349926185876E-2</v>
      </c>
      <c r="W77" s="2"/>
      <c r="X77" s="7">
        <f t="shared" si="20"/>
        <v>206.24399730769437</v>
      </c>
      <c r="Y77" s="2"/>
      <c r="Z77" s="6">
        <f t="shared" si="21"/>
        <v>1.4740657458032611E-2</v>
      </c>
    </row>
    <row r="78" spans="1:26" s="24" customFormat="1" hidden="1" outlineLevel="2" x14ac:dyDescent="0.25">
      <c r="A78" s="28"/>
      <c r="B78" s="11" t="str">
        <f>CONCATENATE("          ", "6112", " - ", "COMPENSATION INSURANCE")</f>
        <v xml:space="preserve">          6112 - COMPENSATION INSURANCE</v>
      </c>
      <c r="C78" s="11"/>
      <c r="D78" s="7">
        <v>716.01</v>
      </c>
      <c r="E78" s="2"/>
      <c r="F78" s="6">
        <f t="shared" si="14"/>
        <v>6.2040561830094751E-3</v>
      </c>
      <c r="G78" s="2"/>
      <c r="H78" s="7">
        <v>1368.8021923076949</v>
      </c>
      <c r="I78" s="2"/>
      <c r="J78" s="6">
        <f t="shared" si="15"/>
        <v>4.1768448891334308E-3</v>
      </c>
      <c r="K78" s="2"/>
      <c r="L78" s="7">
        <f t="shared" si="16"/>
        <v>-652.7921923076949</v>
      </c>
      <c r="M78" s="2"/>
      <c r="N78" s="6">
        <f t="shared" si="17"/>
        <v>-0.47690761746015153</v>
      </c>
      <c r="O78" s="11"/>
      <c r="P78" s="7">
        <v>5002.24</v>
      </c>
      <c r="Q78" s="2"/>
      <c r="R78" s="6">
        <f t="shared" si="18"/>
        <v>6.9959705870053764E-3</v>
      </c>
      <c r="S78" s="2"/>
      <c r="T78" s="7">
        <v>5049.9691923076944</v>
      </c>
      <c r="U78" s="2"/>
      <c r="V78" s="6">
        <f t="shared" si="19"/>
        <v>3.9609838299164302E-3</v>
      </c>
      <c r="W78" s="2"/>
      <c r="X78" s="7">
        <f t="shared" si="20"/>
        <v>-47.729192307694575</v>
      </c>
      <c r="Y78" s="2"/>
      <c r="Z78" s="6">
        <f t="shared" si="21"/>
        <v>-9.451382867918778E-3</v>
      </c>
    </row>
    <row r="79" spans="1:26" s="24" customFormat="1" hidden="1" outlineLevel="2" x14ac:dyDescent="0.25">
      <c r="A79" s="28"/>
      <c r="B79" s="11" t="str">
        <f>CONCATENATE("          ", "6113", " - ", "GROUP INSURANCE")</f>
        <v xml:space="preserve">          6113 - GROUP INSURANCE</v>
      </c>
      <c r="C79" s="11"/>
      <c r="D79" s="7">
        <v>5541.11</v>
      </c>
      <c r="E79" s="2"/>
      <c r="F79" s="6">
        <f t="shared" si="14"/>
        <v>4.8012398927718372E-2</v>
      </c>
      <c r="G79" s="2"/>
      <c r="H79" s="7">
        <v>6112.3076923076906</v>
      </c>
      <c r="I79" s="2"/>
      <c r="J79" s="6">
        <f t="shared" si="15"/>
        <v>1.8651461320634246E-2</v>
      </c>
      <c r="K79" s="2"/>
      <c r="L79" s="7">
        <f t="shared" si="16"/>
        <v>-571.19769230769089</v>
      </c>
      <c r="M79" s="2"/>
      <c r="N79" s="6">
        <f t="shared" si="17"/>
        <v>-9.3450415303297049E-2</v>
      </c>
      <c r="O79" s="11"/>
      <c r="P79" s="7">
        <v>22298.15</v>
      </c>
      <c r="Q79" s="2"/>
      <c r="R79" s="6">
        <f t="shared" si="18"/>
        <v>3.1185469218716805E-2</v>
      </c>
      <c r="S79" s="2"/>
      <c r="T79" s="7">
        <v>24142.307692307681</v>
      </c>
      <c r="U79" s="2"/>
      <c r="V79" s="6">
        <f t="shared" si="19"/>
        <v>1.8936212627150457E-2</v>
      </c>
      <c r="W79" s="2"/>
      <c r="X79" s="7">
        <f t="shared" si="20"/>
        <v>-1844.1576923076791</v>
      </c>
      <c r="Y79" s="2"/>
      <c r="Z79" s="6">
        <f t="shared" si="21"/>
        <v>-7.6386968296956639E-2</v>
      </c>
    </row>
    <row r="80" spans="1:26" s="24" customFormat="1" hidden="1" outlineLevel="2" x14ac:dyDescent="0.25">
      <c r="A80" s="28"/>
      <c r="B80" s="11" t="str">
        <f>CONCATENATE("          ", "6114", " - ", "STATE UNEMPLOYMENT INSURANCE")</f>
        <v xml:space="preserve">          6114 - STATE UNEMPLOYMENT INSURANCE</v>
      </c>
      <c r="C80" s="11"/>
      <c r="D80" s="7">
        <v>100.63</v>
      </c>
      <c r="E80" s="2"/>
      <c r="F80" s="6">
        <f t="shared" si="14"/>
        <v>8.719349921038022E-4</v>
      </c>
      <c r="G80" s="2"/>
      <c r="H80" s="7">
        <v>192.37219999999999</v>
      </c>
      <c r="I80" s="2"/>
      <c r="J80" s="6">
        <f t="shared" si="15"/>
        <v>5.8701603847280534E-4</v>
      </c>
      <c r="K80" s="2"/>
      <c r="L80" s="7">
        <f t="shared" si="16"/>
        <v>-91.742199999999997</v>
      </c>
      <c r="M80" s="2"/>
      <c r="N80" s="6">
        <f t="shared" si="17"/>
        <v>-0.4768994688421716</v>
      </c>
      <c r="O80" s="11"/>
      <c r="P80" s="7">
        <v>502.9</v>
      </c>
      <c r="Q80" s="2"/>
      <c r="R80" s="6">
        <f t="shared" si="18"/>
        <v>7.0333962548878185E-4</v>
      </c>
      <c r="S80" s="2"/>
      <c r="T80" s="7">
        <v>709.72540000000004</v>
      </c>
      <c r="U80" s="2"/>
      <c r="V80" s="6">
        <f t="shared" si="19"/>
        <v>5.5667880852879536E-4</v>
      </c>
      <c r="W80" s="2"/>
      <c r="X80" s="7">
        <f t="shared" si="20"/>
        <v>-206.82540000000006</v>
      </c>
      <c r="Y80" s="2"/>
      <c r="Z80" s="6">
        <f t="shared" si="21"/>
        <v>-0.29141608853226902</v>
      </c>
    </row>
    <row r="81" spans="1:26" s="24" customFormat="1" hidden="1" outlineLevel="2" x14ac:dyDescent="0.25">
      <c r="A81" s="28"/>
      <c r="B81" s="11" t="str">
        <f>CONCATENATE("          ", "6115", " - ", "P.E.R.S.")</f>
        <v xml:space="preserve">          6115 - P.E.R.S.</v>
      </c>
      <c r="C81" s="11"/>
      <c r="D81" s="7">
        <v>1272.4100000000001</v>
      </c>
      <c r="E81" s="2"/>
      <c r="F81" s="6">
        <f t="shared" si="14"/>
        <v>1.1025129715818335E-2</v>
      </c>
      <c r="G81" s="2"/>
      <c r="H81" s="7">
        <v>1678.4884615384569</v>
      </c>
      <c r="I81" s="2"/>
      <c r="J81" s="6">
        <f t="shared" si="15"/>
        <v>5.1218400959942177E-3</v>
      </c>
      <c r="K81" s="2"/>
      <c r="L81" s="7">
        <f t="shared" si="16"/>
        <v>-406.07846153845685</v>
      </c>
      <c r="M81" s="2"/>
      <c r="N81" s="6">
        <f t="shared" si="17"/>
        <v>-0.24193104143608848</v>
      </c>
      <c r="O81" s="11"/>
      <c r="P81" s="7">
        <v>7338.26</v>
      </c>
      <c r="Q81" s="2"/>
      <c r="R81" s="6">
        <f t="shared" si="18"/>
        <v>1.0263052376494946E-2</v>
      </c>
      <c r="S81" s="2"/>
      <c r="T81" s="7">
        <v>6042.5584615384578</v>
      </c>
      <c r="U81" s="2"/>
      <c r="V81" s="6">
        <f t="shared" si="19"/>
        <v>4.7395291824624272E-3</v>
      </c>
      <c r="W81" s="2"/>
      <c r="X81" s="7">
        <f t="shared" si="20"/>
        <v>1295.7015384615424</v>
      </c>
      <c r="Y81" s="2"/>
      <c r="Z81" s="6">
        <f t="shared" si="21"/>
        <v>0.21442929294086666</v>
      </c>
    </row>
    <row r="82" spans="1:26" s="24" customFormat="1" hidden="1" outlineLevel="2" x14ac:dyDescent="0.25">
      <c r="A82" s="28"/>
      <c r="B82" s="11" t="str">
        <f>CONCATENATE("          ", "6116", " - ", "EDUCATIONAL BENEFITS")</f>
        <v xml:space="preserve">          6116 - EDUCATIONAL BENEFITS</v>
      </c>
      <c r="C82" s="11"/>
      <c r="D82" s="7"/>
      <c r="E82" s="2"/>
      <c r="F82" s="6">
        <f t="shared" si="14"/>
        <v>0</v>
      </c>
      <c r="G82" s="2"/>
      <c r="H82" s="7">
        <v>0</v>
      </c>
      <c r="I82" s="2"/>
      <c r="J82" s="6">
        <f t="shared" si="15"/>
        <v>0</v>
      </c>
      <c r="K82" s="2"/>
      <c r="L82" s="7">
        <f t="shared" si="16"/>
        <v>0</v>
      </c>
      <c r="M82" s="2"/>
      <c r="N82" s="6">
        <f t="shared" si="17"/>
        <v>0</v>
      </c>
      <c r="O82" s="11"/>
      <c r="P82" s="7"/>
      <c r="Q82" s="2"/>
      <c r="R82" s="6">
        <f t="shared" si="18"/>
        <v>0</v>
      </c>
      <c r="S82" s="2"/>
      <c r="T82" s="7">
        <v>0</v>
      </c>
      <c r="U82" s="2"/>
      <c r="V82" s="6">
        <f t="shared" si="19"/>
        <v>0</v>
      </c>
      <c r="W82" s="2"/>
      <c r="X82" s="7">
        <f t="shared" si="20"/>
        <v>0</v>
      </c>
      <c r="Y82" s="2"/>
      <c r="Z82" s="6">
        <f t="shared" si="21"/>
        <v>0</v>
      </c>
    </row>
    <row r="83" spans="1:26" s="24" customFormat="1" hidden="1" outlineLevel="2" x14ac:dyDescent="0.25">
      <c r="A83" s="28"/>
      <c r="B83" s="11" t="str">
        <f>CONCATENATE("          ", "6118", " - ", "VACATION")</f>
        <v xml:space="preserve">          6118 - VACATION</v>
      </c>
      <c r="C83" s="11"/>
      <c r="D83" s="7">
        <v>1957.79</v>
      </c>
      <c r="E83" s="2"/>
      <c r="F83" s="6">
        <f t="shared" si="14"/>
        <v>1.6963784241189536E-2</v>
      </c>
      <c r="G83" s="2"/>
      <c r="H83" s="7">
        <v>1215.8653846153809</v>
      </c>
      <c r="I83" s="2"/>
      <c r="J83" s="6">
        <f t="shared" si="15"/>
        <v>3.7101643657094672E-3</v>
      </c>
      <c r="K83" s="2"/>
      <c r="L83" s="7">
        <f t="shared" si="16"/>
        <v>741.92461538461907</v>
      </c>
      <c r="M83" s="2"/>
      <c r="N83" s="6">
        <f t="shared" si="17"/>
        <v>0.61020292605773518</v>
      </c>
      <c r="O83" s="11"/>
      <c r="P83" s="7">
        <v>6818.16</v>
      </c>
      <c r="Q83" s="2"/>
      <c r="R83" s="6">
        <f t="shared" si="18"/>
        <v>9.5356573889890488E-3</v>
      </c>
      <c r="S83" s="2"/>
      <c r="T83" s="7">
        <v>4377.1153846153784</v>
      </c>
      <c r="U83" s="2"/>
      <c r="V83" s="6">
        <f t="shared" si="19"/>
        <v>3.4332255504745195E-3</v>
      </c>
      <c r="W83" s="2"/>
      <c r="X83" s="7">
        <f t="shared" si="20"/>
        <v>2441.0446153846215</v>
      </c>
      <c r="Y83" s="2"/>
      <c r="Z83" s="6">
        <f t="shared" si="21"/>
        <v>0.55768340582575682</v>
      </c>
    </row>
    <row r="84" spans="1:26" s="24" customFormat="1" hidden="1" outlineLevel="2" x14ac:dyDescent="0.25">
      <c r="A84" s="28"/>
      <c r="B84" s="11" t="str">
        <f>CONCATENATE("          ", "6119", " - ", "SICK LEAVE")</f>
        <v xml:space="preserve">          6119 - SICK LEAVE</v>
      </c>
      <c r="C84" s="11"/>
      <c r="D84" s="7">
        <v>1691.91</v>
      </c>
      <c r="E84" s="2"/>
      <c r="F84" s="6">
        <f t="shared" si="14"/>
        <v>1.465999734165104E-2</v>
      </c>
      <c r="G84" s="2"/>
      <c r="H84" s="7">
        <v>1811.5853846153809</v>
      </c>
      <c r="I84" s="2"/>
      <c r="J84" s="6">
        <f t="shared" si="15"/>
        <v>5.5279800087130798E-3</v>
      </c>
      <c r="K84" s="2"/>
      <c r="L84" s="7">
        <f t="shared" si="16"/>
        <v>-119.67538461538084</v>
      </c>
      <c r="M84" s="2"/>
      <c r="N84" s="6">
        <f t="shared" si="17"/>
        <v>-6.6061133872963543E-2</v>
      </c>
      <c r="O84" s="11"/>
      <c r="P84" s="7">
        <v>5236.1400000000003</v>
      </c>
      <c r="Q84" s="2"/>
      <c r="R84" s="6">
        <f t="shared" si="18"/>
        <v>7.3230955390869565E-3</v>
      </c>
      <c r="S84" s="2"/>
      <c r="T84" s="7">
        <v>6587.8053846153725</v>
      </c>
      <c r="U84" s="2"/>
      <c r="V84" s="6">
        <f t="shared" si="19"/>
        <v>5.1671979787214434E-3</v>
      </c>
      <c r="W84" s="2"/>
      <c r="X84" s="7">
        <f t="shared" si="20"/>
        <v>-1351.6653846153722</v>
      </c>
      <c r="Y84" s="2"/>
      <c r="Z84" s="6">
        <f t="shared" si="21"/>
        <v>-0.20517688451634319</v>
      </c>
    </row>
    <row r="85" spans="1:26" s="24" customFormat="1" hidden="1" outlineLevel="2" x14ac:dyDescent="0.25">
      <c r="A85" s="28"/>
      <c r="B85" s="11" t="str">
        <f>CONCATENATE("          ", "6156", " - ", "EMPLOYEE MEALS")</f>
        <v xml:space="preserve">          6156 - EMPLOYEE MEALS</v>
      </c>
      <c r="C85" s="11"/>
      <c r="D85" s="7">
        <v>582.69000000000005</v>
      </c>
      <c r="E85" s="2"/>
      <c r="F85" s="6">
        <f t="shared" si="14"/>
        <v>5.0488701237102716E-3</v>
      </c>
      <c r="G85" s="2"/>
      <c r="H85" s="7">
        <v>875</v>
      </c>
      <c r="I85" s="2"/>
      <c r="J85" s="6">
        <f t="shared" si="15"/>
        <v>2.6700273410799726E-3</v>
      </c>
      <c r="K85" s="2"/>
      <c r="L85" s="7">
        <f t="shared" si="16"/>
        <v>-292.30999999999995</v>
      </c>
      <c r="M85" s="2"/>
      <c r="N85" s="6">
        <f t="shared" si="17"/>
        <v>-0.33406857142857138</v>
      </c>
      <c r="O85" s="11"/>
      <c r="P85" s="7">
        <v>2047.44</v>
      </c>
      <c r="Q85" s="2"/>
      <c r="R85" s="6">
        <f t="shared" si="18"/>
        <v>2.8634831632745107E-3</v>
      </c>
      <c r="S85" s="2"/>
      <c r="T85" s="7">
        <v>3500</v>
      </c>
      <c r="U85" s="2"/>
      <c r="V85" s="6">
        <f t="shared" si="19"/>
        <v>2.745253065271137E-3</v>
      </c>
      <c r="W85" s="2"/>
      <c r="X85" s="7">
        <f t="shared" si="20"/>
        <v>-1452.56</v>
      </c>
      <c r="Y85" s="2"/>
      <c r="Z85" s="6">
        <f t="shared" si="21"/>
        <v>-0.41501714285714286</v>
      </c>
    </row>
    <row r="86" spans="1:26" s="27" customFormat="1" outlineLevel="1" collapsed="1" x14ac:dyDescent="0.25">
      <c r="A86" s="29"/>
      <c r="B86" s="14" t="str">
        <f>CONCATENATE("     ","*Payroll                                          ")</f>
        <v xml:space="preserve">     *Payroll                                          </v>
      </c>
      <c r="C86" s="14"/>
      <c r="D86" s="1">
        <f>SUM(OSRRefD22_1x_0)</f>
        <v>40179.089999999997</v>
      </c>
      <c r="E86" s="1"/>
      <c r="F86" s="5">
        <f t="shared" ref="F86:F96" si="22">IF(D$12=0,0,D86/D$12)</f>
        <v>0.3481422490498654</v>
      </c>
      <c r="G86" s="1"/>
      <c r="H86" s="1">
        <f>SUM(OSRRefH22_1x_0)</f>
        <v>71433.826923076951</v>
      </c>
      <c r="I86" s="1"/>
      <c r="J86" s="5">
        <f t="shared" ref="J86:J96" si="23">IF(H$12=0,0,H86/H$12)</f>
        <v>0.21797745252867443</v>
      </c>
      <c r="K86" s="1"/>
      <c r="L86" s="1">
        <f t="shared" ref="L86:L96" si="24">+D86-H86</f>
        <v>-31254.736923076955</v>
      </c>
      <c r="M86" s="1"/>
      <c r="N86" s="5">
        <f t="shared" ref="N86:N96" si="25">IF(H86=0,0,L86/H86)</f>
        <v>-0.43753412450845469</v>
      </c>
      <c r="O86" s="14"/>
      <c r="P86" s="1">
        <f>SUM(OSRRefP22_1x_0)</f>
        <v>151827.35</v>
      </c>
      <c r="Q86" s="1"/>
      <c r="R86" s="5">
        <f t="shared" ref="R86:R96" si="26">IF(P$12=0,0,P86/P$12)</f>
        <v>0.21234080629937205</v>
      </c>
      <c r="S86" s="1"/>
      <c r="T86" s="1">
        <f>SUM(OSRRefT22_1x_0)</f>
        <v>263771.57692307694</v>
      </c>
      <c r="U86" s="1"/>
      <c r="V86" s="5">
        <f t="shared" ref="V86:V96" si="27">IF(T$12=0,0,T86/T$12)</f>
        <v>0.20689135145127954</v>
      </c>
      <c r="W86" s="1"/>
      <c r="X86" s="1">
        <f t="shared" ref="X86:X96" si="28">+P86-T86</f>
        <v>-111944.22692307693</v>
      </c>
      <c r="Y86" s="1"/>
      <c r="Z86" s="5">
        <f t="shared" ref="Z86:Z96" si="29">IF(T86=0,0,X86/T86)</f>
        <v>-0.4243983685767741</v>
      </c>
    </row>
    <row r="87" spans="1:26" s="24" customFormat="1" hidden="1" outlineLevel="2" x14ac:dyDescent="0.25">
      <c r="A87" s="28"/>
      <c r="B87" s="11" t="str">
        <f>CONCATENATE("          ", "6001", " - ", "ADMINISTRATIVE SALARIES")</f>
        <v xml:space="preserve">          6001 - ADMINISTRATIVE SALARIES</v>
      </c>
      <c r="C87" s="11"/>
      <c r="D87" s="7"/>
      <c r="E87" s="2"/>
      <c r="F87" s="6">
        <f t="shared" si="22"/>
        <v>0</v>
      </c>
      <c r="G87" s="2"/>
      <c r="H87" s="7">
        <v>0</v>
      </c>
      <c r="I87" s="2"/>
      <c r="J87" s="6">
        <f t="shared" si="23"/>
        <v>0</v>
      </c>
      <c r="K87" s="2"/>
      <c r="L87" s="7">
        <f t="shared" si="24"/>
        <v>0</v>
      </c>
      <c r="M87" s="2"/>
      <c r="N87" s="6">
        <f t="shared" si="25"/>
        <v>0</v>
      </c>
      <c r="O87" s="11"/>
      <c r="P87" s="7"/>
      <c r="Q87" s="2"/>
      <c r="R87" s="6">
        <f t="shared" si="26"/>
        <v>0</v>
      </c>
      <c r="S87" s="2"/>
      <c r="T87" s="7">
        <v>0</v>
      </c>
      <c r="U87" s="2"/>
      <c r="V87" s="6">
        <f t="shared" si="27"/>
        <v>0</v>
      </c>
      <c r="W87" s="2"/>
      <c r="X87" s="7">
        <f t="shared" si="28"/>
        <v>0</v>
      </c>
      <c r="Y87" s="2"/>
      <c r="Z87" s="6">
        <f t="shared" si="29"/>
        <v>0</v>
      </c>
    </row>
    <row r="88" spans="1:26" s="24" customFormat="1" hidden="1" outlineLevel="2" x14ac:dyDescent="0.25">
      <c r="A88" s="28"/>
      <c r="B88" s="11" t="str">
        <f>CONCATENATE("          ", "6002", " - ", "STAFF SALARIES")</f>
        <v xml:space="preserve">          6002 - STAFF SALARIES</v>
      </c>
      <c r="C88" s="11"/>
      <c r="D88" s="7">
        <v>14599.4</v>
      </c>
      <c r="E88" s="2"/>
      <c r="F88" s="6">
        <f t="shared" si="22"/>
        <v>0.12650032518851487</v>
      </c>
      <c r="G88" s="2"/>
      <c r="H88" s="7">
        <v>17565.576923076947</v>
      </c>
      <c r="I88" s="2"/>
      <c r="J88" s="6">
        <f t="shared" si="23"/>
        <v>5.3600652167381566E-2</v>
      </c>
      <c r="K88" s="2"/>
      <c r="L88" s="7">
        <f t="shared" si="24"/>
        <v>-2966.1769230769478</v>
      </c>
      <c r="M88" s="2"/>
      <c r="N88" s="6">
        <f t="shared" si="25"/>
        <v>-0.16886305164165169</v>
      </c>
      <c r="O88" s="11"/>
      <c r="P88" s="7">
        <v>70287.22</v>
      </c>
      <c r="Q88" s="2"/>
      <c r="R88" s="6">
        <f t="shared" si="26"/>
        <v>9.8301425713755455E-2</v>
      </c>
      <c r="S88" s="2"/>
      <c r="T88" s="7">
        <v>63236.076923076937</v>
      </c>
      <c r="U88" s="2"/>
      <c r="V88" s="6">
        <f t="shared" si="27"/>
        <v>4.959972400251382E-2</v>
      </c>
      <c r="W88" s="2"/>
      <c r="X88" s="7">
        <f t="shared" si="28"/>
        <v>7051.1430769230647</v>
      </c>
      <c r="Y88" s="2"/>
      <c r="Z88" s="6">
        <f t="shared" si="29"/>
        <v>0.11150506830935095</v>
      </c>
    </row>
    <row r="89" spans="1:26" s="24" customFormat="1" hidden="1" outlineLevel="2" x14ac:dyDescent="0.25">
      <c r="A89" s="28"/>
      <c r="B89" s="11" t="str">
        <f>CONCATENATE("          ", "6003", " - ", "STAFF HOURLY-9 MONTH")</f>
        <v xml:space="preserve">          6003 - STAFF HOURLY-9 MONTH</v>
      </c>
      <c r="C89" s="11"/>
      <c r="D89" s="7"/>
      <c r="E89" s="2"/>
      <c r="F89" s="6">
        <f t="shared" si="22"/>
        <v>0</v>
      </c>
      <c r="G89" s="2"/>
      <c r="H89" s="7">
        <v>0</v>
      </c>
      <c r="I89" s="2"/>
      <c r="J89" s="6">
        <f t="shared" si="23"/>
        <v>0</v>
      </c>
      <c r="K89" s="2"/>
      <c r="L89" s="7">
        <f t="shared" si="24"/>
        <v>0</v>
      </c>
      <c r="M89" s="2"/>
      <c r="N89" s="6">
        <f t="shared" si="25"/>
        <v>0</v>
      </c>
      <c r="O89" s="11"/>
      <c r="P89" s="7"/>
      <c r="Q89" s="2"/>
      <c r="R89" s="6">
        <f t="shared" si="26"/>
        <v>0</v>
      </c>
      <c r="S89" s="2"/>
      <c r="T89" s="7">
        <v>0</v>
      </c>
      <c r="U89" s="2"/>
      <c r="V89" s="6">
        <f t="shared" si="27"/>
        <v>0</v>
      </c>
      <c r="W89" s="2"/>
      <c r="X89" s="7">
        <f t="shared" si="28"/>
        <v>0</v>
      </c>
      <c r="Y89" s="2"/>
      <c r="Z89" s="6">
        <f t="shared" si="29"/>
        <v>0</v>
      </c>
    </row>
    <row r="90" spans="1:26" s="24" customFormat="1" hidden="1" outlineLevel="2" x14ac:dyDescent="0.25">
      <c r="A90" s="28"/>
      <c r="B90" s="11" t="str">
        <f>CONCATENATE("          ", "6004", " - ", "STAFF HOURLY")</f>
        <v xml:space="preserve">          6004 - STAFF HOURLY</v>
      </c>
      <c r="C90" s="11"/>
      <c r="D90" s="7">
        <v>9364.9599999999991</v>
      </c>
      <c r="E90" s="2"/>
      <c r="F90" s="6">
        <f t="shared" si="22"/>
        <v>8.1145148799089961E-2</v>
      </c>
      <c r="G90" s="2"/>
      <c r="H90" s="7">
        <v>8321.25</v>
      </c>
      <c r="I90" s="2"/>
      <c r="J90" s="6">
        <f t="shared" si="23"/>
        <v>2.5391960013670539E-2</v>
      </c>
      <c r="K90" s="2"/>
      <c r="L90" s="7">
        <f t="shared" si="24"/>
        <v>1043.7099999999991</v>
      </c>
      <c r="M90" s="2"/>
      <c r="N90" s="6">
        <f t="shared" si="25"/>
        <v>0.125427069250413</v>
      </c>
      <c r="O90" s="11"/>
      <c r="P90" s="7">
        <v>32799.449999999997</v>
      </c>
      <c r="Q90" s="2"/>
      <c r="R90" s="6">
        <f t="shared" si="26"/>
        <v>4.5872246727456795E-2</v>
      </c>
      <c r="S90" s="2"/>
      <c r="T90" s="7">
        <v>29956.499999999996</v>
      </c>
      <c r="U90" s="2"/>
      <c r="V90" s="6">
        <f t="shared" si="27"/>
        <v>2.3496620985655657E-2</v>
      </c>
      <c r="W90" s="2"/>
      <c r="X90" s="7">
        <f t="shared" si="28"/>
        <v>2842.9500000000007</v>
      </c>
      <c r="Y90" s="2"/>
      <c r="Z90" s="6">
        <f t="shared" si="29"/>
        <v>9.4902608782735001E-2</v>
      </c>
    </row>
    <row r="91" spans="1:26" s="24" customFormat="1" hidden="1" outlineLevel="2" x14ac:dyDescent="0.25">
      <c r="A91" s="28"/>
      <c r="B91" s="11" t="str">
        <f>CONCATENATE("          ", "6005", " - ", "TEMPORARY WAGES-HOURLY")</f>
        <v xml:space="preserve">          6005 - TEMPORARY WAGES-HOURLY</v>
      </c>
      <c r="C91" s="11"/>
      <c r="D91" s="7">
        <v>7661.13</v>
      </c>
      <c r="E91" s="2"/>
      <c r="F91" s="6">
        <f t="shared" si="22"/>
        <v>6.6381867495341376E-2</v>
      </c>
      <c r="G91" s="2"/>
      <c r="H91" s="7">
        <v>0</v>
      </c>
      <c r="I91" s="2"/>
      <c r="J91" s="6">
        <f t="shared" si="23"/>
        <v>0</v>
      </c>
      <c r="K91" s="2"/>
      <c r="L91" s="7">
        <f t="shared" si="24"/>
        <v>7661.13</v>
      </c>
      <c r="M91" s="2"/>
      <c r="N91" s="6">
        <f t="shared" si="25"/>
        <v>0</v>
      </c>
      <c r="O91" s="11"/>
      <c r="P91" s="7">
        <v>20700.080000000002</v>
      </c>
      <c r="Q91" s="2"/>
      <c r="R91" s="6">
        <f t="shared" si="26"/>
        <v>2.8950460359490605E-2</v>
      </c>
      <c r="S91" s="2"/>
      <c r="T91" s="7">
        <v>0</v>
      </c>
      <c r="U91" s="2"/>
      <c r="V91" s="6">
        <f t="shared" si="27"/>
        <v>0</v>
      </c>
      <c r="W91" s="2"/>
      <c r="X91" s="7">
        <f t="shared" si="28"/>
        <v>20700.080000000002</v>
      </c>
      <c r="Y91" s="2"/>
      <c r="Z91" s="6">
        <f t="shared" si="29"/>
        <v>0</v>
      </c>
    </row>
    <row r="92" spans="1:26" s="24" customFormat="1" hidden="1" outlineLevel="2" x14ac:dyDescent="0.25">
      <c r="A92" s="28"/>
      <c r="B92" s="11" t="str">
        <f>CONCATENATE("          ", "6006", " - ", "TEMPORARY PART TIME")</f>
        <v xml:space="preserve">          6006 - TEMPORARY PART TIME</v>
      </c>
      <c r="C92" s="11"/>
      <c r="D92" s="7"/>
      <c r="E92" s="2"/>
      <c r="F92" s="6">
        <f t="shared" si="22"/>
        <v>0</v>
      </c>
      <c r="G92" s="2"/>
      <c r="H92" s="7">
        <v>0</v>
      </c>
      <c r="I92" s="2"/>
      <c r="J92" s="6">
        <f t="shared" si="23"/>
        <v>0</v>
      </c>
      <c r="K92" s="2"/>
      <c r="L92" s="7">
        <f t="shared" si="24"/>
        <v>0</v>
      </c>
      <c r="M92" s="2"/>
      <c r="N92" s="6">
        <f t="shared" si="25"/>
        <v>0</v>
      </c>
      <c r="O92" s="11"/>
      <c r="P92" s="7"/>
      <c r="Q92" s="2"/>
      <c r="R92" s="6">
        <f t="shared" si="26"/>
        <v>0</v>
      </c>
      <c r="S92" s="2"/>
      <c r="T92" s="7">
        <v>0</v>
      </c>
      <c r="U92" s="2"/>
      <c r="V92" s="6">
        <f t="shared" si="27"/>
        <v>0</v>
      </c>
      <c r="W92" s="2"/>
      <c r="X92" s="7">
        <f t="shared" si="28"/>
        <v>0</v>
      </c>
      <c r="Y92" s="2"/>
      <c r="Z92" s="6">
        <f t="shared" si="29"/>
        <v>0</v>
      </c>
    </row>
    <row r="93" spans="1:26" s="24" customFormat="1" hidden="1" outlineLevel="2" x14ac:dyDescent="0.25">
      <c r="A93" s="28"/>
      <c r="B93" s="11" t="str">
        <f>CONCATENATE("          ", "6007", " - ", "STUDENT HOURLY")</f>
        <v xml:space="preserve">          6007 - STUDENT HOURLY</v>
      </c>
      <c r="C93" s="11"/>
      <c r="D93" s="7">
        <v>7077.58</v>
      </c>
      <c r="E93" s="2"/>
      <c r="F93" s="6">
        <f t="shared" si="22"/>
        <v>6.1325545676379101E-2</v>
      </c>
      <c r="G93" s="2"/>
      <c r="H93" s="7">
        <v>0</v>
      </c>
      <c r="I93" s="2"/>
      <c r="J93" s="6">
        <f t="shared" si="23"/>
        <v>0</v>
      </c>
      <c r="K93" s="2"/>
      <c r="L93" s="7">
        <f t="shared" si="24"/>
        <v>7077.58</v>
      </c>
      <c r="M93" s="2"/>
      <c r="N93" s="6">
        <f t="shared" si="25"/>
        <v>0</v>
      </c>
      <c r="O93" s="11"/>
      <c r="P93" s="7">
        <v>25075.88</v>
      </c>
      <c r="Q93" s="2"/>
      <c r="R93" s="6">
        <f t="shared" si="26"/>
        <v>3.5070312284751708E-2</v>
      </c>
      <c r="S93" s="2"/>
      <c r="T93" s="7">
        <v>80431.5</v>
      </c>
      <c r="U93" s="2"/>
      <c r="V93" s="6">
        <f t="shared" si="27"/>
        <v>6.3087091976958692E-2</v>
      </c>
      <c r="W93" s="2"/>
      <c r="X93" s="7">
        <f t="shared" si="28"/>
        <v>-55355.619999999995</v>
      </c>
      <c r="Y93" s="2"/>
      <c r="Z93" s="6">
        <f t="shared" si="29"/>
        <v>-0.68823309275594757</v>
      </c>
    </row>
    <row r="94" spans="1:26" s="24" customFormat="1" hidden="1" outlineLevel="2" x14ac:dyDescent="0.25">
      <c r="A94" s="28"/>
      <c r="B94" s="11" t="str">
        <f>CONCATENATE("          ", "6008", " - ", "STUDENT HOURLY-FICA EXEMPT")</f>
        <v xml:space="preserve">          6008 - STUDENT HOURLY-FICA EXEMPT</v>
      </c>
      <c r="C94" s="11"/>
      <c r="D94" s="7">
        <v>1476.02</v>
      </c>
      <c r="E94" s="2"/>
      <c r="F94" s="6">
        <f t="shared" si="22"/>
        <v>1.2789361890540139E-2</v>
      </c>
      <c r="G94" s="2"/>
      <c r="H94" s="7">
        <v>45547</v>
      </c>
      <c r="I94" s="2"/>
      <c r="J94" s="6">
        <f t="shared" si="23"/>
        <v>0.13898484034762229</v>
      </c>
      <c r="K94" s="2"/>
      <c r="L94" s="7">
        <f t="shared" si="24"/>
        <v>-44070.98</v>
      </c>
      <c r="M94" s="2"/>
      <c r="N94" s="6">
        <f t="shared" si="25"/>
        <v>-0.96759347487211023</v>
      </c>
      <c r="O94" s="11"/>
      <c r="P94" s="7">
        <v>2964.72</v>
      </c>
      <c r="Q94" s="2"/>
      <c r="R94" s="6">
        <f t="shared" si="26"/>
        <v>4.1463612139174813E-3</v>
      </c>
      <c r="S94" s="2"/>
      <c r="T94" s="7">
        <v>90147.5</v>
      </c>
      <c r="U94" s="2"/>
      <c r="V94" s="6">
        <f t="shared" si="27"/>
        <v>7.070791448615138E-2</v>
      </c>
      <c r="W94" s="2"/>
      <c r="X94" s="7">
        <f t="shared" si="28"/>
        <v>-87182.78</v>
      </c>
      <c r="Y94" s="2"/>
      <c r="Z94" s="6">
        <f t="shared" si="29"/>
        <v>-0.96711256551762392</v>
      </c>
    </row>
    <row r="95" spans="1:26" s="24" customFormat="1" hidden="1" outlineLevel="2" x14ac:dyDescent="0.25">
      <c r="A95" s="28"/>
      <c r="B95" s="11" t="str">
        <f>CONCATENATE("          ", "6009", " - ", "TEMPORARY-SEASONAL")</f>
        <v xml:space="preserve">          6009 - TEMPORARY-SEASONAL</v>
      </c>
      <c r="C95" s="11"/>
      <c r="D95" s="7"/>
      <c r="E95" s="2"/>
      <c r="F95" s="6">
        <f t="shared" si="22"/>
        <v>0</v>
      </c>
      <c r="G95" s="2"/>
      <c r="H95" s="7">
        <v>0</v>
      </c>
      <c r="I95" s="2"/>
      <c r="J95" s="6">
        <f t="shared" si="23"/>
        <v>0</v>
      </c>
      <c r="K95" s="2"/>
      <c r="L95" s="7">
        <f t="shared" si="24"/>
        <v>0</v>
      </c>
      <c r="M95" s="2"/>
      <c r="N95" s="6">
        <f t="shared" si="25"/>
        <v>0</v>
      </c>
      <c r="O95" s="11"/>
      <c r="P95" s="7"/>
      <c r="Q95" s="2"/>
      <c r="R95" s="6">
        <f t="shared" si="26"/>
        <v>0</v>
      </c>
      <c r="S95" s="2"/>
      <c r="T95" s="7">
        <v>0</v>
      </c>
      <c r="U95" s="2"/>
      <c r="V95" s="6">
        <f t="shared" si="27"/>
        <v>0</v>
      </c>
      <c r="W95" s="2"/>
      <c r="X95" s="7">
        <f t="shared" si="28"/>
        <v>0</v>
      </c>
      <c r="Y95" s="2"/>
      <c r="Z95" s="6">
        <f t="shared" si="29"/>
        <v>0</v>
      </c>
    </row>
    <row r="96" spans="1:26" s="24" customFormat="1" hidden="1" outlineLevel="2" x14ac:dyDescent="0.25">
      <c r="A96" s="28"/>
      <c r="B96" s="11" t="str">
        <f>CONCATENATE("          ", "6010", " - ", "GRATUITY")</f>
        <v xml:space="preserve">          6010 - GRATUITY</v>
      </c>
      <c r="C96" s="11"/>
      <c r="D96" s="7"/>
      <c r="E96" s="2"/>
      <c r="F96" s="6">
        <f t="shared" si="22"/>
        <v>0</v>
      </c>
      <c r="G96" s="2"/>
      <c r="H96" s="7">
        <v>0</v>
      </c>
      <c r="I96" s="2"/>
      <c r="J96" s="6">
        <f t="shared" si="23"/>
        <v>0</v>
      </c>
      <c r="K96" s="2"/>
      <c r="L96" s="7">
        <f t="shared" si="24"/>
        <v>0</v>
      </c>
      <c r="M96" s="2"/>
      <c r="N96" s="6">
        <f t="shared" si="25"/>
        <v>0</v>
      </c>
      <c r="O96" s="11"/>
      <c r="P96" s="7"/>
      <c r="Q96" s="2"/>
      <c r="R96" s="6">
        <f t="shared" si="26"/>
        <v>0</v>
      </c>
      <c r="S96" s="2"/>
      <c r="T96" s="7">
        <v>0</v>
      </c>
      <c r="U96" s="2"/>
      <c r="V96" s="6">
        <f t="shared" si="27"/>
        <v>0</v>
      </c>
      <c r="W96" s="2"/>
      <c r="X96" s="7">
        <f t="shared" si="28"/>
        <v>0</v>
      </c>
      <c r="Y96" s="2"/>
      <c r="Z96" s="6">
        <f t="shared" si="29"/>
        <v>0</v>
      </c>
    </row>
    <row r="97" spans="1:26" s="27" customFormat="1" outlineLevel="1" collapsed="1" x14ac:dyDescent="0.25">
      <c r="A97" s="29"/>
      <c r="B97" s="14" t="str">
        <f>CONCATENATE("     ","Advertising/Promo                                 ")</f>
        <v xml:space="preserve">     Advertising/Promo                                 </v>
      </c>
      <c r="C97" s="14"/>
      <c r="D97" s="1">
        <f>SUM(OSRRefD22_2x_0)</f>
        <v>1191.44</v>
      </c>
      <c r="E97" s="1"/>
      <c r="F97" s="5">
        <f t="shared" ref="F97:F111" si="30">IF(D$12=0,0,D97/D$12)</f>
        <v>1.0323543943080138E-2</v>
      </c>
      <c r="G97" s="1"/>
      <c r="H97" s="1">
        <f>SUM(OSRRefH22_2x_0)</f>
        <v>1130</v>
      </c>
      <c r="I97" s="1"/>
      <c r="J97" s="5">
        <f t="shared" ref="J97:J111" si="31">IF(H$12=0,0,H97/H$12)</f>
        <v>3.4481495947661363E-3</v>
      </c>
      <c r="K97" s="1"/>
      <c r="L97" s="1">
        <f t="shared" ref="L97:L111" si="32">+D97-H97</f>
        <v>61.440000000000055</v>
      </c>
      <c r="M97" s="1"/>
      <c r="N97" s="5">
        <f t="shared" ref="N97:N111" si="33">IF(H97=0,0,L97/H97)</f>
        <v>5.4371681415929254E-2</v>
      </c>
      <c r="O97" s="14"/>
      <c r="P97" s="1">
        <f>SUM(OSRRefP22_2x_0)</f>
        <v>12225.15</v>
      </c>
      <c r="Q97" s="1"/>
      <c r="R97" s="5">
        <f t="shared" ref="R97:R111" si="34">IF(P$12=0,0,P97/P$12)</f>
        <v>1.7097698195554147E-2</v>
      </c>
      <c r="S97" s="1"/>
      <c r="T97" s="1">
        <f>SUM(OSRRefT22_2x_0)</f>
        <v>3020</v>
      </c>
      <c r="U97" s="1"/>
      <c r="V97" s="5">
        <f t="shared" ref="V97:V111" si="35">IF(T$12=0,0,T97/T$12)</f>
        <v>2.3687612163196667E-3</v>
      </c>
      <c r="W97" s="1"/>
      <c r="X97" s="1">
        <f t="shared" ref="X97:X111" si="36">+P97-T97</f>
        <v>9205.15</v>
      </c>
      <c r="Y97" s="1"/>
      <c r="Z97" s="5">
        <f t="shared" ref="Z97:Z111" si="37">IF(T97=0,0,X97/T97)</f>
        <v>3.0480629139072848</v>
      </c>
    </row>
    <row r="98" spans="1:26" s="24" customFormat="1" hidden="1" outlineLevel="2" x14ac:dyDescent="0.25">
      <c r="A98" s="28"/>
      <c r="B98" s="11" t="str">
        <f>CONCATENATE("          ", "6362", " - ", "ADVERTISING EXPENSE")</f>
        <v xml:space="preserve">          6362 - ADVERTISING EXPENSE</v>
      </c>
      <c r="C98" s="11"/>
      <c r="D98" s="7">
        <v>1191.44</v>
      </c>
      <c r="E98" s="2"/>
      <c r="F98" s="6">
        <f t="shared" si="30"/>
        <v>1.0323543943080138E-2</v>
      </c>
      <c r="G98" s="2"/>
      <c r="H98" s="7">
        <v>1130</v>
      </c>
      <c r="I98" s="2"/>
      <c r="J98" s="6">
        <f t="shared" si="31"/>
        <v>3.4481495947661363E-3</v>
      </c>
      <c r="K98" s="2"/>
      <c r="L98" s="7">
        <f t="shared" si="32"/>
        <v>61.440000000000055</v>
      </c>
      <c r="M98" s="2"/>
      <c r="N98" s="6">
        <f t="shared" si="33"/>
        <v>5.4371681415929254E-2</v>
      </c>
      <c r="O98" s="11"/>
      <c r="P98" s="7">
        <v>12225.15</v>
      </c>
      <c r="Q98" s="2"/>
      <c r="R98" s="6">
        <f t="shared" si="34"/>
        <v>1.7097698195554147E-2</v>
      </c>
      <c r="S98" s="2"/>
      <c r="T98" s="7">
        <v>3020</v>
      </c>
      <c r="U98" s="2"/>
      <c r="V98" s="6">
        <f t="shared" si="35"/>
        <v>2.3687612163196667E-3</v>
      </c>
      <c r="W98" s="2"/>
      <c r="X98" s="7">
        <f t="shared" si="36"/>
        <v>9205.15</v>
      </c>
      <c r="Y98" s="2"/>
      <c r="Z98" s="6">
        <f t="shared" si="37"/>
        <v>3.0480629139072848</v>
      </c>
    </row>
    <row r="99" spans="1:26" s="27" customFormat="1" outlineLevel="1" collapsed="1" x14ac:dyDescent="0.25">
      <c r="A99" s="29"/>
      <c r="B99" s="14" t="str">
        <f>CONCATENATE("     ","Bad Debts/Over/Short                              ")</f>
        <v xml:space="preserve">     Bad Debts/Over/Short                              </v>
      </c>
      <c r="C99" s="14"/>
      <c r="D99" s="1">
        <f>SUM(OSRRefD22_3x_0)</f>
        <v>-1.23</v>
      </c>
      <c r="E99" s="1"/>
      <c r="F99" s="5">
        <f t="shared" si="30"/>
        <v>-1.0657657162751433E-5</v>
      </c>
      <c r="G99" s="1"/>
      <c r="H99" s="1">
        <f>SUM(OSRRefH22_3x_0)</f>
        <v>10</v>
      </c>
      <c r="I99" s="1"/>
      <c r="J99" s="5">
        <f t="shared" si="31"/>
        <v>3.0514598183771115E-5</v>
      </c>
      <c r="K99" s="1"/>
      <c r="L99" s="1">
        <f t="shared" si="32"/>
        <v>-11.23</v>
      </c>
      <c r="M99" s="1"/>
      <c r="N99" s="5">
        <f t="shared" si="33"/>
        <v>-1.123</v>
      </c>
      <c r="O99" s="14"/>
      <c r="P99" s="1">
        <f>SUM(OSRRefP22_3x_0)</f>
        <v>-0.53</v>
      </c>
      <c r="Q99" s="1"/>
      <c r="R99" s="5">
        <f t="shared" si="34"/>
        <v>-7.4124080634132908E-7</v>
      </c>
      <c r="S99" s="1"/>
      <c r="T99" s="1">
        <f>SUM(OSRRefT22_3x_0)</f>
        <v>40</v>
      </c>
      <c r="U99" s="1"/>
      <c r="V99" s="5">
        <f t="shared" si="35"/>
        <v>3.1374320745955852E-5</v>
      </c>
      <c r="W99" s="1"/>
      <c r="X99" s="1">
        <f t="shared" si="36"/>
        <v>-40.53</v>
      </c>
      <c r="Y99" s="1"/>
      <c r="Z99" s="5">
        <f t="shared" si="37"/>
        <v>-1.01325</v>
      </c>
    </row>
    <row r="100" spans="1:26" s="24" customFormat="1" hidden="1" outlineLevel="2" x14ac:dyDescent="0.25">
      <c r="A100" s="28"/>
      <c r="B100" s="11" t="str">
        <f>CONCATENATE("          ", "6272", " - ", "CASH (OVER/SHORT)")</f>
        <v xml:space="preserve">          6272 - CASH (OVER/SHORT)</v>
      </c>
      <c r="C100" s="11"/>
      <c r="D100" s="7">
        <v>-1.23</v>
      </c>
      <c r="E100" s="2"/>
      <c r="F100" s="6">
        <f t="shared" si="30"/>
        <v>-1.0657657162751433E-5</v>
      </c>
      <c r="G100" s="2"/>
      <c r="H100" s="7">
        <v>10</v>
      </c>
      <c r="I100" s="2"/>
      <c r="J100" s="6">
        <f t="shared" si="31"/>
        <v>3.0514598183771115E-5</v>
      </c>
      <c r="K100" s="2"/>
      <c r="L100" s="7">
        <f t="shared" si="32"/>
        <v>-11.23</v>
      </c>
      <c r="M100" s="2"/>
      <c r="N100" s="6">
        <f t="shared" si="33"/>
        <v>-1.123</v>
      </c>
      <c r="O100" s="11"/>
      <c r="P100" s="7">
        <v>-0.53</v>
      </c>
      <c r="Q100" s="2"/>
      <c r="R100" s="6">
        <f t="shared" si="34"/>
        <v>-7.4124080634132908E-7</v>
      </c>
      <c r="S100" s="2"/>
      <c r="T100" s="7">
        <v>40</v>
      </c>
      <c r="U100" s="2"/>
      <c r="V100" s="6">
        <f t="shared" si="35"/>
        <v>3.1374320745955852E-5</v>
      </c>
      <c r="W100" s="2"/>
      <c r="X100" s="7">
        <f t="shared" si="36"/>
        <v>-40.53</v>
      </c>
      <c r="Y100" s="2"/>
      <c r="Z100" s="6">
        <f t="shared" si="37"/>
        <v>-1.01325</v>
      </c>
    </row>
    <row r="101" spans="1:26" s="27" customFormat="1" outlineLevel="1" collapsed="1" x14ac:dyDescent="0.25">
      <c r="A101" s="29"/>
      <c r="B101" s="14" t="str">
        <f>CONCATENATE("     ","Bank/card Fees                                    ")</f>
        <v xml:space="preserve">     Bank/card Fees                                    </v>
      </c>
      <c r="C101" s="14"/>
      <c r="D101" s="1">
        <f>SUM(OSRRefD22_4x_0)</f>
        <v>291.5</v>
      </c>
      <c r="E101" s="1"/>
      <c r="F101" s="5">
        <f t="shared" si="30"/>
        <v>2.5257780999528804E-3</v>
      </c>
      <c r="G101" s="1"/>
      <c r="H101" s="1">
        <f>SUM(OSRRefH22_4x_0)</f>
        <v>550</v>
      </c>
      <c r="I101" s="1"/>
      <c r="J101" s="5">
        <f t="shared" si="31"/>
        <v>1.6783029001074114E-3</v>
      </c>
      <c r="K101" s="1"/>
      <c r="L101" s="1">
        <f t="shared" si="32"/>
        <v>-258.5</v>
      </c>
      <c r="M101" s="1"/>
      <c r="N101" s="5">
        <f t="shared" si="33"/>
        <v>-0.47</v>
      </c>
      <c r="O101" s="14"/>
      <c r="P101" s="1">
        <f>SUM(OSRRefP22_4x_0)</f>
        <v>1357.67</v>
      </c>
      <c r="Q101" s="1"/>
      <c r="R101" s="5">
        <f t="shared" si="34"/>
        <v>1.8987932180102496E-3</v>
      </c>
      <c r="S101" s="1"/>
      <c r="T101" s="1">
        <f>SUM(OSRRefT22_4x_0)</f>
        <v>2246</v>
      </c>
      <c r="U101" s="1"/>
      <c r="V101" s="5">
        <f t="shared" si="35"/>
        <v>1.7616681098854209E-3</v>
      </c>
      <c r="W101" s="1"/>
      <c r="X101" s="1">
        <f t="shared" si="36"/>
        <v>-888.32999999999993</v>
      </c>
      <c r="Y101" s="1"/>
      <c r="Z101" s="5">
        <f t="shared" si="37"/>
        <v>-0.39551647373107746</v>
      </c>
    </row>
    <row r="102" spans="1:26" s="24" customFormat="1" hidden="1" outlineLevel="2" x14ac:dyDescent="0.25">
      <c r="A102" s="28"/>
      <c r="B102" s="11" t="str">
        <f>CONCATENATE("          ", "6381", " - ", "BANK/CREDIT CARD FEES")</f>
        <v xml:space="preserve">          6381 - BANK/CREDIT CARD FEES</v>
      </c>
      <c r="C102" s="11"/>
      <c r="D102" s="7">
        <v>291.5</v>
      </c>
      <c r="E102" s="2"/>
      <c r="F102" s="6">
        <f t="shared" si="30"/>
        <v>2.5257780999528804E-3</v>
      </c>
      <c r="G102" s="2"/>
      <c r="H102" s="7">
        <v>550</v>
      </c>
      <c r="I102" s="2"/>
      <c r="J102" s="6">
        <f t="shared" si="31"/>
        <v>1.6783029001074114E-3</v>
      </c>
      <c r="K102" s="2"/>
      <c r="L102" s="7">
        <f t="shared" si="32"/>
        <v>-258.5</v>
      </c>
      <c r="M102" s="2"/>
      <c r="N102" s="6">
        <f t="shared" si="33"/>
        <v>-0.47</v>
      </c>
      <c r="O102" s="11"/>
      <c r="P102" s="7">
        <v>1357.67</v>
      </c>
      <c r="Q102" s="2"/>
      <c r="R102" s="6">
        <f t="shared" si="34"/>
        <v>1.8987932180102496E-3</v>
      </c>
      <c r="S102" s="2"/>
      <c r="T102" s="7">
        <v>2246</v>
      </c>
      <c r="U102" s="2"/>
      <c r="V102" s="6">
        <f t="shared" si="35"/>
        <v>1.7616681098854209E-3</v>
      </c>
      <c r="W102" s="2"/>
      <c r="X102" s="7">
        <f t="shared" si="36"/>
        <v>-888.32999999999993</v>
      </c>
      <c r="Y102" s="2"/>
      <c r="Z102" s="6">
        <f t="shared" si="37"/>
        <v>-0.39551647373107746</v>
      </c>
    </row>
    <row r="103" spans="1:26" s="27" customFormat="1" outlineLevel="1" collapsed="1" x14ac:dyDescent="0.25">
      <c r="A103" s="29"/>
      <c r="B103" s="14" t="str">
        <f>CONCATENATE("     ","Discounts and Markdowns                           ")</f>
        <v xml:space="preserve">     Discounts and Markdowns                           </v>
      </c>
      <c r="C103" s="14"/>
      <c r="D103" s="1">
        <f>SUM(OSRRefD22_5x_0)</f>
        <v>-830.95</v>
      </c>
      <c r="E103" s="1"/>
      <c r="F103" s="5">
        <f t="shared" si="30"/>
        <v>-7.199983918201874E-3</v>
      </c>
      <c r="G103" s="1"/>
      <c r="H103" s="1">
        <f>SUM(OSRRefH22_5x_0)</f>
        <v>25550</v>
      </c>
      <c r="I103" s="1"/>
      <c r="J103" s="5">
        <f t="shared" si="31"/>
        <v>7.7964798359535195E-2</v>
      </c>
      <c r="K103" s="1"/>
      <c r="L103" s="1">
        <f t="shared" si="32"/>
        <v>-26380.95</v>
      </c>
      <c r="M103" s="1"/>
      <c r="N103" s="5">
        <f t="shared" si="33"/>
        <v>-1.0325225048923679</v>
      </c>
      <c r="O103" s="14"/>
      <c r="P103" s="1">
        <f>SUM(OSRRefP22_5x_0)</f>
        <v>0</v>
      </c>
      <c r="Q103" s="1"/>
      <c r="R103" s="5">
        <f t="shared" si="34"/>
        <v>0</v>
      </c>
      <c r="S103" s="1"/>
      <c r="T103" s="1">
        <f>SUM(OSRRefT22_5x_0)</f>
        <v>100238</v>
      </c>
      <c r="U103" s="1"/>
      <c r="V103" s="5">
        <f t="shared" si="35"/>
        <v>7.8622479073328061E-2</v>
      </c>
      <c r="W103" s="1"/>
      <c r="X103" s="1">
        <f t="shared" si="36"/>
        <v>-100238</v>
      </c>
      <c r="Y103" s="1"/>
      <c r="Z103" s="5">
        <f t="shared" si="37"/>
        <v>-1</v>
      </c>
    </row>
    <row r="104" spans="1:26" s="24" customFormat="1" hidden="1" outlineLevel="2" x14ac:dyDescent="0.25">
      <c r="A104" s="28"/>
      <c r="B104" s="11" t="str">
        <f>CONCATENATE("          ", "6382", " - ", "DISCOUNTS/MARK DOWNS")</f>
        <v xml:space="preserve">          6382 - DISCOUNTS/MARK DOWNS</v>
      </c>
      <c r="C104" s="11"/>
      <c r="D104" s="7">
        <v>-830.95</v>
      </c>
      <c r="E104" s="2"/>
      <c r="F104" s="6">
        <f t="shared" si="30"/>
        <v>-7.199983918201874E-3</v>
      </c>
      <c r="G104" s="2"/>
      <c r="H104" s="7">
        <v>25550</v>
      </c>
      <c r="I104" s="2"/>
      <c r="J104" s="6">
        <f t="shared" si="31"/>
        <v>7.7964798359535195E-2</v>
      </c>
      <c r="K104" s="2"/>
      <c r="L104" s="7">
        <f t="shared" si="32"/>
        <v>-26380.95</v>
      </c>
      <c r="M104" s="2"/>
      <c r="N104" s="6">
        <f t="shared" si="33"/>
        <v>-1.0325225048923679</v>
      </c>
      <c r="O104" s="11"/>
      <c r="P104" s="7">
        <v>0</v>
      </c>
      <c r="Q104" s="2"/>
      <c r="R104" s="6">
        <f t="shared" si="34"/>
        <v>0</v>
      </c>
      <c r="S104" s="2"/>
      <c r="T104" s="7">
        <v>100238</v>
      </c>
      <c r="U104" s="2"/>
      <c r="V104" s="6">
        <f t="shared" si="35"/>
        <v>7.8622479073328061E-2</v>
      </c>
      <c r="W104" s="2"/>
      <c r="X104" s="7">
        <f t="shared" si="36"/>
        <v>-100238</v>
      </c>
      <c r="Y104" s="2"/>
      <c r="Z104" s="6">
        <f t="shared" si="37"/>
        <v>-1</v>
      </c>
    </row>
    <row r="105" spans="1:26" s="27" customFormat="1" outlineLevel="1" collapsed="1" x14ac:dyDescent="0.25">
      <c r="A105" s="29"/>
      <c r="B105" s="14" t="str">
        <f>CONCATENATE("     ","Donations                                         ")</f>
        <v xml:space="preserve">     Donations                                         </v>
      </c>
      <c r="C105" s="14"/>
      <c r="D105" s="1">
        <f>SUM(OSRRefD22_6x_0)</f>
        <v>0</v>
      </c>
      <c r="E105" s="1"/>
      <c r="F105" s="5">
        <f t="shared" si="30"/>
        <v>0</v>
      </c>
      <c r="G105" s="1"/>
      <c r="H105" s="1">
        <f>SUM(OSRRefH22_6x_0)</f>
        <v>0</v>
      </c>
      <c r="I105" s="1"/>
      <c r="J105" s="5">
        <f t="shared" si="31"/>
        <v>0</v>
      </c>
      <c r="K105" s="1"/>
      <c r="L105" s="1">
        <f t="shared" si="32"/>
        <v>0</v>
      </c>
      <c r="M105" s="1"/>
      <c r="N105" s="5">
        <f t="shared" si="33"/>
        <v>0</v>
      </c>
      <c r="O105" s="14"/>
      <c r="P105" s="1">
        <f>SUM(OSRRefP22_6x_0)</f>
        <v>0</v>
      </c>
      <c r="Q105" s="1"/>
      <c r="R105" s="5">
        <f t="shared" si="34"/>
        <v>0</v>
      </c>
      <c r="S105" s="1"/>
      <c r="T105" s="1">
        <f>SUM(OSRRefT22_6x_0)</f>
        <v>0</v>
      </c>
      <c r="U105" s="1"/>
      <c r="V105" s="5">
        <f t="shared" si="35"/>
        <v>0</v>
      </c>
      <c r="W105" s="1"/>
      <c r="X105" s="1">
        <f t="shared" si="36"/>
        <v>0</v>
      </c>
      <c r="Y105" s="1"/>
      <c r="Z105" s="5">
        <f t="shared" si="37"/>
        <v>0</v>
      </c>
    </row>
    <row r="106" spans="1:26" s="24" customFormat="1" hidden="1" outlineLevel="2" x14ac:dyDescent="0.25">
      <c r="A106" s="28"/>
      <c r="B106" s="11" t="str">
        <f>CONCATENATE("          ", "6395", " - ", "DONATION-OFF CAMPUS")</f>
        <v xml:space="preserve">          6395 - DONATION-OFF CAMPUS</v>
      </c>
      <c r="C106" s="11"/>
      <c r="D106" s="7"/>
      <c r="E106" s="2"/>
      <c r="F106" s="6">
        <f t="shared" si="30"/>
        <v>0</v>
      </c>
      <c r="G106" s="2"/>
      <c r="H106" s="7"/>
      <c r="I106" s="2"/>
      <c r="J106" s="6">
        <f t="shared" si="31"/>
        <v>0</v>
      </c>
      <c r="K106" s="2"/>
      <c r="L106" s="7">
        <f t="shared" si="32"/>
        <v>0</v>
      </c>
      <c r="M106" s="2"/>
      <c r="N106" s="6">
        <f t="shared" si="33"/>
        <v>0</v>
      </c>
      <c r="O106" s="11"/>
      <c r="P106" s="7"/>
      <c r="Q106" s="2"/>
      <c r="R106" s="6">
        <f t="shared" si="34"/>
        <v>0</v>
      </c>
      <c r="S106" s="2"/>
      <c r="T106" s="7">
        <v>0</v>
      </c>
      <c r="U106" s="2"/>
      <c r="V106" s="6">
        <f t="shared" si="35"/>
        <v>0</v>
      </c>
      <c r="W106" s="2"/>
      <c r="X106" s="7">
        <f t="shared" si="36"/>
        <v>0</v>
      </c>
      <c r="Y106" s="2"/>
      <c r="Z106" s="6">
        <f t="shared" si="37"/>
        <v>0</v>
      </c>
    </row>
    <row r="107" spans="1:26" s="27" customFormat="1" outlineLevel="1" collapsed="1" x14ac:dyDescent="0.25">
      <c r="A107" s="29"/>
      <c r="B107" s="14" t="str">
        <f>CONCATENATE("     ","Employees' Appreciation                           ")</f>
        <v xml:space="preserve">     Employees' Appreciation                           </v>
      </c>
      <c r="C107" s="14"/>
      <c r="D107" s="1">
        <f>SUM(OSRRefD22_7x_0)</f>
        <v>0</v>
      </c>
      <c r="E107" s="1"/>
      <c r="F107" s="5">
        <f t="shared" si="30"/>
        <v>0</v>
      </c>
      <c r="G107" s="1"/>
      <c r="H107" s="1">
        <f>SUM(OSRRefH22_7x_0)</f>
        <v>200</v>
      </c>
      <c r="I107" s="1"/>
      <c r="J107" s="5">
        <f t="shared" si="31"/>
        <v>6.1029196367542234E-4</v>
      </c>
      <c r="K107" s="1"/>
      <c r="L107" s="1">
        <f t="shared" si="32"/>
        <v>-200</v>
      </c>
      <c r="M107" s="1"/>
      <c r="N107" s="5">
        <f t="shared" si="33"/>
        <v>-1</v>
      </c>
      <c r="O107" s="14"/>
      <c r="P107" s="1">
        <f>SUM(OSRRefP22_7x_0)</f>
        <v>0</v>
      </c>
      <c r="Q107" s="1"/>
      <c r="R107" s="5">
        <f t="shared" si="34"/>
        <v>0</v>
      </c>
      <c r="S107" s="1"/>
      <c r="T107" s="1">
        <f>SUM(OSRRefT22_7x_0)</f>
        <v>800</v>
      </c>
      <c r="U107" s="1"/>
      <c r="V107" s="5">
        <f t="shared" si="35"/>
        <v>6.2748641491911698E-4</v>
      </c>
      <c r="W107" s="1"/>
      <c r="X107" s="1">
        <f t="shared" si="36"/>
        <v>-800</v>
      </c>
      <c r="Y107" s="1"/>
      <c r="Z107" s="5">
        <f t="shared" si="37"/>
        <v>-1</v>
      </c>
    </row>
    <row r="108" spans="1:26" s="24" customFormat="1" hidden="1" outlineLevel="2" x14ac:dyDescent="0.25">
      <c r="A108" s="28"/>
      <c r="B108" s="11" t="str">
        <f>CONCATENATE("          ", "6277", " - ", "EMPLOYEE APPRECIATION")</f>
        <v xml:space="preserve">          6277 - EMPLOYEE APPRECIATION</v>
      </c>
      <c r="C108" s="11"/>
      <c r="D108" s="7"/>
      <c r="E108" s="2"/>
      <c r="F108" s="6">
        <f t="shared" si="30"/>
        <v>0</v>
      </c>
      <c r="G108" s="2"/>
      <c r="H108" s="7">
        <v>200</v>
      </c>
      <c r="I108" s="2"/>
      <c r="J108" s="6">
        <f t="shared" si="31"/>
        <v>6.1029196367542234E-4</v>
      </c>
      <c r="K108" s="2"/>
      <c r="L108" s="7">
        <f t="shared" si="32"/>
        <v>-200</v>
      </c>
      <c r="M108" s="2"/>
      <c r="N108" s="6">
        <f t="shared" si="33"/>
        <v>-1</v>
      </c>
      <c r="O108" s="11"/>
      <c r="P108" s="7"/>
      <c r="Q108" s="2"/>
      <c r="R108" s="6">
        <f t="shared" si="34"/>
        <v>0</v>
      </c>
      <c r="S108" s="2"/>
      <c r="T108" s="7">
        <v>800</v>
      </c>
      <c r="U108" s="2"/>
      <c r="V108" s="6">
        <f t="shared" si="35"/>
        <v>6.2748641491911698E-4</v>
      </c>
      <c r="W108" s="2"/>
      <c r="X108" s="7">
        <f t="shared" si="36"/>
        <v>-800</v>
      </c>
      <c r="Y108" s="2"/>
      <c r="Z108" s="6">
        <f t="shared" si="37"/>
        <v>-1</v>
      </c>
    </row>
    <row r="109" spans="1:26" s="27" customFormat="1" outlineLevel="1" collapsed="1" x14ac:dyDescent="0.25">
      <c r="A109" s="29"/>
      <c r="B109" s="14" t="str">
        <f>CONCATENATE("     ","Freight out/Postage                               ")</f>
        <v xml:space="preserve">     Freight out/Postage                               </v>
      </c>
      <c r="C109" s="14"/>
      <c r="D109" s="1">
        <f>SUM(OSRRefD22_8x_0)</f>
        <v>10.85</v>
      </c>
      <c r="E109" s="1"/>
      <c r="F109" s="5">
        <f t="shared" si="30"/>
        <v>9.4012666842156954E-5</v>
      </c>
      <c r="G109" s="1"/>
      <c r="H109" s="1">
        <f>SUM(OSRRefH22_8x_0)</f>
        <v>10</v>
      </c>
      <c r="I109" s="1"/>
      <c r="J109" s="5">
        <f t="shared" si="31"/>
        <v>3.0514598183771115E-5</v>
      </c>
      <c r="K109" s="1"/>
      <c r="L109" s="1">
        <f t="shared" si="32"/>
        <v>0.84999999999999964</v>
      </c>
      <c r="M109" s="1"/>
      <c r="N109" s="5">
        <f t="shared" si="33"/>
        <v>8.4999999999999964E-2</v>
      </c>
      <c r="O109" s="14"/>
      <c r="P109" s="1">
        <f>SUM(OSRRefP22_8x_0)</f>
        <v>91.96</v>
      </c>
      <c r="Q109" s="1"/>
      <c r="R109" s="5">
        <f t="shared" si="34"/>
        <v>1.2861227273801626E-4</v>
      </c>
      <c r="S109" s="1"/>
      <c r="T109" s="1">
        <f>SUM(OSRRefT22_8x_0)</f>
        <v>40</v>
      </c>
      <c r="U109" s="1"/>
      <c r="V109" s="5">
        <f t="shared" si="35"/>
        <v>3.1374320745955852E-5</v>
      </c>
      <c r="W109" s="1"/>
      <c r="X109" s="1">
        <f t="shared" si="36"/>
        <v>51.959999999999994</v>
      </c>
      <c r="Y109" s="1"/>
      <c r="Z109" s="5">
        <f t="shared" si="37"/>
        <v>1.2989999999999999</v>
      </c>
    </row>
    <row r="110" spans="1:26" s="24" customFormat="1" hidden="1" outlineLevel="2" x14ac:dyDescent="0.25">
      <c r="A110" s="28"/>
      <c r="B110" s="11" t="str">
        <f>CONCATENATE("          ", "6305", " - ", "FREIGHT OUT")</f>
        <v xml:space="preserve">          6305 - FREIGHT OUT</v>
      </c>
      <c r="C110" s="11"/>
      <c r="D110" s="7">
        <v>10.85</v>
      </c>
      <c r="E110" s="2"/>
      <c r="F110" s="6">
        <f t="shared" si="30"/>
        <v>9.4012666842156954E-5</v>
      </c>
      <c r="G110" s="2"/>
      <c r="H110" s="7"/>
      <c r="I110" s="2"/>
      <c r="J110" s="6">
        <f t="shared" si="31"/>
        <v>0</v>
      </c>
      <c r="K110" s="2"/>
      <c r="L110" s="7">
        <f t="shared" si="32"/>
        <v>10.85</v>
      </c>
      <c r="M110" s="2"/>
      <c r="N110" s="6">
        <f t="shared" si="33"/>
        <v>0</v>
      </c>
      <c r="O110" s="11"/>
      <c r="P110" s="7">
        <v>91.96</v>
      </c>
      <c r="Q110" s="2"/>
      <c r="R110" s="6">
        <f t="shared" si="34"/>
        <v>1.2861227273801626E-4</v>
      </c>
      <c r="S110" s="2"/>
      <c r="T110" s="7"/>
      <c r="U110" s="2"/>
      <c r="V110" s="6">
        <f t="shared" si="35"/>
        <v>0</v>
      </c>
      <c r="W110" s="2"/>
      <c r="X110" s="7">
        <f t="shared" si="36"/>
        <v>91.96</v>
      </c>
      <c r="Y110" s="2"/>
      <c r="Z110" s="6">
        <f t="shared" si="37"/>
        <v>0</v>
      </c>
    </row>
    <row r="111" spans="1:26" s="24" customFormat="1" hidden="1" outlineLevel="2" x14ac:dyDescent="0.25">
      <c r="A111" s="28"/>
      <c r="B111" s="11" t="str">
        <f>CONCATENATE("          ", "6307", " - ", "POSTAGE")</f>
        <v xml:space="preserve">          6307 - POSTAGE</v>
      </c>
      <c r="C111" s="11"/>
      <c r="D111" s="7"/>
      <c r="E111" s="2"/>
      <c r="F111" s="6">
        <f t="shared" si="30"/>
        <v>0</v>
      </c>
      <c r="G111" s="2"/>
      <c r="H111" s="7">
        <v>10</v>
      </c>
      <c r="I111" s="2"/>
      <c r="J111" s="6">
        <f t="shared" si="31"/>
        <v>3.0514598183771115E-5</v>
      </c>
      <c r="K111" s="2"/>
      <c r="L111" s="7">
        <f t="shared" si="32"/>
        <v>-10</v>
      </c>
      <c r="M111" s="2"/>
      <c r="N111" s="6">
        <f t="shared" si="33"/>
        <v>-1</v>
      </c>
      <c r="O111" s="11"/>
      <c r="P111" s="7"/>
      <c r="Q111" s="2"/>
      <c r="R111" s="6">
        <f t="shared" si="34"/>
        <v>0</v>
      </c>
      <c r="S111" s="2"/>
      <c r="T111" s="7">
        <v>40</v>
      </c>
      <c r="U111" s="2"/>
      <c r="V111" s="6">
        <f t="shared" si="35"/>
        <v>3.1374320745955852E-5</v>
      </c>
      <c r="W111" s="2"/>
      <c r="X111" s="7">
        <f t="shared" si="36"/>
        <v>-40</v>
      </c>
      <c r="Y111" s="2"/>
      <c r="Z111" s="6">
        <f t="shared" si="37"/>
        <v>-1</v>
      </c>
    </row>
    <row r="112" spans="1:26" s="27" customFormat="1" outlineLevel="1" collapsed="1" x14ac:dyDescent="0.25">
      <c r="A112" s="29"/>
      <c r="B112" s="14" t="str">
        <f>CONCATENATE("     ","General                                           ")</f>
        <v xml:space="preserve">     General                                           </v>
      </c>
      <c r="C112" s="14"/>
      <c r="D112" s="1">
        <f>SUM(OSRRefD22_9x_0)</f>
        <v>0</v>
      </c>
      <c r="E112" s="1"/>
      <c r="F112" s="5">
        <f t="shared" ref="F112:F114" si="38">IF(D$12=0,0,D112/D$12)</f>
        <v>0</v>
      </c>
      <c r="G112" s="1"/>
      <c r="H112" s="1">
        <f>SUM(OSRRefH22_9x_0)</f>
        <v>50</v>
      </c>
      <c r="I112" s="1"/>
      <c r="J112" s="5">
        <f t="shared" ref="J112:J114" si="39">IF(H$12=0,0,H112/H$12)</f>
        <v>1.5257299091885559E-4</v>
      </c>
      <c r="K112" s="1"/>
      <c r="L112" s="1">
        <f t="shared" ref="L112:L114" si="40">+D112-H112</f>
        <v>-50</v>
      </c>
      <c r="M112" s="1"/>
      <c r="N112" s="5">
        <f t="shared" ref="N112:N114" si="41">IF(H112=0,0,L112/H112)</f>
        <v>-1</v>
      </c>
      <c r="O112" s="14"/>
      <c r="P112" s="1">
        <f>SUM(OSRRefP22_9x_0)</f>
        <v>0</v>
      </c>
      <c r="Q112" s="1"/>
      <c r="R112" s="5">
        <f t="shared" ref="R112:R114" si="42">IF(P$12=0,0,P112/P$12)</f>
        <v>0</v>
      </c>
      <c r="S112" s="1"/>
      <c r="T112" s="1">
        <f>SUM(OSRRefT22_9x_0)</f>
        <v>200</v>
      </c>
      <c r="U112" s="1"/>
      <c r="V112" s="5">
        <f t="shared" ref="V112:V114" si="43">IF(T$12=0,0,T112/T$12)</f>
        <v>1.5687160372977925E-4</v>
      </c>
      <c r="W112" s="1"/>
      <c r="X112" s="1">
        <f t="shared" ref="X112:X114" si="44">+P112-T112</f>
        <v>-200</v>
      </c>
      <c r="Y112" s="1"/>
      <c r="Z112" s="5">
        <f t="shared" ref="Z112:Z114" si="45">IF(T112=0,0,X112/T112)</f>
        <v>-1</v>
      </c>
    </row>
    <row r="113" spans="1:26" s="24" customFormat="1" hidden="1" outlineLevel="2" x14ac:dyDescent="0.25">
      <c r="A113" s="28"/>
      <c r="B113" s="11" t="str">
        <f>CONCATENATE("          ", "6276", " - ", "PROPERTY TAX")</f>
        <v xml:space="preserve">          6276 - PROPERTY TAX</v>
      </c>
      <c r="C113" s="11"/>
      <c r="D113" s="7"/>
      <c r="E113" s="2"/>
      <c r="F113" s="6">
        <f t="shared" si="38"/>
        <v>0</v>
      </c>
      <c r="G113" s="2"/>
      <c r="H113" s="7"/>
      <c r="I113" s="2"/>
      <c r="J113" s="6">
        <f t="shared" si="39"/>
        <v>0</v>
      </c>
      <c r="K113" s="2"/>
      <c r="L113" s="7">
        <f t="shared" si="40"/>
        <v>0</v>
      </c>
      <c r="M113" s="2"/>
      <c r="N113" s="6">
        <f t="shared" si="41"/>
        <v>0</v>
      </c>
      <c r="O113" s="11"/>
      <c r="P113" s="7"/>
      <c r="Q113" s="2"/>
      <c r="R113" s="6">
        <f t="shared" si="42"/>
        <v>0</v>
      </c>
      <c r="S113" s="2"/>
      <c r="T113" s="7">
        <v>150</v>
      </c>
      <c r="U113" s="2"/>
      <c r="V113" s="6">
        <f t="shared" si="43"/>
        <v>1.1765370279733444E-4</v>
      </c>
      <c r="W113" s="2"/>
      <c r="X113" s="7">
        <f t="shared" si="44"/>
        <v>-150</v>
      </c>
      <c r="Y113" s="2"/>
      <c r="Z113" s="6">
        <f t="shared" si="45"/>
        <v>-1</v>
      </c>
    </row>
    <row r="114" spans="1:26" s="24" customFormat="1" hidden="1" outlineLevel="2" x14ac:dyDescent="0.25">
      <c r="A114" s="28"/>
      <c r="B114" s="11" t="str">
        <f>CONCATENATE("          ", "6279", " - ", "GENERAL EXPENSE")</f>
        <v xml:space="preserve">          6279 - GENERAL EXPENSE</v>
      </c>
      <c r="C114" s="11"/>
      <c r="D114" s="7"/>
      <c r="E114" s="2"/>
      <c r="F114" s="6">
        <f t="shared" si="38"/>
        <v>0</v>
      </c>
      <c r="G114" s="2"/>
      <c r="H114" s="7">
        <v>50</v>
      </c>
      <c r="I114" s="2"/>
      <c r="J114" s="6">
        <f t="shared" si="39"/>
        <v>1.5257299091885559E-4</v>
      </c>
      <c r="K114" s="2"/>
      <c r="L114" s="7">
        <f t="shared" si="40"/>
        <v>-50</v>
      </c>
      <c r="M114" s="2"/>
      <c r="N114" s="6">
        <f t="shared" si="41"/>
        <v>-1</v>
      </c>
      <c r="O114" s="11"/>
      <c r="P114" s="7"/>
      <c r="Q114" s="2"/>
      <c r="R114" s="6">
        <f t="shared" si="42"/>
        <v>0</v>
      </c>
      <c r="S114" s="2"/>
      <c r="T114" s="7">
        <v>50</v>
      </c>
      <c r="U114" s="2"/>
      <c r="V114" s="6">
        <f t="shared" si="43"/>
        <v>3.9217900932444812E-5</v>
      </c>
      <c r="W114" s="2"/>
      <c r="X114" s="7">
        <f t="shared" si="44"/>
        <v>-50</v>
      </c>
      <c r="Y114" s="2"/>
      <c r="Z114" s="6">
        <f t="shared" si="45"/>
        <v>-1</v>
      </c>
    </row>
    <row r="115" spans="1:26" s="27" customFormat="1" outlineLevel="1" collapsed="1" x14ac:dyDescent="0.25">
      <c r="A115" s="29"/>
      <c r="B115" s="14" t="str">
        <f>CONCATENATE("     ","Insurance                                         ")</f>
        <v xml:space="preserve">     Insurance                                         </v>
      </c>
      <c r="C115" s="14"/>
      <c r="D115" s="1">
        <f>SUM(OSRRefD22_10x_0)</f>
        <v>161.18</v>
      </c>
      <c r="E115" s="1"/>
      <c r="F115" s="5">
        <f t="shared" ref="F115:F125" si="46">IF(D$12=0,0,D115/D$12)</f>
        <v>1.3965863264164848E-3</v>
      </c>
      <c r="G115" s="1"/>
      <c r="H115" s="1">
        <f>SUM(OSRRefH22_10x_0)</f>
        <v>176</v>
      </c>
      <c r="I115" s="1"/>
      <c r="J115" s="5">
        <f t="shared" ref="J115:J125" si="47">IF(H$12=0,0,H115/H$12)</f>
        <v>5.3705692803437163E-4</v>
      </c>
      <c r="K115" s="1"/>
      <c r="L115" s="1">
        <f t="shared" ref="L115:L125" si="48">+D115-H115</f>
        <v>-14.819999999999993</v>
      </c>
      <c r="M115" s="1"/>
      <c r="N115" s="5">
        <f t="shared" ref="N115:N125" si="49">IF(H115=0,0,L115/H115)</f>
        <v>-8.4204545454545421E-2</v>
      </c>
      <c r="O115" s="14"/>
      <c r="P115" s="1">
        <f>SUM(OSRRefP22_10x_0)</f>
        <v>644.72</v>
      </c>
      <c r="Q115" s="1"/>
      <c r="R115" s="5">
        <f t="shared" ref="R115:R125" si="50">IF(P$12=0,0,P115/P$12)</f>
        <v>9.016844767252484E-4</v>
      </c>
      <c r="S115" s="1"/>
      <c r="T115" s="1">
        <f>SUM(OSRRefT22_10x_0)</f>
        <v>704</v>
      </c>
      <c r="U115" s="1"/>
      <c r="V115" s="5">
        <f t="shared" ref="V115:V125" si="51">IF(T$12=0,0,T115/T$12)</f>
        <v>5.5218804512882299E-4</v>
      </c>
      <c r="W115" s="1"/>
      <c r="X115" s="1">
        <f t="shared" ref="X115:X125" si="52">+P115-T115</f>
        <v>-59.279999999999973</v>
      </c>
      <c r="Y115" s="1"/>
      <c r="Z115" s="5">
        <f t="shared" ref="Z115:Z125" si="53">IF(T115=0,0,X115/T115)</f>
        <v>-8.4204545454545421E-2</v>
      </c>
    </row>
    <row r="116" spans="1:26" s="24" customFormat="1" hidden="1" outlineLevel="2" x14ac:dyDescent="0.25">
      <c r="A116" s="28"/>
      <c r="B116" s="11" t="str">
        <f>CONCATENATE("          ", "6314", " - ", "LIABILITY INSURANCE")</f>
        <v xml:space="preserve">          6314 - LIABILITY INSURANCE</v>
      </c>
      <c r="C116" s="11"/>
      <c r="D116" s="7">
        <v>161.18</v>
      </c>
      <c r="E116" s="2"/>
      <c r="F116" s="6">
        <f t="shared" si="46"/>
        <v>1.3965863264164848E-3</v>
      </c>
      <c r="G116" s="2"/>
      <c r="H116" s="7">
        <v>176</v>
      </c>
      <c r="I116" s="2"/>
      <c r="J116" s="6">
        <f t="shared" si="47"/>
        <v>5.3705692803437163E-4</v>
      </c>
      <c r="K116" s="2"/>
      <c r="L116" s="7">
        <f t="shared" si="48"/>
        <v>-14.819999999999993</v>
      </c>
      <c r="M116" s="2"/>
      <c r="N116" s="6">
        <f t="shared" si="49"/>
        <v>-8.4204545454545421E-2</v>
      </c>
      <c r="O116" s="11"/>
      <c r="P116" s="7">
        <v>644.72</v>
      </c>
      <c r="Q116" s="2"/>
      <c r="R116" s="6">
        <f t="shared" si="50"/>
        <v>9.016844767252484E-4</v>
      </c>
      <c r="S116" s="2"/>
      <c r="T116" s="7">
        <v>704</v>
      </c>
      <c r="U116" s="2"/>
      <c r="V116" s="6">
        <f t="shared" si="51"/>
        <v>5.5218804512882299E-4</v>
      </c>
      <c r="W116" s="2"/>
      <c r="X116" s="7">
        <f t="shared" si="52"/>
        <v>-59.279999999999973</v>
      </c>
      <c r="Y116" s="2"/>
      <c r="Z116" s="6">
        <f t="shared" si="53"/>
        <v>-8.4204545454545421E-2</v>
      </c>
    </row>
    <row r="117" spans="1:26" s="27" customFormat="1" outlineLevel="1" collapsed="1" x14ac:dyDescent="0.25">
      <c r="A117" s="29"/>
      <c r="B117" s="14" t="str">
        <f>CONCATENATE("     ","Inventory Adjustment                              ")</f>
        <v xml:space="preserve">     Inventory Adjustment                              </v>
      </c>
      <c r="C117" s="14"/>
      <c r="D117" s="1">
        <f>SUM(OSRRefD22_11x_0)</f>
        <v>1100</v>
      </c>
      <c r="E117" s="1"/>
      <c r="F117" s="5">
        <f t="shared" si="46"/>
        <v>9.5312381130297375E-3</v>
      </c>
      <c r="G117" s="1"/>
      <c r="H117" s="1">
        <f>SUM(OSRRefH22_11x_0)</f>
        <v>1100</v>
      </c>
      <c r="I117" s="1"/>
      <c r="J117" s="5">
        <f t="shared" si="47"/>
        <v>3.3566058002148227E-3</v>
      </c>
      <c r="K117" s="1"/>
      <c r="L117" s="1">
        <f t="shared" si="48"/>
        <v>0</v>
      </c>
      <c r="M117" s="1"/>
      <c r="N117" s="5">
        <f t="shared" si="49"/>
        <v>0</v>
      </c>
      <c r="O117" s="14"/>
      <c r="P117" s="1">
        <f>SUM(OSRRefP22_11x_0)</f>
        <v>4400</v>
      </c>
      <c r="Q117" s="1"/>
      <c r="R117" s="5">
        <f t="shared" si="50"/>
        <v>6.1536972601921652E-3</v>
      </c>
      <c r="S117" s="1"/>
      <c r="T117" s="1">
        <f>SUM(OSRRefT22_11x_0)</f>
        <v>4400</v>
      </c>
      <c r="U117" s="1"/>
      <c r="V117" s="5">
        <f t="shared" si="51"/>
        <v>3.4511752820551435E-3</v>
      </c>
      <c r="W117" s="1"/>
      <c r="X117" s="1">
        <f t="shared" si="52"/>
        <v>0</v>
      </c>
      <c r="Y117" s="1"/>
      <c r="Z117" s="5">
        <f t="shared" si="53"/>
        <v>0</v>
      </c>
    </row>
    <row r="118" spans="1:26" s="24" customFormat="1" hidden="1" outlineLevel="2" x14ac:dyDescent="0.25">
      <c r="A118" s="28"/>
      <c r="B118" s="11" t="str">
        <f>CONCATENATE("          ", "6408", " - ", "INVENTORY ADJUSTMENT")</f>
        <v xml:space="preserve">          6408 - INVENTORY ADJUSTMENT</v>
      </c>
      <c r="C118" s="11"/>
      <c r="D118" s="7">
        <v>1100</v>
      </c>
      <c r="E118" s="2"/>
      <c r="F118" s="6">
        <f t="shared" si="46"/>
        <v>9.5312381130297375E-3</v>
      </c>
      <c r="G118" s="2"/>
      <c r="H118" s="7">
        <v>1100</v>
      </c>
      <c r="I118" s="2"/>
      <c r="J118" s="6">
        <f t="shared" si="47"/>
        <v>3.3566058002148227E-3</v>
      </c>
      <c r="K118" s="2"/>
      <c r="L118" s="7">
        <f t="shared" si="48"/>
        <v>0</v>
      </c>
      <c r="M118" s="2"/>
      <c r="N118" s="6">
        <f t="shared" si="49"/>
        <v>0</v>
      </c>
      <c r="O118" s="11"/>
      <c r="P118" s="7">
        <v>4400</v>
      </c>
      <c r="Q118" s="2"/>
      <c r="R118" s="6">
        <f t="shared" si="50"/>
        <v>6.1536972601921652E-3</v>
      </c>
      <c r="S118" s="2"/>
      <c r="T118" s="7">
        <v>4400</v>
      </c>
      <c r="U118" s="2"/>
      <c r="V118" s="6">
        <f t="shared" si="51"/>
        <v>3.4511752820551435E-3</v>
      </c>
      <c r="W118" s="2"/>
      <c r="X118" s="7">
        <f t="shared" si="52"/>
        <v>0</v>
      </c>
      <c r="Y118" s="2"/>
      <c r="Z118" s="6">
        <f t="shared" si="53"/>
        <v>0</v>
      </c>
    </row>
    <row r="119" spans="1:26" s="27" customFormat="1" outlineLevel="1" collapsed="1" x14ac:dyDescent="0.25">
      <c r="A119" s="29"/>
      <c r="B119" s="14" t="str">
        <f>CONCATENATE("     ","Professional Services                             ")</f>
        <v xml:space="preserve">     Professional Services                             </v>
      </c>
      <c r="C119" s="14"/>
      <c r="D119" s="1">
        <f>SUM(OSRRefD22_12x_0)</f>
        <v>0</v>
      </c>
      <c r="E119" s="1"/>
      <c r="F119" s="5">
        <f t="shared" si="46"/>
        <v>0</v>
      </c>
      <c r="G119" s="1"/>
      <c r="H119" s="1">
        <f>SUM(OSRRefH22_12x_0)</f>
        <v>250</v>
      </c>
      <c r="I119" s="1"/>
      <c r="J119" s="5">
        <f t="shared" si="47"/>
        <v>7.628649545942779E-4</v>
      </c>
      <c r="K119" s="1"/>
      <c r="L119" s="1">
        <f t="shared" si="48"/>
        <v>-250</v>
      </c>
      <c r="M119" s="1"/>
      <c r="N119" s="5">
        <f t="shared" si="49"/>
        <v>-1</v>
      </c>
      <c r="O119" s="14"/>
      <c r="P119" s="1">
        <f>SUM(OSRRefP22_12x_0)</f>
        <v>0</v>
      </c>
      <c r="Q119" s="1"/>
      <c r="R119" s="5">
        <f t="shared" si="50"/>
        <v>0</v>
      </c>
      <c r="S119" s="1"/>
      <c r="T119" s="1">
        <f>SUM(OSRRefT22_12x_0)</f>
        <v>6000</v>
      </c>
      <c r="U119" s="1"/>
      <c r="V119" s="5">
        <f t="shared" si="51"/>
        <v>4.7061481118933777E-3</v>
      </c>
      <c r="W119" s="1"/>
      <c r="X119" s="1">
        <f t="shared" si="52"/>
        <v>-6000</v>
      </c>
      <c r="Y119" s="1"/>
      <c r="Z119" s="5">
        <f t="shared" si="53"/>
        <v>-1</v>
      </c>
    </row>
    <row r="120" spans="1:26" s="24" customFormat="1" hidden="1" outlineLevel="2" x14ac:dyDescent="0.25">
      <c r="A120" s="28"/>
      <c r="B120" s="11" t="str">
        <f>CONCATENATE("          ", "6336", " - ", "PROFESSIONAL SERVICES")</f>
        <v xml:space="preserve">          6336 - PROFESSIONAL SERVICES</v>
      </c>
      <c r="C120" s="11"/>
      <c r="D120" s="7"/>
      <c r="E120" s="2"/>
      <c r="F120" s="6">
        <f t="shared" si="46"/>
        <v>0</v>
      </c>
      <c r="G120" s="2"/>
      <c r="H120" s="7">
        <v>250</v>
      </c>
      <c r="I120" s="2"/>
      <c r="J120" s="6">
        <f t="shared" si="47"/>
        <v>7.628649545942779E-4</v>
      </c>
      <c r="K120" s="2"/>
      <c r="L120" s="7">
        <f t="shared" si="48"/>
        <v>-250</v>
      </c>
      <c r="M120" s="2"/>
      <c r="N120" s="6">
        <f t="shared" si="49"/>
        <v>-1</v>
      </c>
      <c r="O120" s="11"/>
      <c r="P120" s="7"/>
      <c r="Q120" s="2"/>
      <c r="R120" s="6">
        <f t="shared" si="50"/>
        <v>0</v>
      </c>
      <c r="S120" s="2"/>
      <c r="T120" s="7">
        <v>6000</v>
      </c>
      <c r="U120" s="2"/>
      <c r="V120" s="6">
        <f t="shared" si="51"/>
        <v>4.7061481118933777E-3</v>
      </c>
      <c r="W120" s="2"/>
      <c r="X120" s="7">
        <f t="shared" si="52"/>
        <v>-6000</v>
      </c>
      <c r="Y120" s="2"/>
      <c r="Z120" s="6">
        <f t="shared" si="53"/>
        <v>-1</v>
      </c>
    </row>
    <row r="121" spans="1:26" s="27" customFormat="1" outlineLevel="1" collapsed="1" x14ac:dyDescent="0.25">
      <c r="A121" s="29"/>
      <c r="B121" s="14" t="str">
        <f>CONCATENATE("     ","Rent                                              ")</f>
        <v xml:space="preserve">     Rent                                              </v>
      </c>
      <c r="C121" s="14"/>
      <c r="D121" s="1">
        <f>SUM(OSRRefD22_13x_0)</f>
        <v>6900</v>
      </c>
      <c r="E121" s="1"/>
      <c r="F121" s="5">
        <f t="shared" si="46"/>
        <v>5.9786857254459265E-2</v>
      </c>
      <c r="G121" s="1"/>
      <c r="H121" s="1">
        <f>SUM(OSRRefH22_13x_0)</f>
        <v>6900</v>
      </c>
      <c r="I121" s="1"/>
      <c r="J121" s="5">
        <f t="shared" si="47"/>
        <v>2.1055072746802069E-2</v>
      </c>
      <c r="K121" s="1"/>
      <c r="L121" s="1">
        <f t="shared" si="48"/>
        <v>0</v>
      </c>
      <c r="M121" s="1"/>
      <c r="N121" s="5">
        <f t="shared" si="49"/>
        <v>0</v>
      </c>
      <c r="O121" s="14"/>
      <c r="P121" s="1">
        <f>SUM(OSRRefP22_13x_0)</f>
        <v>27600</v>
      </c>
      <c r="Q121" s="1"/>
      <c r="R121" s="5">
        <f t="shared" si="50"/>
        <v>3.8600464632114494E-2</v>
      </c>
      <c r="S121" s="1"/>
      <c r="T121" s="1">
        <f>SUM(OSRRefT22_13x_0)</f>
        <v>27601</v>
      </c>
      <c r="U121" s="1"/>
      <c r="V121" s="5">
        <f t="shared" si="51"/>
        <v>2.1649065672728184E-2</v>
      </c>
      <c r="W121" s="1"/>
      <c r="X121" s="1">
        <f t="shared" si="52"/>
        <v>-1</v>
      </c>
      <c r="Y121" s="1"/>
      <c r="Z121" s="5">
        <f t="shared" si="53"/>
        <v>-3.6230571356110289E-5</v>
      </c>
    </row>
    <row r="122" spans="1:26" s="24" customFormat="1" hidden="1" outlineLevel="2" x14ac:dyDescent="0.25">
      <c r="A122" s="28"/>
      <c r="B122" s="11" t="str">
        <f>CONCATENATE("          ", "6273", " - ", "RENT")</f>
        <v xml:space="preserve">          6273 - RENT</v>
      </c>
      <c r="C122" s="11"/>
      <c r="D122" s="7">
        <v>6900</v>
      </c>
      <c r="E122" s="2"/>
      <c r="F122" s="6">
        <f t="shared" si="46"/>
        <v>5.9786857254459265E-2</v>
      </c>
      <c r="G122" s="2"/>
      <c r="H122" s="7">
        <v>6900</v>
      </c>
      <c r="I122" s="2"/>
      <c r="J122" s="6">
        <f t="shared" si="47"/>
        <v>2.1055072746802069E-2</v>
      </c>
      <c r="K122" s="2"/>
      <c r="L122" s="7">
        <f t="shared" si="48"/>
        <v>0</v>
      </c>
      <c r="M122" s="2"/>
      <c r="N122" s="6">
        <f t="shared" si="49"/>
        <v>0</v>
      </c>
      <c r="O122" s="11"/>
      <c r="P122" s="7">
        <v>27600</v>
      </c>
      <c r="Q122" s="2"/>
      <c r="R122" s="6">
        <f t="shared" si="50"/>
        <v>3.8600464632114494E-2</v>
      </c>
      <c r="S122" s="2"/>
      <c r="T122" s="7">
        <v>27601</v>
      </c>
      <c r="U122" s="2"/>
      <c r="V122" s="6">
        <f t="shared" si="51"/>
        <v>2.1649065672728184E-2</v>
      </c>
      <c r="W122" s="2"/>
      <c r="X122" s="7">
        <f t="shared" si="52"/>
        <v>-1</v>
      </c>
      <c r="Y122" s="2"/>
      <c r="Z122" s="6">
        <f t="shared" si="53"/>
        <v>-3.6230571356110289E-5</v>
      </c>
    </row>
    <row r="123" spans="1:26" s="27" customFormat="1" outlineLevel="1" collapsed="1" x14ac:dyDescent="0.25">
      <c r="A123" s="29"/>
      <c r="B123" s="14" t="str">
        <f>CONCATENATE("     ","Repair and Maintenance                            ")</f>
        <v xml:space="preserve">     Repair and Maintenance                            </v>
      </c>
      <c r="C123" s="14"/>
      <c r="D123" s="1">
        <f>SUM(OSRRefD22_14x_0)</f>
        <v>0</v>
      </c>
      <c r="E123" s="1"/>
      <c r="F123" s="5">
        <f t="shared" si="46"/>
        <v>0</v>
      </c>
      <c r="G123" s="1"/>
      <c r="H123" s="1">
        <f>SUM(OSRRefH22_14x_0)</f>
        <v>400</v>
      </c>
      <c r="I123" s="1"/>
      <c r="J123" s="5">
        <f t="shared" si="47"/>
        <v>1.2205839273508447E-3</v>
      </c>
      <c r="K123" s="1"/>
      <c r="L123" s="1">
        <f t="shared" si="48"/>
        <v>-400</v>
      </c>
      <c r="M123" s="1"/>
      <c r="N123" s="5">
        <f t="shared" si="49"/>
        <v>-1</v>
      </c>
      <c r="O123" s="14"/>
      <c r="P123" s="1">
        <f>SUM(OSRRefP22_14x_0)</f>
        <v>48.21</v>
      </c>
      <c r="Q123" s="1"/>
      <c r="R123" s="5">
        <f t="shared" si="50"/>
        <v>6.7424942025878253E-5</v>
      </c>
      <c r="S123" s="1"/>
      <c r="T123" s="1">
        <f>SUM(OSRRefT22_14x_0)</f>
        <v>1100</v>
      </c>
      <c r="U123" s="1"/>
      <c r="V123" s="5">
        <f t="shared" si="51"/>
        <v>8.6279382051378587E-4</v>
      </c>
      <c r="W123" s="1"/>
      <c r="X123" s="1">
        <f t="shared" si="52"/>
        <v>-1051.79</v>
      </c>
      <c r="Y123" s="1"/>
      <c r="Z123" s="5">
        <f t="shared" si="53"/>
        <v>-0.95617272727272729</v>
      </c>
    </row>
    <row r="124" spans="1:26" s="24" customFormat="1" hidden="1" outlineLevel="2" x14ac:dyDescent="0.25">
      <c r="A124" s="28"/>
      <c r="B124" s="11" t="str">
        <f>CONCATENATE("          ", "6373", " - ", "MAINTENANCE CONTRACTS")</f>
        <v xml:space="preserve">          6373 - MAINTENANCE CONTRACTS</v>
      </c>
      <c r="C124" s="11"/>
      <c r="D124" s="7"/>
      <c r="E124" s="2"/>
      <c r="F124" s="6">
        <f t="shared" si="46"/>
        <v>0</v>
      </c>
      <c r="G124" s="2"/>
      <c r="H124" s="7"/>
      <c r="I124" s="2"/>
      <c r="J124" s="6">
        <f t="shared" si="47"/>
        <v>0</v>
      </c>
      <c r="K124" s="2"/>
      <c r="L124" s="7">
        <f t="shared" si="48"/>
        <v>0</v>
      </c>
      <c r="M124" s="2"/>
      <c r="N124" s="6">
        <f t="shared" si="49"/>
        <v>0</v>
      </c>
      <c r="O124" s="11"/>
      <c r="P124" s="7">
        <v>48.21</v>
      </c>
      <c r="Q124" s="2"/>
      <c r="R124" s="6">
        <f t="shared" si="50"/>
        <v>6.7424942025878253E-5</v>
      </c>
      <c r="S124" s="2"/>
      <c r="T124" s="7"/>
      <c r="U124" s="2"/>
      <c r="V124" s="6">
        <f t="shared" si="51"/>
        <v>0</v>
      </c>
      <c r="W124" s="2"/>
      <c r="X124" s="7">
        <f t="shared" si="52"/>
        <v>48.21</v>
      </c>
      <c r="Y124" s="2"/>
      <c r="Z124" s="6">
        <f t="shared" si="53"/>
        <v>0</v>
      </c>
    </row>
    <row r="125" spans="1:26" s="24" customFormat="1" hidden="1" outlineLevel="2" x14ac:dyDescent="0.25">
      <c r="A125" s="28"/>
      <c r="B125" s="11" t="str">
        <f>CONCATENATE("          ", "6375", " - ", "OUTSIDE REPAIRS &amp; MAINTENANCE")</f>
        <v xml:space="preserve">          6375 - OUTSIDE REPAIRS &amp; MAINTENANCE</v>
      </c>
      <c r="C125" s="11"/>
      <c r="D125" s="7"/>
      <c r="E125" s="2"/>
      <c r="F125" s="6">
        <f t="shared" si="46"/>
        <v>0</v>
      </c>
      <c r="G125" s="2"/>
      <c r="H125" s="7">
        <v>400</v>
      </c>
      <c r="I125" s="2"/>
      <c r="J125" s="6">
        <f t="shared" si="47"/>
        <v>1.2205839273508447E-3</v>
      </c>
      <c r="K125" s="2"/>
      <c r="L125" s="7">
        <f t="shared" si="48"/>
        <v>-400</v>
      </c>
      <c r="M125" s="2"/>
      <c r="N125" s="6">
        <f t="shared" si="49"/>
        <v>-1</v>
      </c>
      <c r="O125" s="11"/>
      <c r="P125" s="7"/>
      <c r="Q125" s="2"/>
      <c r="R125" s="6">
        <f t="shared" si="50"/>
        <v>0</v>
      </c>
      <c r="S125" s="2"/>
      <c r="T125" s="7">
        <v>1100</v>
      </c>
      <c r="U125" s="2"/>
      <c r="V125" s="6">
        <f t="shared" si="51"/>
        <v>8.6279382051378587E-4</v>
      </c>
      <c r="W125" s="2"/>
      <c r="X125" s="7">
        <f t="shared" si="52"/>
        <v>-1100</v>
      </c>
      <c r="Y125" s="2"/>
      <c r="Z125" s="6">
        <f t="shared" si="53"/>
        <v>-1</v>
      </c>
    </row>
    <row r="126" spans="1:26" s="27" customFormat="1" outlineLevel="1" collapsed="1" x14ac:dyDescent="0.25">
      <c r="A126" s="29"/>
      <c r="B126" s="14" t="str">
        <f>CONCATENATE("     ","Royalty &amp; Commissions                             ")</f>
        <v xml:space="preserve">     Royalty &amp; Commissions                             </v>
      </c>
      <c r="C126" s="14"/>
      <c r="D126" s="1">
        <f>SUM(OSRRefD22_15x_0)</f>
        <v>10489.6</v>
      </c>
      <c r="E126" s="1"/>
      <c r="F126" s="5">
        <f t="shared" ref="F126:F129" si="54">IF(D$12=0,0,D126/D$12)</f>
        <v>9.0889886645851584E-2</v>
      </c>
      <c r="G126" s="1"/>
      <c r="H126" s="1">
        <f>SUM(OSRRefH22_15x_0)</f>
        <v>6271</v>
      </c>
      <c r="I126" s="1"/>
      <c r="J126" s="5">
        <f t="shared" ref="J126:J129" si="55">IF(H$12=0,0,H126/H$12)</f>
        <v>1.9135704521042868E-2</v>
      </c>
      <c r="K126" s="1"/>
      <c r="L126" s="1">
        <f t="shared" ref="L126:L129" si="56">+D126-H126</f>
        <v>4218.6000000000004</v>
      </c>
      <c r="M126" s="1"/>
      <c r="N126" s="5">
        <f t="shared" ref="N126:N129" si="57">IF(H126=0,0,L126/H126)</f>
        <v>0.67271567533088827</v>
      </c>
      <c r="O126" s="14"/>
      <c r="P126" s="1">
        <f>SUM(OSRRefP22_15x_0)</f>
        <v>18411.8</v>
      </c>
      <c r="Q126" s="1"/>
      <c r="R126" s="5">
        <f t="shared" ref="R126:R129" si="58">IF(P$12=0,0,P126/P$12)</f>
        <v>2.5750146185274117E-2</v>
      </c>
      <c r="S126" s="1"/>
      <c r="T126" s="1">
        <f>SUM(OSRRefT22_15x_0)</f>
        <v>25084</v>
      </c>
      <c r="U126" s="1"/>
      <c r="V126" s="5">
        <f t="shared" ref="V126:V129" si="59">IF(T$12=0,0,T126/T$12)</f>
        <v>1.9674836539788913E-2</v>
      </c>
      <c r="W126" s="1"/>
      <c r="X126" s="1">
        <f t="shared" ref="X126:X129" si="60">+P126-T126</f>
        <v>-6672.2000000000007</v>
      </c>
      <c r="Y126" s="1"/>
      <c r="Z126" s="5">
        <f t="shared" ref="Z126:Z129" si="61">IF(T126=0,0,X126/T126)</f>
        <v>-0.26599425928878967</v>
      </c>
    </row>
    <row r="127" spans="1:26" s="24" customFormat="1" hidden="1" outlineLevel="2" x14ac:dyDescent="0.25">
      <c r="A127" s="28"/>
      <c r="B127" s="11" t="str">
        <f>CONCATENATE("          ", "6252", " - ", "ROYALTY DUE CSTV")</f>
        <v xml:space="preserve">          6252 - ROYALTY DUE CSTV</v>
      </c>
      <c r="C127" s="11"/>
      <c r="D127" s="7"/>
      <c r="E127" s="2"/>
      <c r="F127" s="6">
        <f t="shared" si="54"/>
        <v>0</v>
      </c>
      <c r="G127" s="2"/>
      <c r="H127" s="7">
        <v>1085</v>
      </c>
      <c r="I127" s="2"/>
      <c r="J127" s="6">
        <f t="shared" si="55"/>
        <v>3.3108339029391661E-3</v>
      </c>
      <c r="K127" s="2"/>
      <c r="L127" s="7">
        <f t="shared" si="56"/>
        <v>-1085</v>
      </c>
      <c r="M127" s="2"/>
      <c r="N127" s="6">
        <f t="shared" si="57"/>
        <v>-1</v>
      </c>
      <c r="O127" s="11"/>
      <c r="P127" s="7"/>
      <c r="Q127" s="2"/>
      <c r="R127" s="6">
        <f t="shared" si="58"/>
        <v>0</v>
      </c>
      <c r="S127" s="2"/>
      <c r="T127" s="7">
        <v>4340</v>
      </c>
      <c r="U127" s="2"/>
      <c r="V127" s="6">
        <f t="shared" si="59"/>
        <v>3.4041138009362096E-3</v>
      </c>
      <c r="W127" s="2"/>
      <c r="X127" s="7">
        <f t="shared" si="60"/>
        <v>-4340</v>
      </c>
      <c r="Y127" s="2"/>
      <c r="Z127" s="6">
        <f t="shared" si="61"/>
        <v>-1</v>
      </c>
    </row>
    <row r="128" spans="1:26" s="24" customFormat="1" hidden="1" outlineLevel="2" x14ac:dyDescent="0.25">
      <c r="A128" s="28"/>
      <c r="B128" s="11" t="str">
        <f>CONCATENATE("          ", "6253", " - ", "ROYALTY DUE ATHLETICS-LRG")</f>
        <v xml:space="preserve">          6253 - ROYALTY DUE ATHLETICS-LRG</v>
      </c>
      <c r="C128" s="11"/>
      <c r="D128" s="7">
        <v>10489.6</v>
      </c>
      <c r="E128" s="2"/>
      <c r="F128" s="6">
        <f t="shared" si="54"/>
        <v>9.0889886645851584E-2</v>
      </c>
      <c r="G128" s="2"/>
      <c r="H128" s="7">
        <v>4037</v>
      </c>
      <c r="I128" s="2"/>
      <c r="J128" s="6">
        <f t="shared" si="55"/>
        <v>1.23187432867884E-2</v>
      </c>
      <c r="K128" s="2"/>
      <c r="L128" s="7">
        <f t="shared" si="56"/>
        <v>6452.6</v>
      </c>
      <c r="M128" s="2"/>
      <c r="N128" s="6">
        <f t="shared" si="57"/>
        <v>1.598365122615804</v>
      </c>
      <c r="O128" s="11"/>
      <c r="P128" s="7">
        <v>18411.8</v>
      </c>
      <c r="Q128" s="2"/>
      <c r="R128" s="6">
        <f t="shared" si="58"/>
        <v>2.5750146185274117E-2</v>
      </c>
      <c r="S128" s="2"/>
      <c r="T128" s="7">
        <v>16148</v>
      </c>
      <c r="U128" s="2"/>
      <c r="V128" s="6">
        <f t="shared" si="59"/>
        <v>1.2665813285142376E-2</v>
      </c>
      <c r="W128" s="2"/>
      <c r="X128" s="7">
        <f t="shared" si="60"/>
        <v>2263.7999999999993</v>
      </c>
      <c r="Y128" s="2"/>
      <c r="Z128" s="6">
        <f t="shared" si="61"/>
        <v>0.14019073569482285</v>
      </c>
    </row>
    <row r="129" spans="1:26" s="24" customFormat="1" hidden="1" outlineLevel="2" x14ac:dyDescent="0.25">
      <c r="A129" s="28"/>
      <c r="B129" s="11" t="str">
        <f>CONCATENATE("          ", "6254", " - ", "ROYALTY &amp; COMMISSIONS")</f>
        <v xml:space="preserve">          6254 - ROYALTY &amp; COMMISSIONS</v>
      </c>
      <c r="C129" s="11"/>
      <c r="D129" s="7"/>
      <c r="E129" s="2"/>
      <c r="F129" s="6">
        <f t="shared" si="54"/>
        <v>0</v>
      </c>
      <c r="G129" s="2"/>
      <c r="H129" s="7">
        <v>1149</v>
      </c>
      <c r="I129" s="2"/>
      <c r="J129" s="6">
        <f t="shared" si="55"/>
        <v>3.5061273313153011E-3</v>
      </c>
      <c r="K129" s="2"/>
      <c r="L129" s="7">
        <f t="shared" si="56"/>
        <v>-1149</v>
      </c>
      <c r="M129" s="2"/>
      <c r="N129" s="6">
        <f t="shared" si="57"/>
        <v>-1</v>
      </c>
      <c r="O129" s="11"/>
      <c r="P129" s="7"/>
      <c r="Q129" s="2"/>
      <c r="R129" s="6">
        <f t="shared" si="58"/>
        <v>0</v>
      </c>
      <c r="S129" s="2"/>
      <c r="T129" s="7">
        <v>4596</v>
      </c>
      <c r="U129" s="2"/>
      <c r="V129" s="6">
        <f t="shared" si="59"/>
        <v>3.604909453710327E-3</v>
      </c>
      <c r="W129" s="2"/>
      <c r="X129" s="7">
        <f t="shared" si="60"/>
        <v>-4596</v>
      </c>
      <c r="Y129" s="2"/>
      <c r="Z129" s="6">
        <f t="shared" si="61"/>
        <v>-1</v>
      </c>
    </row>
    <row r="130" spans="1:26" s="27" customFormat="1" outlineLevel="1" collapsed="1" x14ac:dyDescent="0.25">
      <c r="A130" s="29"/>
      <c r="B130" s="14" t="str">
        <f>CONCATENATE("     ","Services                                          ")</f>
        <v xml:space="preserve">     Services                                          </v>
      </c>
      <c r="C130" s="14"/>
      <c r="D130" s="1">
        <f>SUM(OSRRefD22_16x_0)</f>
        <v>96.860000000000014</v>
      </c>
      <c r="E130" s="1"/>
      <c r="F130" s="5">
        <f t="shared" ref="F130:F133" si="62">IF(D$12=0,0,D130/D$12)</f>
        <v>8.3926883966187324E-4</v>
      </c>
      <c r="G130" s="1"/>
      <c r="H130" s="1">
        <f>SUM(OSRRefH22_16x_0)</f>
        <v>155</v>
      </c>
      <c r="I130" s="1"/>
      <c r="J130" s="5">
        <f t="shared" ref="J130:J133" si="63">IF(H$12=0,0,H130/H$12)</f>
        <v>4.7297627184845228E-4</v>
      </c>
      <c r="K130" s="1"/>
      <c r="L130" s="1">
        <f t="shared" ref="L130:L133" si="64">+D130-H130</f>
        <v>-58.139999999999986</v>
      </c>
      <c r="M130" s="1"/>
      <c r="N130" s="5">
        <f t="shared" ref="N130:N133" si="65">IF(H130=0,0,L130/H130)</f>
        <v>-0.37509677419354831</v>
      </c>
      <c r="O130" s="14"/>
      <c r="P130" s="1">
        <f>SUM(OSRRefP22_16x_0)</f>
        <v>-12.170000000000073</v>
      </c>
      <c r="Q130" s="1"/>
      <c r="R130" s="5">
        <f t="shared" ref="R130:R133" si="66">IF(P$12=0,0,P130/P$12)</f>
        <v>-1.7020567194667979E-5</v>
      </c>
      <c r="S130" s="1"/>
      <c r="T130" s="1">
        <f>SUM(OSRRefT22_16x_0)</f>
        <v>675</v>
      </c>
      <c r="U130" s="1"/>
      <c r="V130" s="5">
        <f t="shared" ref="V130:V133" si="67">IF(T$12=0,0,T130/T$12)</f>
        <v>5.2944166258800493E-4</v>
      </c>
      <c r="W130" s="1"/>
      <c r="X130" s="1">
        <f t="shared" ref="X130:X133" si="68">+P130-T130</f>
        <v>-687.17000000000007</v>
      </c>
      <c r="Y130" s="1"/>
      <c r="Z130" s="5">
        <f t="shared" ref="Z130:Z133" si="69">IF(T130=0,0,X130/T130)</f>
        <v>-1.0180296296296298</v>
      </c>
    </row>
    <row r="131" spans="1:26" s="24" customFormat="1" hidden="1" outlineLevel="2" x14ac:dyDescent="0.25">
      <c r="A131" s="28"/>
      <c r="B131" s="11" t="str">
        <f>CONCATENATE("          ", "6283", " - ", "PLANT SERVICE")</f>
        <v xml:space="preserve">          6283 - PLANT SERVICE</v>
      </c>
      <c r="C131" s="11"/>
      <c r="D131" s="7"/>
      <c r="E131" s="2"/>
      <c r="F131" s="6">
        <f t="shared" si="62"/>
        <v>0</v>
      </c>
      <c r="G131" s="2"/>
      <c r="H131" s="7">
        <v>0</v>
      </c>
      <c r="I131" s="2"/>
      <c r="J131" s="6">
        <f t="shared" si="63"/>
        <v>0</v>
      </c>
      <c r="K131" s="2"/>
      <c r="L131" s="7">
        <f t="shared" si="64"/>
        <v>0</v>
      </c>
      <c r="M131" s="2"/>
      <c r="N131" s="6">
        <f t="shared" si="65"/>
        <v>0</v>
      </c>
      <c r="O131" s="11"/>
      <c r="P131" s="7"/>
      <c r="Q131" s="2"/>
      <c r="R131" s="6">
        <f t="shared" si="66"/>
        <v>0</v>
      </c>
      <c r="S131" s="2"/>
      <c r="T131" s="7">
        <v>0</v>
      </c>
      <c r="U131" s="2"/>
      <c r="V131" s="6">
        <f t="shared" si="67"/>
        <v>0</v>
      </c>
      <c r="W131" s="2"/>
      <c r="X131" s="7">
        <f t="shared" si="68"/>
        <v>0</v>
      </c>
      <c r="Y131" s="2"/>
      <c r="Z131" s="6">
        <f t="shared" si="69"/>
        <v>0</v>
      </c>
    </row>
    <row r="132" spans="1:26" s="24" customFormat="1" hidden="1" outlineLevel="2" x14ac:dyDescent="0.25">
      <c r="A132" s="28"/>
      <c r="B132" s="11" t="str">
        <f>CONCATENATE("          ", "6284", " - ", "TRASH REMOVAL EXPENSE")</f>
        <v xml:space="preserve">          6284 - TRASH REMOVAL EXPENSE</v>
      </c>
      <c r="C132" s="11"/>
      <c r="D132" s="7">
        <v>157.59</v>
      </c>
      <c r="E132" s="2"/>
      <c r="F132" s="6">
        <f t="shared" si="62"/>
        <v>1.365479831120324E-3</v>
      </c>
      <c r="G132" s="2"/>
      <c r="H132" s="7">
        <v>55</v>
      </c>
      <c r="I132" s="2"/>
      <c r="J132" s="6">
        <f t="shared" si="63"/>
        <v>1.6783029001074114E-4</v>
      </c>
      <c r="K132" s="2"/>
      <c r="L132" s="7">
        <f t="shared" si="64"/>
        <v>102.59</v>
      </c>
      <c r="M132" s="2"/>
      <c r="N132" s="6">
        <f t="shared" si="65"/>
        <v>1.8652727272727274</v>
      </c>
      <c r="O132" s="11"/>
      <c r="P132" s="7">
        <v>585.29999999999995</v>
      </c>
      <c r="Q132" s="2"/>
      <c r="R132" s="6">
        <f t="shared" si="66"/>
        <v>8.1858159236147137E-4</v>
      </c>
      <c r="S132" s="2"/>
      <c r="T132" s="7">
        <v>275</v>
      </c>
      <c r="U132" s="2"/>
      <c r="V132" s="6">
        <f t="shared" si="67"/>
        <v>2.1569845512844647E-4</v>
      </c>
      <c r="W132" s="2"/>
      <c r="X132" s="7">
        <f t="shared" si="68"/>
        <v>310.29999999999995</v>
      </c>
      <c r="Y132" s="2"/>
      <c r="Z132" s="6">
        <f t="shared" si="69"/>
        <v>1.1283636363636362</v>
      </c>
    </row>
    <row r="133" spans="1:26" s="24" customFormat="1" hidden="1" outlineLevel="2" x14ac:dyDescent="0.25">
      <c r="A133" s="28"/>
      <c r="B133" s="11" t="str">
        <f>CONCATENATE("          ", "6285", " - ", "JANITORIAL SERVICES")</f>
        <v xml:space="preserve">          6285 - JANITORIAL SERVICES</v>
      </c>
      <c r="C133" s="11"/>
      <c r="D133" s="7">
        <v>-60.73</v>
      </c>
      <c r="E133" s="2"/>
      <c r="F133" s="6">
        <f t="shared" si="62"/>
        <v>-5.2621099145845087E-4</v>
      </c>
      <c r="G133" s="2"/>
      <c r="H133" s="7">
        <v>100</v>
      </c>
      <c r="I133" s="2"/>
      <c r="J133" s="6">
        <f t="shared" si="63"/>
        <v>3.0514598183771117E-4</v>
      </c>
      <c r="K133" s="2"/>
      <c r="L133" s="7">
        <f t="shared" si="64"/>
        <v>-160.72999999999999</v>
      </c>
      <c r="M133" s="2"/>
      <c r="N133" s="6">
        <f t="shared" si="65"/>
        <v>-1.6073</v>
      </c>
      <c r="O133" s="11"/>
      <c r="P133" s="7">
        <v>-597.47</v>
      </c>
      <c r="Q133" s="2"/>
      <c r="R133" s="6">
        <f t="shared" si="66"/>
        <v>-8.3560215955613942E-4</v>
      </c>
      <c r="S133" s="2"/>
      <c r="T133" s="7">
        <v>400</v>
      </c>
      <c r="U133" s="2"/>
      <c r="V133" s="6">
        <f t="shared" si="67"/>
        <v>3.1374320745955849E-4</v>
      </c>
      <c r="W133" s="2"/>
      <c r="X133" s="7">
        <f t="shared" si="68"/>
        <v>-997.47</v>
      </c>
      <c r="Y133" s="2"/>
      <c r="Z133" s="6">
        <f t="shared" si="69"/>
        <v>-2.4936750000000001</v>
      </c>
    </row>
    <row r="134" spans="1:26" s="27" customFormat="1" outlineLevel="1" collapsed="1" x14ac:dyDescent="0.25">
      <c r="A134" s="29"/>
      <c r="B134" s="14" t="str">
        <f>CONCATENATE("     ","Subscriptions &amp; Dues                              ")</f>
        <v xml:space="preserve">     Subscriptions &amp; Dues                              </v>
      </c>
      <c r="C134" s="14"/>
      <c r="D134" s="1">
        <f>SUM(OSRRefD22_17x_0)</f>
        <v>75</v>
      </c>
      <c r="E134" s="1"/>
      <c r="F134" s="5">
        <f t="shared" ref="F134:F136" si="70">IF(D$12=0,0,D134/D$12)</f>
        <v>6.4985714407020943E-4</v>
      </c>
      <c r="G134" s="1"/>
      <c r="H134" s="1">
        <f>SUM(OSRRefH22_17x_0)</f>
        <v>0</v>
      </c>
      <c r="I134" s="1"/>
      <c r="J134" s="5">
        <f t="shared" ref="J134:J136" si="71">IF(H$12=0,0,H134/H$12)</f>
        <v>0</v>
      </c>
      <c r="K134" s="1"/>
      <c r="L134" s="1">
        <f t="shared" ref="L134:L136" si="72">+D134-H134</f>
        <v>75</v>
      </c>
      <c r="M134" s="1"/>
      <c r="N134" s="5">
        <f t="shared" ref="N134:N136" si="73">IF(H134=0,0,L134/H134)</f>
        <v>0</v>
      </c>
      <c r="O134" s="14"/>
      <c r="P134" s="1">
        <f>SUM(OSRRefP22_17x_0)</f>
        <v>225.73</v>
      </c>
      <c r="Q134" s="1"/>
      <c r="R134" s="5">
        <f t="shared" ref="R134:R136" si="74">IF(P$12=0,0,P134/P$12)</f>
        <v>3.1569865512344941E-4</v>
      </c>
      <c r="S134" s="1"/>
      <c r="T134" s="1">
        <f>SUM(OSRRefT22_17x_0)</f>
        <v>1395</v>
      </c>
      <c r="U134" s="1"/>
      <c r="V134" s="5">
        <f t="shared" ref="V134:V136" si="75">IF(T$12=0,0,T134/T$12)</f>
        <v>1.0941794360152103E-3</v>
      </c>
      <c r="W134" s="1"/>
      <c r="X134" s="1">
        <f t="shared" ref="X134:X136" si="76">+P134-T134</f>
        <v>-1169.27</v>
      </c>
      <c r="Y134" s="1"/>
      <c r="Z134" s="5">
        <f t="shared" ref="Z134:Z136" si="77">IF(T134=0,0,X134/T134)</f>
        <v>-0.83818637992831535</v>
      </c>
    </row>
    <row r="135" spans="1:26" s="24" customFormat="1" hidden="1" outlineLevel="2" x14ac:dyDescent="0.25">
      <c r="A135" s="28"/>
      <c r="B135" s="11" t="str">
        <f>CONCATENATE("          ", "6258", " - ", "MEMBERSHIP DUES")</f>
        <v xml:space="preserve">          6258 - MEMBERSHIP DUES</v>
      </c>
      <c r="C135" s="11"/>
      <c r="D135" s="7"/>
      <c r="E135" s="2"/>
      <c r="F135" s="6">
        <f t="shared" si="70"/>
        <v>0</v>
      </c>
      <c r="G135" s="2"/>
      <c r="H135" s="7">
        <v>0</v>
      </c>
      <c r="I135" s="2"/>
      <c r="J135" s="6">
        <f t="shared" si="71"/>
        <v>0</v>
      </c>
      <c r="K135" s="2"/>
      <c r="L135" s="7">
        <f t="shared" si="72"/>
        <v>0</v>
      </c>
      <c r="M135" s="2"/>
      <c r="N135" s="6">
        <f t="shared" si="73"/>
        <v>0</v>
      </c>
      <c r="O135" s="11"/>
      <c r="P135" s="7"/>
      <c r="Q135" s="2"/>
      <c r="R135" s="6">
        <f t="shared" si="74"/>
        <v>0</v>
      </c>
      <c r="S135" s="2"/>
      <c r="T135" s="7">
        <v>1395</v>
      </c>
      <c r="U135" s="2"/>
      <c r="V135" s="6">
        <f t="shared" si="75"/>
        <v>1.0941794360152103E-3</v>
      </c>
      <c r="W135" s="2"/>
      <c r="X135" s="7">
        <f t="shared" si="76"/>
        <v>-1395</v>
      </c>
      <c r="Y135" s="2"/>
      <c r="Z135" s="6">
        <f t="shared" si="77"/>
        <v>-1</v>
      </c>
    </row>
    <row r="136" spans="1:26" s="24" customFormat="1" hidden="1" outlineLevel="2" x14ac:dyDescent="0.25">
      <c r="A136" s="28"/>
      <c r="B136" s="11" t="str">
        <f>CONCATENATE("          ", "6275", " - ", "SUBSCRIPTIONS")</f>
        <v xml:space="preserve">          6275 - SUBSCRIPTIONS</v>
      </c>
      <c r="C136" s="11"/>
      <c r="D136" s="7">
        <v>75</v>
      </c>
      <c r="E136" s="2"/>
      <c r="F136" s="6">
        <f t="shared" si="70"/>
        <v>6.4985714407020943E-4</v>
      </c>
      <c r="G136" s="2"/>
      <c r="H136" s="7">
        <v>0</v>
      </c>
      <c r="I136" s="2"/>
      <c r="J136" s="6">
        <f t="shared" si="71"/>
        <v>0</v>
      </c>
      <c r="K136" s="2"/>
      <c r="L136" s="7">
        <f t="shared" si="72"/>
        <v>75</v>
      </c>
      <c r="M136" s="2"/>
      <c r="N136" s="6">
        <f t="shared" si="73"/>
        <v>0</v>
      </c>
      <c r="O136" s="11"/>
      <c r="P136" s="7">
        <v>225.73</v>
      </c>
      <c r="Q136" s="2"/>
      <c r="R136" s="6">
        <f t="shared" si="74"/>
        <v>3.1569865512344941E-4</v>
      </c>
      <c r="S136" s="2"/>
      <c r="T136" s="7">
        <v>0</v>
      </c>
      <c r="U136" s="2"/>
      <c r="V136" s="6">
        <f t="shared" si="75"/>
        <v>0</v>
      </c>
      <c r="W136" s="2"/>
      <c r="X136" s="7">
        <f t="shared" si="76"/>
        <v>225.73</v>
      </c>
      <c r="Y136" s="2"/>
      <c r="Z136" s="6">
        <f t="shared" si="77"/>
        <v>0</v>
      </c>
    </row>
    <row r="137" spans="1:26" s="27" customFormat="1" outlineLevel="1" collapsed="1" x14ac:dyDescent="0.25">
      <c r="A137" s="29"/>
      <c r="B137" s="14" t="str">
        <f>CONCATENATE("     ","Supplies                                          ")</f>
        <v xml:space="preserve">     Supplies                                          </v>
      </c>
      <c r="C137" s="14"/>
      <c r="D137" s="1">
        <f>SUM(OSRRefD22_18x_0)</f>
        <v>259.3</v>
      </c>
      <c r="E137" s="1"/>
      <c r="F137" s="5">
        <f t="shared" ref="F137:F145" si="78">IF(D$12=0,0,D137/D$12)</f>
        <v>2.2467727660987371E-3</v>
      </c>
      <c r="G137" s="1"/>
      <c r="H137" s="1">
        <f>SUM(OSRRefH22_18x_0)</f>
        <v>645</v>
      </c>
      <c r="I137" s="1"/>
      <c r="J137" s="5">
        <f t="shared" ref="J137:J145" si="79">IF(H$12=0,0,H137/H$12)</f>
        <v>1.9681915828532368E-3</v>
      </c>
      <c r="K137" s="1"/>
      <c r="L137" s="1">
        <f t="shared" ref="L137:L145" si="80">+D137-H137</f>
        <v>-385.7</v>
      </c>
      <c r="M137" s="1"/>
      <c r="N137" s="5">
        <f t="shared" ref="N137:N145" si="81">IF(H137=0,0,L137/H137)</f>
        <v>-0.59798449612403104</v>
      </c>
      <c r="O137" s="14"/>
      <c r="P137" s="1">
        <f>SUM(OSRRefP22_18x_0)</f>
        <v>1769.01</v>
      </c>
      <c r="Q137" s="1"/>
      <c r="R137" s="5">
        <f t="shared" ref="R137:R145" si="82">IF(P$12=0,0,P137/P$12)</f>
        <v>2.4740799977846688E-3</v>
      </c>
      <c r="S137" s="1"/>
      <c r="T137" s="1">
        <f>SUM(OSRRefT22_18x_0)</f>
        <v>2540</v>
      </c>
      <c r="U137" s="1"/>
      <c r="V137" s="5">
        <f t="shared" ref="V137:V145" si="83">IF(T$12=0,0,T137/T$12)</f>
        <v>1.9922693673681963E-3</v>
      </c>
      <c r="W137" s="1"/>
      <c r="X137" s="1">
        <f t="shared" ref="X137:X145" si="84">+P137-T137</f>
        <v>-770.99</v>
      </c>
      <c r="Y137" s="1"/>
      <c r="Z137" s="5">
        <f t="shared" ref="Z137:Z145" si="85">IF(T137=0,0,X137/T137)</f>
        <v>-0.30353937007874016</v>
      </c>
    </row>
    <row r="138" spans="1:26" s="24" customFormat="1" hidden="1" outlineLevel="2" x14ac:dyDescent="0.25">
      <c r="A138" s="28"/>
      <c r="B138" s="11" t="str">
        <f>CONCATENATE("          ", "6234", " - ", "EXPENDABLE SUPPLIES &amp; EQUIPMEN")</f>
        <v xml:space="preserve">          6234 - EXPENDABLE SUPPLIES &amp; EQUIPMEN</v>
      </c>
      <c r="C138" s="11"/>
      <c r="D138" s="7"/>
      <c r="E138" s="2"/>
      <c r="F138" s="6">
        <f t="shared" si="78"/>
        <v>0</v>
      </c>
      <c r="G138" s="2"/>
      <c r="H138" s="7">
        <v>50</v>
      </c>
      <c r="I138" s="2"/>
      <c r="J138" s="6">
        <f t="shared" si="79"/>
        <v>1.5257299091885559E-4</v>
      </c>
      <c r="K138" s="2"/>
      <c r="L138" s="7">
        <f t="shared" si="80"/>
        <v>-50</v>
      </c>
      <c r="M138" s="2"/>
      <c r="N138" s="6">
        <f t="shared" si="81"/>
        <v>-1</v>
      </c>
      <c r="O138" s="11"/>
      <c r="P138" s="7"/>
      <c r="Q138" s="2"/>
      <c r="R138" s="6">
        <f t="shared" si="82"/>
        <v>0</v>
      </c>
      <c r="S138" s="2"/>
      <c r="T138" s="7">
        <v>200</v>
      </c>
      <c r="U138" s="2"/>
      <c r="V138" s="6">
        <f t="shared" si="83"/>
        <v>1.5687160372977925E-4</v>
      </c>
      <c r="W138" s="2"/>
      <c r="X138" s="7">
        <f t="shared" si="84"/>
        <v>-200</v>
      </c>
      <c r="Y138" s="2"/>
      <c r="Z138" s="6">
        <f t="shared" si="85"/>
        <v>-1</v>
      </c>
    </row>
    <row r="139" spans="1:26" s="24" customFormat="1" hidden="1" outlineLevel="2" x14ac:dyDescent="0.25">
      <c r="A139" s="28"/>
      <c r="B139" s="11" t="str">
        <f>CONCATENATE("          ", "6235", " - ", "COVID-19 EXPENSES")</f>
        <v xml:space="preserve">          6235 - COVID-19 EXPENSES</v>
      </c>
      <c r="C139" s="11"/>
      <c r="D139" s="7"/>
      <c r="E139" s="2"/>
      <c r="F139" s="6">
        <f t="shared" si="78"/>
        <v>0</v>
      </c>
      <c r="G139" s="2"/>
      <c r="H139" s="7">
        <v>200</v>
      </c>
      <c r="I139" s="2"/>
      <c r="J139" s="6">
        <f t="shared" si="79"/>
        <v>6.1029196367542234E-4</v>
      </c>
      <c r="K139" s="2"/>
      <c r="L139" s="7">
        <f t="shared" si="80"/>
        <v>-200</v>
      </c>
      <c r="M139" s="2"/>
      <c r="N139" s="6">
        <f t="shared" si="81"/>
        <v>-1</v>
      </c>
      <c r="O139" s="11"/>
      <c r="P139" s="7">
        <v>1227.08</v>
      </c>
      <c r="Q139" s="2"/>
      <c r="R139" s="6">
        <f t="shared" si="82"/>
        <v>1.7161542804628642E-3</v>
      </c>
      <c r="S139" s="2"/>
      <c r="T139" s="7">
        <v>800</v>
      </c>
      <c r="U139" s="2"/>
      <c r="V139" s="6">
        <f t="shared" si="83"/>
        <v>6.2748641491911698E-4</v>
      </c>
      <c r="W139" s="2"/>
      <c r="X139" s="7">
        <f t="shared" si="84"/>
        <v>427.07999999999993</v>
      </c>
      <c r="Y139" s="2"/>
      <c r="Z139" s="6">
        <f t="shared" si="85"/>
        <v>0.53384999999999994</v>
      </c>
    </row>
    <row r="140" spans="1:26" s="24" customFormat="1" hidden="1" outlineLevel="2" x14ac:dyDescent="0.25">
      <c r="A140" s="28"/>
      <c r="B140" s="11" t="str">
        <f>CONCATENATE("          ", "6237", " - ", "JANITORIAL SUPPLIES")</f>
        <v xml:space="preserve">          6237 - JANITORIAL SUPPLIES</v>
      </c>
      <c r="C140" s="11"/>
      <c r="D140" s="7">
        <v>52.43</v>
      </c>
      <c r="E140" s="2"/>
      <c r="F140" s="6">
        <f t="shared" si="78"/>
        <v>4.5429346751468103E-4</v>
      </c>
      <c r="G140" s="2"/>
      <c r="H140" s="7">
        <v>70</v>
      </c>
      <c r="I140" s="2"/>
      <c r="J140" s="6">
        <f t="shared" si="79"/>
        <v>2.1360218728639781E-4</v>
      </c>
      <c r="K140" s="2"/>
      <c r="L140" s="7">
        <f t="shared" si="80"/>
        <v>-17.57</v>
      </c>
      <c r="M140" s="2"/>
      <c r="N140" s="6">
        <f t="shared" si="81"/>
        <v>-0.251</v>
      </c>
      <c r="O140" s="11"/>
      <c r="P140" s="7">
        <v>191.74</v>
      </c>
      <c r="Q140" s="2"/>
      <c r="R140" s="6">
        <f t="shared" si="82"/>
        <v>2.6816134378846498E-4</v>
      </c>
      <c r="S140" s="2"/>
      <c r="T140" s="7">
        <v>290</v>
      </c>
      <c r="U140" s="2"/>
      <c r="V140" s="6">
        <f t="shared" si="83"/>
        <v>2.2746382540817992E-4</v>
      </c>
      <c r="W140" s="2"/>
      <c r="X140" s="7">
        <f t="shared" si="84"/>
        <v>-98.259999999999991</v>
      </c>
      <c r="Y140" s="2"/>
      <c r="Z140" s="6">
        <f t="shared" si="85"/>
        <v>-0.33882758620689651</v>
      </c>
    </row>
    <row r="141" spans="1:26" s="24" customFormat="1" hidden="1" outlineLevel="2" x14ac:dyDescent="0.25">
      <c r="A141" s="28"/>
      <c r="B141" s="11" t="str">
        <f>CONCATENATE("          ", "6241", " - ", "OFFICE EXPENSE")</f>
        <v xml:space="preserve">          6241 - OFFICE EXPENSE</v>
      </c>
      <c r="C141" s="11"/>
      <c r="D141" s="7">
        <v>20.16</v>
      </c>
      <c r="E141" s="2"/>
      <c r="F141" s="6">
        <f t="shared" si="78"/>
        <v>1.7468160032607229E-4</v>
      </c>
      <c r="G141" s="2"/>
      <c r="H141" s="7">
        <v>125</v>
      </c>
      <c r="I141" s="2"/>
      <c r="J141" s="6">
        <f t="shared" si="79"/>
        <v>3.8143247729713895E-4</v>
      </c>
      <c r="K141" s="2"/>
      <c r="L141" s="7">
        <f t="shared" si="80"/>
        <v>-104.84</v>
      </c>
      <c r="M141" s="2"/>
      <c r="N141" s="6">
        <f t="shared" si="81"/>
        <v>-0.83872000000000002</v>
      </c>
      <c r="O141" s="11"/>
      <c r="P141" s="7">
        <v>163.47999999999999</v>
      </c>
      <c r="Q141" s="2"/>
      <c r="R141" s="6">
        <f t="shared" si="82"/>
        <v>2.2863782456732164E-4</v>
      </c>
      <c r="S141" s="2"/>
      <c r="T141" s="7">
        <v>500</v>
      </c>
      <c r="U141" s="2"/>
      <c r="V141" s="6">
        <f t="shared" si="83"/>
        <v>3.921790093244481E-4</v>
      </c>
      <c r="W141" s="2"/>
      <c r="X141" s="7">
        <f t="shared" si="84"/>
        <v>-336.52</v>
      </c>
      <c r="Y141" s="2"/>
      <c r="Z141" s="6">
        <f t="shared" si="85"/>
        <v>-0.67303999999999997</v>
      </c>
    </row>
    <row r="142" spans="1:26" s="24" customFormat="1" hidden="1" outlineLevel="2" x14ac:dyDescent="0.25">
      <c r="A142" s="28"/>
      <c r="B142" s="11" t="str">
        <f>CONCATENATE("          ", "6243", " - ", "PAPER SUPPLIES")</f>
        <v xml:space="preserve">          6243 - PAPER SUPPLIES</v>
      </c>
      <c r="C142" s="11"/>
      <c r="D142" s="7"/>
      <c r="E142" s="2"/>
      <c r="F142" s="6">
        <f t="shared" si="78"/>
        <v>0</v>
      </c>
      <c r="G142" s="2"/>
      <c r="H142" s="7">
        <v>50</v>
      </c>
      <c r="I142" s="2"/>
      <c r="J142" s="6">
        <f t="shared" si="79"/>
        <v>1.5257299091885559E-4</v>
      </c>
      <c r="K142" s="2"/>
      <c r="L142" s="7">
        <f t="shared" si="80"/>
        <v>-50</v>
      </c>
      <c r="M142" s="2"/>
      <c r="N142" s="6">
        <f t="shared" si="81"/>
        <v>-1</v>
      </c>
      <c r="O142" s="11"/>
      <c r="P142" s="7"/>
      <c r="Q142" s="2"/>
      <c r="R142" s="6">
        <f t="shared" si="82"/>
        <v>0</v>
      </c>
      <c r="S142" s="2"/>
      <c r="T142" s="7">
        <v>200</v>
      </c>
      <c r="U142" s="2"/>
      <c r="V142" s="6">
        <f t="shared" si="83"/>
        <v>1.5687160372977925E-4</v>
      </c>
      <c r="W142" s="2"/>
      <c r="X142" s="7">
        <f t="shared" si="84"/>
        <v>-200</v>
      </c>
      <c r="Y142" s="2"/>
      <c r="Z142" s="6">
        <f t="shared" si="85"/>
        <v>-1</v>
      </c>
    </row>
    <row r="143" spans="1:26" s="24" customFormat="1" hidden="1" outlineLevel="2" x14ac:dyDescent="0.25">
      <c r="A143" s="28"/>
      <c r="B143" s="11" t="str">
        <f>CONCATENATE("          ", "6244", " - ", "SAFETY SUPPLY EXPENSE")</f>
        <v xml:space="preserve">          6244 - SAFETY SUPPLY EXPENSE</v>
      </c>
      <c r="C143" s="11"/>
      <c r="D143" s="7"/>
      <c r="E143" s="2"/>
      <c r="F143" s="6">
        <f t="shared" si="78"/>
        <v>0</v>
      </c>
      <c r="G143" s="2"/>
      <c r="H143" s="7">
        <v>25</v>
      </c>
      <c r="I143" s="2"/>
      <c r="J143" s="6">
        <f t="shared" si="79"/>
        <v>7.6286495459427793E-5</v>
      </c>
      <c r="K143" s="2"/>
      <c r="L143" s="7">
        <f t="shared" si="80"/>
        <v>-25</v>
      </c>
      <c r="M143" s="2"/>
      <c r="N143" s="6">
        <f t="shared" si="81"/>
        <v>-1</v>
      </c>
      <c r="O143" s="11"/>
      <c r="P143" s="7"/>
      <c r="Q143" s="2"/>
      <c r="R143" s="6">
        <f t="shared" si="82"/>
        <v>0</v>
      </c>
      <c r="S143" s="2"/>
      <c r="T143" s="7">
        <v>50</v>
      </c>
      <c r="U143" s="2"/>
      <c r="V143" s="6">
        <f t="shared" si="83"/>
        <v>3.9217900932444812E-5</v>
      </c>
      <c r="W143" s="2"/>
      <c r="X143" s="7">
        <f t="shared" si="84"/>
        <v>-50</v>
      </c>
      <c r="Y143" s="2"/>
      <c r="Z143" s="6">
        <f t="shared" si="85"/>
        <v>-1</v>
      </c>
    </row>
    <row r="144" spans="1:26" s="24" customFormat="1" hidden="1" outlineLevel="2" x14ac:dyDescent="0.25">
      <c r="A144" s="28"/>
      <c r="B144" s="11" t="str">
        <f>CONCATENATE("          ", "6245", " - ", "PRINTING")</f>
        <v xml:space="preserve">          6245 - PRINTING</v>
      </c>
      <c r="C144" s="11"/>
      <c r="D144" s="7"/>
      <c r="E144" s="2"/>
      <c r="F144" s="6">
        <f t="shared" si="78"/>
        <v>0</v>
      </c>
      <c r="G144" s="2"/>
      <c r="H144" s="7">
        <v>50</v>
      </c>
      <c r="I144" s="2"/>
      <c r="J144" s="6">
        <f t="shared" si="79"/>
        <v>1.5257299091885559E-4</v>
      </c>
      <c r="K144" s="2"/>
      <c r="L144" s="7">
        <f t="shared" si="80"/>
        <v>-50</v>
      </c>
      <c r="M144" s="2"/>
      <c r="N144" s="6">
        <f t="shared" si="81"/>
        <v>-1</v>
      </c>
      <c r="O144" s="11"/>
      <c r="P144" s="7"/>
      <c r="Q144" s="2"/>
      <c r="R144" s="6">
        <f t="shared" si="82"/>
        <v>0</v>
      </c>
      <c r="S144" s="2"/>
      <c r="T144" s="7">
        <v>200</v>
      </c>
      <c r="U144" s="2"/>
      <c r="V144" s="6">
        <f t="shared" si="83"/>
        <v>1.5687160372977925E-4</v>
      </c>
      <c r="W144" s="2"/>
      <c r="X144" s="7">
        <f t="shared" si="84"/>
        <v>-200</v>
      </c>
      <c r="Y144" s="2"/>
      <c r="Z144" s="6">
        <f t="shared" si="85"/>
        <v>-1</v>
      </c>
    </row>
    <row r="145" spans="1:26" s="24" customFormat="1" hidden="1" outlineLevel="2" x14ac:dyDescent="0.25">
      <c r="A145" s="28"/>
      <c r="B145" s="11" t="str">
        <f>CONCATENATE("          ", "6247", " - ", "STORE SUPPLIES")</f>
        <v xml:space="preserve">          6247 - STORE SUPPLIES</v>
      </c>
      <c r="C145" s="11"/>
      <c r="D145" s="7">
        <v>186.71</v>
      </c>
      <c r="E145" s="2"/>
      <c r="F145" s="6">
        <f t="shared" si="78"/>
        <v>1.617797698257984E-3</v>
      </c>
      <c r="G145" s="2"/>
      <c r="H145" s="7">
        <v>75</v>
      </c>
      <c r="I145" s="2"/>
      <c r="J145" s="6">
        <f t="shared" si="79"/>
        <v>2.2885948637828336E-4</v>
      </c>
      <c r="K145" s="2"/>
      <c r="L145" s="7">
        <f t="shared" si="80"/>
        <v>111.71000000000001</v>
      </c>
      <c r="M145" s="2"/>
      <c r="N145" s="6">
        <f t="shared" si="81"/>
        <v>1.4894666666666667</v>
      </c>
      <c r="O145" s="11"/>
      <c r="P145" s="7">
        <v>186.71</v>
      </c>
      <c r="Q145" s="2"/>
      <c r="R145" s="6">
        <f t="shared" si="82"/>
        <v>2.6112654896601802E-4</v>
      </c>
      <c r="S145" s="2"/>
      <c r="T145" s="7">
        <v>300</v>
      </c>
      <c r="U145" s="2"/>
      <c r="V145" s="6">
        <f t="shared" si="83"/>
        <v>2.3530740559466888E-4</v>
      </c>
      <c r="W145" s="2"/>
      <c r="X145" s="7">
        <f t="shared" si="84"/>
        <v>-113.28999999999999</v>
      </c>
      <c r="Y145" s="2"/>
      <c r="Z145" s="6">
        <f t="shared" si="85"/>
        <v>-0.37763333333333332</v>
      </c>
    </row>
    <row r="146" spans="1:26" s="27" customFormat="1" outlineLevel="1" collapsed="1" x14ac:dyDescent="0.25">
      <c r="A146" s="29"/>
      <c r="B146" s="14" t="str">
        <f>CONCATENATE("     ","Telephone/Data Lines                              ")</f>
        <v xml:space="preserve">     Telephone/Data Lines                              </v>
      </c>
      <c r="C146" s="14"/>
      <c r="D146" s="1">
        <f>SUM(OSRRefD22_19x_0)</f>
        <v>556.03</v>
      </c>
      <c r="E146" s="1"/>
      <c r="F146" s="5">
        <f t="shared" ref="F146:F148" si="86">IF(D$12=0,0,D146/D$12)</f>
        <v>4.8178675708981135E-3</v>
      </c>
      <c r="G146" s="1"/>
      <c r="H146" s="1">
        <f>SUM(OSRRefH22_19x_0)</f>
        <v>830</v>
      </c>
      <c r="I146" s="1"/>
      <c r="J146" s="5">
        <f t="shared" ref="J146:J148" si="87">IF(H$12=0,0,H146/H$12)</f>
        <v>2.5327116492530025E-3</v>
      </c>
      <c r="K146" s="1"/>
      <c r="L146" s="1">
        <f t="shared" ref="L146:L148" si="88">+D146-H146</f>
        <v>-273.97000000000003</v>
      </c>
      <c r="M146" s="1"/>
      <c r="N146" s="5">
        <f t="shared" ref="N146:N148" si="89">IF(H146=0,0,L146/H146)</f>
        <v>-0.33008433734939763</v>
      </c>
      <c r="O146" s="14"/>
      <c r="P146" s="1">
        <f>SUM(OSRRefP22_19x_0)</f>
        <v>3373.09</v>
      </c>
      <c r="Q146" s="1"/>
      <c r="R146" s="5">
        <f t="shared" ref="R146:R148" si="90">IF(P$12=0,0,P146/P$12)</f>
        <v>4.7174942480412707E-3</v>
      </c>
      <c r="S146" s="1"/>
      <c r="T146" s="1">
        <f>SUM(OSRRefT22_19x_0)</f>
        <v>3320</v>
      </c>
      <c r="U146" s="1"/>
      <c r="V146" s="5">
        <f t="shared" ref="V146:V148" si="91">IF(T$12=0,0,T146/T$12)</f>
        <v>2.6040686219143357E-3</v>
      </c>
      <c r="W146" s="1"/>
      <c r="X146" s="1">
        <f t="shared" ref="X146:X148" si="92">+P146-T146</f>
        <v>53.090000000000146</v>
      </c>
      <c r="Y146" s="1"/>
      <c r="Z146" s="5">
        <f t="shared" ref="Z146:Z148" si="93">IF(T146=0,0,X146/T146)</f>
        <v>1.599096385542173E-2</v>
      </c>
    </row>
    <row r="147" spans="1:26" s="24" customFormat="1" hidden="1" outlineLevel="2" x14ac:dyDescent="0.25">
      <c r="A147" s="28"/>
      <c r="B147" s="11" t="str">
        <f>CONCATENATE("          ", "6303", " - ", "DATA PHONE LINES")</f>
        <v xml:space="preserve">          6303 - DATA PHONE LINES</v>
      </c>
      <c r="C147" s="11"/>
      <c r="D147" s="7"/>
      <c r="E147" s="2"/>
      <c r="F147" s="6">
        <f t="shared" si="86"/>
        <v>0</v>
      </c>
      <c r="G147" s="2"/>
      <c r="H147" s="7">
        <v>230</v>
      </c>
      <c r="I147" s="2"/>
      <c r="J147" s="6">
        <f t="shared" si="87"/>
        <v>7.0183575822673568E-4</v>
      </c>
      <c r="K147" s="2"/>
      <c r="L147" s="7">
        <f t="shared" si="88"/>
        <v>-230</v>
      </c>
      <c r="M147" s="2"/>
      <c r="N147" s="6">
        <f t="shared" si="89"/>
        <v>-1</v>
      </c>
      <c r="O147" s="11"/>
      <c r="P147" s="7"/>
      <c r="Q147" s="2"/>
      <c r="R147" s="6">
        <f t="shared" si="90"/>
        <v>0</v>
      </c>
      <c r="S147" s="2"/>
      <c r="T147" s="7">
        <v>920</v>
      </c>
      <c r="U147" s="2"/>
      <c r="V147" s="6">
        <f t="shared" si="91"/>
        <v>7.2160937715698458E-4</v>
      </c>
      <c r="W147" s="2"/>
      <c r="X147" s="7">
        <f t="shared" si="92"/>
        <v>-920</v>
      </c>
      <c r="Y147" s="2"/>
      <c r="Z147" s="6">
        <f t="shared" si="93"/>
        <v>-1</v>
      </c>
    </row>
    <row r="148" spans="1:26" s="24" customFormat="1" hidden="1" outlineLevel="2" x14ac:dyDescent="0.25">
      <c r="A148" s="28"/>
      <c r="B148" s="11" t="str">
        <f>CONCATENATE("          ", "6309", " - ", "TELEPHONE")</f>
        <v xml:space="preserve">          6309 - TELEPHONE</v>
      </c>
      <c r="C148" s="11"/>
      <c r="D148" s="7">
        <v>556.03</v>
      </c>
      <c r="E148" s="2"/>
      <c r="F148" s="6">
        <f t="shared" si="86"/>
        <v>4.8178675708981135E-3</v>
      </c>
      <c r="G148" s="2"/>
      <c r="H148" s="7">
        <v>600</v>
      </c>
      <c r="I148" s="2"/>
      <c r="J148" s="6">
        <f t="shared" si="87"/>
        <v>1.8308758910262669E-3</v>
      </c>
      <c r="K148" s="2"/>
      <c r="L148" s="7">
        <f t="shared" si="88"/>
        <v>-43.970000000000027</v>
      </c>
      <c r="M148" s="2"/>
      <c r="N148" s="6">
        <f t="shared" si="89"/>
        <v>-7.3283333333333381E-2</v>
      </c>
      <c r="O148" s="11"/>
      <c r="P148" s="7">
        <v>3373.09</v>
      </c>
      <c r="Q148" s="2"/>
      <c r="R148" s="6">
        <f t="shared" si="90"/>
        <v>4.7174942480412707E-3</v>
      </c>
      <c r="S148" s="2"/>
      <c r="T148" s="7">
        <v>2400</v>
      </c>
      <c r="U148" s="2"/>
      <c r="V148" s="6">
        <f t="shared" si="91"/>
        <v>1.8824592447573511E-3</v>
      </c>
      <c r="W148" s="2"/>
      <c r="X148" s="7">
        <f t="shared" si="92"/>
        <v>973.09000000000015</v>
      </c>
      <c r="Y148" s="2"/>
      <c r="Z148" s="6">
        <f t="shared" si="93"/>
        <v>0.40545416666666673</v>
      </c>
    </row>
    <row r="149" spans="1:26" s="27" customFormat="1" outlineLevel="1" collapsed="1" x14ac:dyDescent="0.25">
      <c r="A149" s="29"/>
      <c r="B149" s="14" t="str">
        <f>CONCATENATE("     ","Training                                          ")</f>
        <v xml:space="preserve">     Training                                          </v>
      </c>
      <c r="C149" s="14"/>
      <c r="D149" s="1">
        <f>SUM(OSRRefD22_20x_0)</f>
        <v>0</v>
      </c>
      <c r="E149" s="1"/>
      <c r="F149" s="5">
        <f t="shared" ref="F149:F153" si="94">IF(D$12=0,0,D149/D$12)</f>
        <v>0</v>
      </c>
      <c r="G149" s="1"/>
      <c r="H149" s="1">
        <f>SUM(OSRRefH22_20x_0)</f>
        <v>0</v>
      </c>
      <c r="I149" s="1"/>
      <c r="J149" s="5">
        <f t="shared" ref="J149:J153" si="95">IF(H$12=0,0,H149/H$12)</f>
        <v>0</v>
      </c>
      <c r="K149" s="1"/>
      <c r="L149" s="1">
        <f t="shared" ref="L149:L153" si="96">+D149-H149</f>
        <v>0</v>
      </c>
      <c r="M149" s="1"/>
      <c r="N149" s="5">
        <f t="shared" ref="N149:N153" si="97">IF(H149=0,0,L149/H149)</f>
        <v>0</v>
      </c>
      <c r="O149" s="14"/>
      <c r="P149" s="1">
        <f>SUM(OSRRefP22_20x_0)</f>
        <v>0</v>
      </c>
      <c r="Q149" s="1"/>
      <c r="R149" s="5">
        <f t="shared" ref="R149:R153" si="98">IF(P$12=0,0,P149/P$12)</f>
        <v>0</v>
      </c>
      <c r="S149" s="1"/>
      <c r="T149" s="1">
        <f>SUM(OSRRefT22_20x_0)</f>
        <v>0</v>
      </c>
      <c r="U149" s="1"/>
      <c r="V149" s="5">
        <f t="shared" ref="V149:V153" si="99">IF(T$12=0,0,T149/T$12)</f>
        <v>0</v>
      </c>
      <c r="W149" s="1"/>
      <c r="X149" s="1">
        <f t="shared" ref="X149:X153" si="100">+P149-T149</f>
        <v>0</v>
      </c>
      <c r="Y149" s="1"/>
      <c r="Z149" s="5">
        <f t="shared" ref="Z149:Z153" si="101">IF(T149=0,0,X149/T149)</f>
        <v>0</v>
      </c>
    </row>
    <row r="150" spans="1:26" s="24" customFormat="1" hidden="1" outlineLevel="2" x14ac:dyDescent="0.25">
      <c r="A150" s="28"/>
      <c r="B150" s="11" t="str">
        <f>CONCATENATE("          ", "6376", " - ", "TRAINING")</f>
        <v xml:space="preserve">          6376 - TRAINING</v>
      </c>
      <c r="C150" s="11"/>
      <c r="D150" s="7"/>
      <c r="E150" s="2"/>
      <c r="F150" s="6">
        <f t="shared" si="94"/>
        <v>0</v>
      </c>
      <c r="G150" s="2"/>
      <c r="H150" s="7">
        <v>0</v>
      </c>
      <c r="I150" s="2"/>
      <c r="J150" s="6">
        <f t="shared" si="95"/>
        <v>0</v>
      </c>
      <c r="K150" s="2"/>
      <c r="L150" s="7">
        <f t="shared" si="96"/>
        <v>0</v>
      </c>
      <c r="M150" s="2"/>
      <c r="N150" s="6">
        <f t="shared" si="97"/>
        <v>0</v>
      </c>
      <c r="O150" s="11"/>
      <c r="P150" s="7"/>
      <c r="Q150" s="2"/>
      <c r="R150" s="6">
        <f t="shared" si="98"/>
        <v>0</v>
      </c>
      <c r="S150" s="2"/>
      <c r="T150" s="7">
        <v>0</v>
      </c>
      <c r="U150" s="2"/>
      <c r="V150" s="6">
        <f t="shared" si="99"/>
        <v>0</v>
      </c>
      <c r="W150" s="2"/>
      <c r="X150" s="7">
        <f t="shared" si="100"/>
        <v>0</v>
      </c>
      <c r="Y150" s="2"/>
      <c r="Z150" s="6">
        <f t="shared" si="101"/>
        <v>0</v>
      </c>
    </row>
    <row r="151" spans="1:26" s="27" customFormat="1" outlineLevel="1" collapsed="1" x14ac:dyDescent="0.25">
      <c r="A151" s="29"/>
      <c r="B151" s="14" t="str">
        <f>CONCATENATE("     ","Travel                                            ")</f>
        <v xml:space="preserve">     Travel                                            </v>
      </c>
      <c r="C151" s="14"/>
      <c r="D151" s="1">
        <f>SUM(OSRRefD22_21x_0)</f>
        <v>80.959999999999994</v>
      </c>
      <c r="E151" s="1"/>
      <c r="F151" s="5">
        <f t="shared" si="94"/>
        <v>7.0149912511898859E-4</v>
      </c>
      <c r="G151" s="1"/>
      <c r="H151" s="1">
        <f>SUM(OSRRefH22_21x_0)</f>
        <v>50</v>
      </c>
      <c r="I151" s="1"/>
      <c r="J151" s="5">
        <f t="shared" si="95"/>
        <v>1.5257299091885559E-4</v>
      </c>
      <c r="K151" s="1"/>
      <c r="L151" s="1">
        <f t="shared" si="96"/>
        <v>30.959999999999994</v>
      </c>
      <c r="M151" s="1"/>
      <c r="N151" s="5">
        <f t="shared" si="97"/>
        <v>0.61919999999999986</v>
      </c>
      <c r="O151" s="14"/>
      <c r="P151" s="1">
        <f>SUM(OSRRefP22_21x_0)</f>
        <v>321.88</v>
      </c>
      <c r="Q151" s="1"/>
      <c r="R151" s="5">
        <f t="shared" si="98"/>
        <v>4.5017092593423961E-4</v>
      </c>
      <c r="S151" s="1"/>
      <c r="T151" s="1">
        <f>SUM(OSRRefT22_21x_0)</f>
        <v>200</v>
      </c>
      <c r="U151" s="1"/>
      <c r="V151" s="5">
        <f t="shared" si="99"/>
        <v>1.5687160372977925E-4</v>
      </c>
      <c r="W151" s="1"/>
      <c r="X151" s="1">
        <f t="shared" si="100"/>
        <v>121.88</v>
      </c>
      <c r="Y151" s="1"/>
      <c r="Z151" s="5">
        <f t="shared" si="101"/>
        <v>0.60939999999999994</v>
      </c>
    </row>
    <row r="152" spans="1:26" s="24" customFormat="1" hidden="1" outlineLevel="2" x14ac:dyDescent="0.25">
      <c r="A152" s="28"/>
      <c r="B152" s="11" t="str">
        <f>CONCATENATE("          ", "6294", " - ", "TRAVEL OPERATIONAL")</f>
        <v xml:space="preserve">          6294 - TRAVEL OPERATIONAL</v>
      </c>
      <c r="C152" s="11"/>
      <c r="D152" s="7">
        <v>80.959999999999994</v>
      </c>
      <c r="E152" s="2"/>
      <c r="F152" s="6">
        <f t="shared" si="94"/>
        <v>7.0149912511898859E-4</v>
      </c>
      <c r="G152" s="2"/>
      <c r="H152" s="7">
        <v>25</v>
      </c>
      <c r="I152" s="2"/>
      <c r="J152" s="6">
        <f t="shared" si="95"/>
        <v>7.6286495459427793E-5</v>
      </c>
      <c r="K152" s="2"/>
      <c r="L152" s="7">
        <f t="shared" si="96"/>
        <v>55.959999999999994</v>
      </c>
      <c r="M152" s="2"/>
      <c r="N152" s="6">
        <f t="shared" si="97"/>
        <v>2.2383999999999999</v>
      </c>
      <c r="O152" s="11"/>
      <c r="P152" s="7">
        <v>321.88</v>
      </c>
      <c r="Q152" s="2"/>
      <c r="R152" s="6">
        <f t="shared" si="98"/>
        <v>4.5017092593423961E-4</v>
      </c>
      <c r="S152" s="2"/>
      <c r="T152" s="7">
        <v>100</v>
      </c>
      <c r="U152" s="2"/>
      <c r="V152" s="6">
        <f t="shared" si="99"/>
        <v>7.8435801864889623E-5</v>
      </c>
      <c r="W152" s="2"/>
      <c r="X152" s="7">
        <f t="shared" si="100"/>
        <v>221.88</v>
      </c>
      <c r="Y152" s="2"/>
      <c r="Z152" s="6">
        <f t="shared" si="101"/>
        <v>2.2187999999999999</v>
      </c>
    </row>
    <row r="153" spans="1:26" s="24" customFormat="1" hidden="1" outlineLevel="2" x14ac:dyDescent="0.25">
      <c r="A153" s="28"/>
      <c r="B153" s="11" t="str">
        <f>CONCATENATE("          ", "6298", " - ", "VEHICLE MILEAGE")</f>
        <v xml:space="preserve">          6298 - VEHICLE MILEAGE</v>
      </c>
      <c r="C153" s="11"/>
      <c r="D153" s="7"/>
      <c r="E153" s="2"/>
      <c r="F153" s="6">
        <f t="shared" si="94"/>
        <v>0</v>
      </c>
      <c r="G153" s="2"/>
      <c r="H153" s="7">
        <v>25</v>
      </c>
      <c r="I153" s="2"/>
      <c r="J153" s="6">
        <f t="shared" si="95"/>
        <v>7.6286495459427793E-5</v>
      </c>
      <c r="K153" s="2"/>
      <c r="L153" s="7">
        <f t="shared" si="96"/>
        <v>-25</v>
      </c>
      <c r="M153" s="2"/>
      <c r="N153" s="6">
        <f t="shared" si="97"/>
        <v>-1</v>
      </c>
      <c r="O153" s="11"/>
      <c r="P153" s="7"/>
      <c r="Q153" s="2"/>
      <c r="R153" s="6">
        <f t="shared" si="98"/>
        <v>0</v>
      </c>
      <c r="S153" s="2"/>
      <c r="T153" s="7">
        <v>100</v>
      </c>
      <c r="U153" s="2"/>
      <c r="V153" s="6">
        <f t="shared" si="99"/>
        <v>7.8435801864889623E-5</v>
      </c>
      <c r="W153" s="2"/>
      <c r="X153" s="7">
        <f t="shared" si="100"/>
        <v>-100</v>
      </c>
      <c r="Y153" s="2"/>
      <c r="Z153" s="6">
        <f t="shared" si="101"/>
        <v>-1</v>
      </c>
    </row>
    <row r="154" spans="1:26" s="27" customFormat="1" outlineLevel="1" collapsed="1" x14ac:dyDescent="0.25">
      <c r="A154" s="29"/>
      <c r="B154" s="14" t="str">
        <f>CONCATENATE("     ","Utilities                                         ")</f>
        <v xml:space="preserve">     Utilities                                         </v>
      </c>
      <c r="C154" s="14"/>
      <c r="D154" s="1">
        <f>SUM(OSRRefD22_22x_0)</f>
        <v>16.05</v>
      </c>
      <c r="E154" s="1"/>
      <c r="F154" s="5">
        <f t="shared" ref="F154:F155" si="102">IF(D$12=0,0,D154/D$12)</f>
        <v>1.3906942883102483E-4</v>
      </c>
      <c r="G154" s="1"/>
      <c r="H154" s="1">
        <f>SUM(OSRRefH22_22x_0)</f>
        <v>105</v>
      </c>
      <c r="I154" s="1"/>
      <c r="J154" s="5">
        <f t="shared" ref="J154:J155" si="103">IF(H$12=0,0,H154/H$12)</f>
        <v>3.2040328092959673E-4</v>
      </c>
      <c r="K154" s="1"/>
      <c r="L154" s="1">
        <f t="shared" ref="L154:L155" si="104">+D154-H154</f>
        <v>-88.95</v>
      </c>
      <c r="M154" s="1"/>
      <c r="N154" s="5">
        <f t="shared" ref="N154:N155" si="105">IF(H154=0,0,L154/H154)</f>
        <v>-0.8471428571428572</v>
      </c>
      <c r="O154" s="14"/>
      <c r="P154" s="1">
        <f>SUM(OSRRefP22_22x_0)</f>
        <v>84.41</v>
      </c>
      <c r="Q154" s="1"/>
      <c r="R154" s="5">
        <f t="shared" ref="R154:R155" si="106">IF(P$12=0,0,P154/P$12)</f>
        <v>1.1805308766655016E-4</v>
      </c>
      <c r="S154" s="1"/>
      <c r="T154" s="1">
        <f>SUM(OSRRefT22_22x_0)</f>
        <v>420</v>
      </c>
      <c r="U154" s="1"/>
      <c r="V154" s="5">
        <f t="shared" ref="V154:V155" si="107">IF(T$12=0,0,T154/T$12)</f>
        <v>3.2943036783253642E-4</v>
      </c>
      <c r="W154" s="1"/>
      <c r="X154" s="1">
        <f t="shared" ref="X154:X155" si="108">+P154-T154</f>
        <v>-335.59000000000003</v>
      </c>
      <c r="Y154" s="1"/>
      <c r="Z154" s="5">
        <f t="shared" ref="Z154:Z155" si="109">IF(T154=0,0,X154/T154)</f>
        <v>-0.79902380952380958</v>
      </c>
    </row>
    <row r="155" spans="1:26" s="24" customFormat="1" hidden="1" outlineLevel="2" x14ac:dyDescent="0.25">
      <c r="A155" s="28"/>
      <c r="B155" s="11" t="str">
        <f>CONCATENATE("          ", "6274", " - ", "UTILITIES")</f>
        <v xml:space="preserve">          6274 - UTILITIES</v>
      </c>
      <c r="C155" s="11"/>
      <c r="D155" s="7">
        <v>16.05</v>
      </c>
      <c r="E155" s="2"/>
      <c r="F155" s="6">
        <f t="shared" si="102"/>
        <v>1.3906942883102483E-4</v>
      </c>
      <c r="G155" s="2"/>
      <c r="H155" s="7">
        <v>105</v>
      </c>
      <c r="I155" s="2"/>
      <c r="J155" s="6">
        <f t="shared" si="103"/>
        <v>3.2040328092959673E-4</v>
      </c>
      <c r="K155" s="2"/>
      <c r="L155" s="7">
        <f t="shared" si="104"/>
        <v>-88.95</v>
      </c>
      <c r="M155" s="2"/>
      <c r="N155" s="6">
        <f t="shared" si="105"/>
        <v>-0.8471428571428572</v>
      </c>
      <c r="O155" s="11"/>
      <c r="P155" s="7">
        <v>84.41</v>
      </c>
      <c r="Q155" s="2"/>
      <c r="R155" s="6">
        <f t="shared" si="106"/>
        <v>1.1805308766655016E-4</v>
      </c>
      <c r="S155" s="2"/>
      <c r="T155" s="7">
        <v>420</v>
      </c>
      <c r="U155" s="2"/>
      <c r="V155" s="6">
        <f t="shared" si="107"/>
        <v>3.2943036783253642E-4</v>
      </c>
      <c r="W155" s="2"/>
      <c r="X155" s="7">
        <f t="shared" si="108"/>
        <v>-335.59000000000003</v>
      </c>
      <c r="Y155" s="2"/>
      <c r="Z155" s="6">
        <f t="shared" si="109"/>
        <v>-0.79902380952380958</v>
      </c>
    </row>
    <row r="156" spans="1:26" s="63" customFormat="1" x14ac:dyDescent="0.25">
      <c r="A156" s="36"/>
      <c r="B156" s="36"/>
      <c r="C156" s="36"/>
      <c r="D156" s="1"/>
      <c r="E156" s="1"/>
      <c r="F156" s="5"/>
      <c r="G156" s="1"/>
      <c r="H156" s="1"/>
      <c r="I156" s="1"/>
      <c r="J156" s="5"/>
      <c r="K156" s="1"/>
      <c r="L156" s="1"/>
      <c r="M156" s="1"/>
      <c r="N156" s="5"/>
      <c r="O156" s="36"/>
      <c r="P156" s="1"/>
      <c r="Q156" s="1"/>
      <c r="R156" s="5"/>
      <c r="S156" s="1"/>
      <c r="T156" s="1"/>
      <c r="U156" s="1"/>
      <c r="V156" s="5"/>
      <c r="W156" s="1"/>
      <c r="X156" s="1"/>
      <c r="Y156" s="1"/>
      <c r="Z156" s="5"/>
    </row>
    <row r="157" spans="1:26" s="23" customFormat="1" collapsed="1" x14ac:dyDescent="0.25">
      <c r="A157" s="10"/>
      <c r="B157" s="25" t="s">
        <v>0</v>
      </c>
      <c r="C157" s="10"/>
      <c r="D157" s="4">
        <f>SUM(OSRRefD25x_0)</f>
        <v>20979.200000000001</v>
      </c>
      <c r="E157" s="4"/>
      <c r="F157" s="12">
        <f t="shared" ref="F157:F160" si="110">IF(D$12=0,0,D157/D$12)</f>
        <v>0.18177977329170317</v>
      </c>
      <c r="G157" s="4"/>
      <c r="H157" s="4">
        <f>SUM(OSRRefH25x_0)</f>
        <v>8075</v>
      </c>
      <c r="I157" s="4"/>
      <c r="J157" s="12">
        <f t="shared" ref="J157:J160" si="111">IF(H$12=0,0,H157/H$12)</f>
        <v>2.4640538033395176E-2</v>
      </c>
      <c r="K157" s="4"/>
      <c r="L157" s="4">
        <f t="shared" ref="L157:L160" si="112">+D157-H157</f>
        <v>12904.2</v>
      </c>
      <c r="M157" s="4"/>
      <c r="N157" s="12">
        <f t="shared" ref="N157:N160" si="113">IF(H157=0,0,L157/H157)</f>
        <v>1.5980433436532508</v>
      </c>
      <c r="O157" s="10"/>
      <c r="P157" s="4">
        <f>SUM(OSRRefP25x_0)</f>
        <v>192987.51</v>
      </c>
      <c r="Q157" s="4"/>
      <c r="R157" s="12">
        <f t="shared" ref="R157:R160" si="114">IF(P$12=0,0,P157/P$12)</f>
        <v>0.26990607080416096</v>
      </c>
      <c r="S157" s="4"/>
      <c r="T157" s="4">
        <f>SUM(OSRRefT25x_0)</f>
        <v>32300</v>
      </c>
      <c r="U157" s="4"/>
      <c r="V157" s="12">
        <f t="shared" ref="V157:V160" si="115">IF(T$12=0,0,T157/T$12)</f>
        <v>2.5334764002359348E-2</v>
      </c>
      <c r="W157" s="4"/>
      <c r="X157" s="4">
        <f t="shared" ref="X157:X160" si="116">+P157-T157</f>
        <v>160687.51</v>
      </c>
      <c r="Y157" s="4"/>
      <c r="Z157" s="12">
        <f t="shared" ref="Z157:Z160" si="117">IF(T157=0,0,X157/T157)</f>
        <v>4.9748455108359133</v>
      </c>
    </row>
    <row r="158" spans="1:26" s="24" customFormat="1" hidden="1" outlineLevel="1" x14ac:dyDescent="0.25">
      <c r="A158" s="51"/>
      <c r="B158" s="11" t="str">
        <f>CONCATENATE("          ", "9150", " - ", "MISC. INCOME")</f>
        <v xml:space="preserve">          9150 - MISC. INCOME</v>
      </c>
      <c r="C158" s="11"/>
      <c r="D158" s="2">
        <f>--20979.2</f>
        <v>20979.200000000001</v>
      </c>
      <c r="E158" s="2"/>
      <c r="F158" s="22">
        <f t="shared" si="110"/>
        <v>0.18177977329170317</v>
      </c>
      <c r="G158" s="2"/>
      <c r="H158" s="2">
        <v>8075</v>
      </c>
      <c r="I158" s="2"/>
      <c r="J158" s="22">
        <f t="shared" si="111"/>
        <v>2.4640538033395176E-2</v>
      </c>
      <c r="K158" s="2"/>
      <c r="L158" s="2">
        <f t="shared" si="112"/>
        <v>12904.2</v>
      </c>
      <c r="M158" s="2"/>
      <c r="N158" s="22">
        <f t="shared" si="113"/>
        <v>1.5980433436532508</v>
      </c>
      <c r="O158" s="11"/>
      <c r="P158" s="2">
        <f>--32323.61</f>
        <v>32323.61</v>
      </c>
      <c r="Q158" s="2"/>
      <c r="R158" s="22">
        <f t="shared" si="114"/>
        <v>4.52067523401182E-2</v>
      </c>
      <c r="S158" s="2"/>
      <c r="T158" s="2">
        <v>32300</v>
      </c>
      <c r="U158" s="2"/>
      <c r="V158" s="22">
        <f t="shared" si="115"/>
        <v>2.5334764002359348E-2</v>
      </c>
      <c r="W158" s="2"/>
      <c r="X158" s="2">
        <f t="shared" si="116"/>
        <v>23.610000000000582</v>
      </c>
      <c r="Y158" s="2"/>
      <c r="Z158" s="22">
        <f t="shared" si="117"/>
        <v>7.3095975232199939E-4</v>
      </c>
    </row>
    <row r="159" spans="1:26" s="24" customFormat="1" hidden="1" outlineLevel="1" x14ac:dyDescent="0.25">
      <c r="A159" s="51"/>
      <c r="B159" s="11" t="str">
        <f>CONCATENATE("          ", "9151", " - ", "MISC. INCOME")</f>
        <v xml:space="preserve">          9151 - MISC. INCOME</v>
      </c>
      <c r="C159" s="11"/>
      <c r="D159" s="2">
        <f t="shared" ref="D159:D160" si="118">0</f>
        <v>0</v>
      </c>
      <c r="E159" s="2"/>
      <c r="F159" s="22">
        <f t="shared" si="110"/>
        <v>0</v>
      </c>
      <c r="G159" s="2"/>
      <c r="H159" s="2">
        <v>0</v>
      </c>
      <c r="I159" s="2"/>
      <c r="J159" s="22">
        <f t="shared" si="111"/>
        <v>0</v>
      </c>
      <c r="K159" s="2"/>
      <c r="L159" s="2">
        <f t="shared" si="112"/>
        <v>0</v>
      </c>
      <c r="M159" s="2"/>
      <c r="N159" s="22">
        <f t="shared" si="113"/>
        <v>0</v>
      </c>
      <c r="O159" s="11"/>
      <c r="P159" s="2">
        <f>0</f>
        <v>0</v>
      </c>
      <c r="Q159" s="2"/>
      <c r="R159" s="22">
        <f t="shared" si="114"/>
        <v>0</v>
      </c>
      <c r="S159" s="2"/>
      <c r="T159" s="2">
        <v>0</v>
      </c>
      <c r="U159" s="2"/>
      <c r="V159" s="22">
        <f t="shared" si="115"/>
        <v>0</v>
      </c>
      <c r="W159" s="2"/>
      <c r="X159" s="2">
        <f t="shared" si="116"/>
        <v>0</v>
      </c>
      <c r="Y159" s="2"/>
      <c r="Z159" s="22">
        <f t="shared" si="117"/>
        <v>0</v>
      </c>
    </row>
    <row r="160" spans="1:26" s="24" customFormat="1" hidden="1" outlineLevel="1" x14ac:dyDescent="0.25">
      <c r="A160" s="51"/>
      <c r="B160" s="11" t="str">
        <f>CONCATENATE("          ", "9163", " - ", "MISC. INCOME")</f>
        <v xml:space="preserve">          9163 - MISC. INCOME</v>
      </c>
      <c r="C160" s="11"/>
      <c r="D160" s="2">
        <f t="shared" si="118"/>
        <v>0</v>
      </c>
      <c r="E160" s="2"/>
      <c r="F160" s="22">
        <f t="shared" si="110"/>
        <v>0</v>
      </c>
      <c r="G160" s="2"/>
      <c r="H160" s="2"/>
      <c r="I160" s="2"/>
      <c r="J160" s="22">
        <f t="shared" si="111"/>
        <v>0</v>
      </c>
      <c r="K160" s="2"/>
      <c r="L160" s="2">
        <f t="shared" si="112"/>
        <v>0</v>
      </c>
      <c r="M160" s="2"/>
      <c r="N160" s="22">
        <f t="shared" si="113"/>
        <v>0</v>
      </c>
      <c r="O160" s="11"/>
      <c r="P160" s="2">
        <f>--160663.9</f>
        <v>160663.9</v>
      </c>
      <c r="Q160" s="2"/>
      <c r="R160" s="22">
        <f t="shared" si="114"/>
        <v>0.22469931846404273</v>
      </c>
      <c r="S160" s="2"/>
      <c r="T160" s="2"/>
      <c r="U160" s="2"/>
      <c r="V160" s="22">
        <f t="shared" si="115"/>
        <v>0</v>
      </c>
      <c r="W160" s="2"/>
      <c r="X160" s="2">
        <f t="shared" si="116"/>
        <v>160663.9</v>
      </c>
      <c r="Y160" s="2"/>
      <c r="Z160" s="22">
        <f t="shared" si="117"/>
        <v>0</v>
      </c>
    </row>
    <row r="161" spans="1:26" x14ac:dyDescent="0.25">
      <c r="A161" s="9"/>
      <c r="B161" s="10"/>
      <c r="C161" s="10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O161" s="10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x14ac:dyDescent="0.25">
      <c r="A162" s="10"/>
      <c r="B162" s="26" t="s">
        <v>3</v>
      </c>
      <c r="C162" s="26"/>
      <c r="D162" s="20">
        <f>+D73-D75+D157</f>
        <v>332.670000000031</v>
      </c>
      <c r="E162" s="13"/>
      <c r="F162" s="19">
        <f>IF(D$12=0,0,D162/D$12)</f>
        <v>2.8825063482380894E-3</v>
      </c>
      <c r="G162" s="13"/>
      <c r="H162" s="20">
        <f>+H73-H75+H157</f>
        <v>54237.061953846132</v>
      </c>
      <c r="I162" s="13"/>
      <c r="J162" s="19">
        <f>IF(H$12=0,0,H162/H$12)</f>
        <v>0.16550221521899147</v>
      </c>
      <c r="K162" s="15"/>
      <c r="L162" s="20">
        <f>+D162-H162</f>
        <v>-53904.391953846105</v>
      </c>
      <c r="M162" s="15"/>
      <c r="N162" s="19">
        <f>IF(H162=0,0,L162/H162)</f>
        <v>-0.99386637129638189</v>
      </c>
      <c r="O162" s="25"/>
      <c r="P162" s="20">
        <f>+P73-P75+P157</f>
        <v>202665.94999999995</v>
      </c>
      <c r="Q162" s="13"/>
      <c r="R162" s="19">
        <f>IF(P$12=0,0,P162/P$12)</f>
        <v>0.28344202301119137</v>
      </c>
      <c r="S162" s="13"/>
      <c r="T162" s="20">
        <f>+T73-T75+T157</f>
        <v>215382.43555884622</v>
      </c>
      <c r="U162" s="13"/>
      <c r="V162" s="19">
        <f>IF(T$12=0,0,T162/T$12)</f>
        <v>0.1689369404067102</v>
      </c>
      <c r="W162" s="15"/>
      <c r="X162" s="20">
        <f>+P162-T162</f>
        <v>-12716.485558846267</v>
      </c>
      <c r="Y162" s="15"/>
      <c r="Z162" s="19">
        <f>IF(T162=0,0,X162/T162)</f>
        <v>-5.9041423344717923E-2</v>
      </c>
    </row>
    <row r="163" spans="1:26" x14ac:dyDescent="0.25">
      <c r="A163" s="9"/>
      <c r="B163" s="10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x14ac:dyDescent="0.25">
      <c r="A164" s="52"/>
      <c r="B164" s="10" t="s">
        <v>14</v>
      </c>
      <c r="C164" s="10"/>
      <c r="D164" s="4">
        <v>43807.9</v>
      </c>
      <c r="E164" s="4"/>
      <c r="F164" s="12">
        <f>IF(D$12=0,0,D164/D$12)</f>
        <v>0.3795850237561777</v>
      </c>
      <c r="G164" s="4"/>
      <c r="H164" s="4">
        <v>71790</v>
      </c>
      <c r="I164" s="4"/>
      <c r="J164" s="12">
        <f>IF(H$12=0,0,H164/H$12)</f>
        <v>0.21906430036129285</v>
      </c>
      <c r="K164" s="4"/>
      <c r="L164" s="4">
        <f>+D164-H164</f>
        <v>-27982.1</v>
      </c>
      <c r="M164" s="4"/>
      <c r="N164" s="12">
        <f>IF(H164=0,0,L164/H164)</f>
        <v>-0.38977712773366763</v>
      </c>
      <c r="O164" s="10"/>
      <c r="P164" s="4">
        <v>154888.15</v>
      </c>
      <c r="Q164" s="4"/>
      <c r="R164" s="12">
        <f>IF(P$12=0,0,P164/P$12)</f>
        <v>0.21662154188437116</v>
      </c>
      <c r="S164" s="4"/>
      <c r="T164" s="4">
        <v>208731</v>
      </c>
      <c r="U164" s="4"/>
      <c r="V164" s="12">
        <f>IF(T$12=0,0,T164/T$12)</f>
        <v>0.16371983359060277</v>
      </c>
      <c r="W164" s="4"/>
      <c r="X164" s="4">
        <f>+P164-T164</f>
        <v>-53842.850000000006</v>
      </c>
      <c r="Y164" s="4"/>
      <c r="Z164" s="12">
        <f>IF(T164=0,0,X164/T164)</f>
        <v>-0.25795329874335871</v>
      </c>
    </row>
    <row r="165" spans="1:26" x14ac:dyDescent="0.25">
      <c r="A165" s="9"/>
      <c r="B165" s="10"/>
      <c r="C165" s="10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O165" s="10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3" customFormat="1" ht="15.75" thickBot="1" x14ac:dyDescent="0.3">
      <c r="A166" s="10"/>
      <c r="B166" s="26" t="s">
        <v>4</v>
      </c>
      <c r="C166" s="26"/>
      <c r="D166" s="34">
        <f>+D162-D164</f>
        <v>-43475.229999999967</v>
      </c>
      <c r="E166" s="13"/>
      <c r="F166" s="35">
        <f>IF(D$12=0,0,D166/D$12)</f>
        <v>-0.37670251740793959</v>
      </c>
      <c r="G166" s="13"/>
      <c r="H166" s="34">
        <f>+H162-H164</f>
        <v>-17552.938046153868</v>
      </c>
      <c r="I166" s="13"/>
      <c r="J166" s="35">
        <f>IF(H$12=0,0,H166/H$12)</f>
        <v>-5.3562085142301374E-2</v>
      </c>
      <c r="K166" s="15"/>
      <c r="L166" s="34">
        <f>D166-H166</f>
        <v>-25922.291953846099</v>
      </c>
      <c r="M166" s="15"/>
      <c r="N166" s="35">
        <f>IF(H166=0,0,L166/H166)</f>
        <v>1.4768064403626202</v>
      </c>
      <c r="O166" s="25"/>
      <c r="P166" s="34">
        <f>+P162-P164</f>
        <v>47777.799999999959</v>
      </c>
      <c r="Q166" s="13"/>
      <c r="R166" s="35">
        <f>IF(P$12=0,0,P166/P$12)</f>
        <v>6.6820481126820222E-2</v>
      </c>
      <c r="S166" s="13"/>
      <c r="T166" s="34">
        <f>+T162-T164</f>
        <v>6651.4355588462204</v>
      </c>
      <c r="U166" s="13"/>
      <c r="V166" s="35">
        <f>IF(T$12=0,0,T166/T$12)</f>
        <v>5.2171068161074351E-3</v>
      </c>
      <c r="W166" s="15"/>
      <c r="X166" s="34">
        <f>P166-T166</f>
        <v>41126.364441153739</v>
      </c>
      <c r="Y166" s="15"/>
      <c r="Z166" s="35">
        <f>IF(T166=0,0,X166/T166)</f>
        <v>6.1830809420466899</v>
      </c>
    </row>
    <row r="167" spans="1:26" ht="15.75" thickTop="1" x14ac:dyDescent="0.25">
      <c r="A167" s="9"/>
      <c r="B167" s="9"/>
      <c r="C167" s="9"/>
      <c r="D167" s="3"/>
      <c r="E167" s="3"/>
      <c r="F167" s="8"/>
      <c r="G167" s="3"/>
      <c r="H167" s="3"/>
      <c r="I167" s="3"/>
      <c r="J167" s="8"/>
      <c r="K167" s="3"/>
      <c r="L167" s="3"/>
      <c r="M167" s="3"/>
      <c r="N167" s="8"/>
      <c r="P167" s="3"/>
      <c r="Q167" s="3"/>
      <c r="R167" s="8"/>
      <c r="S167" s="3"/>
      <c r="T167" s="3"/>
      <c r="U167" s="3"/>
      <c r="V167" s="8"/>
      <c r="W167" s="3"/>
      <c r="X167" s="3"/>
      <c r="Y167" s="3"/>
      <c r="Z167" s="8"/>
    </row>
    <row r="168" spans="1:26" x14ac:dyDescent="0.25">
      <c r="A168" s="9"/>
      <c r="B168" s="9"/>
      <c r="C168" s="9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ht="15.75" thickBot="1" x14ac:dyDescent="0.3">
      <c r="A169" s="10"/>
      <c r="B169" s="26" t="s">
        <v>5</v>
      </c>
      <c r="C169" s="26"/>
      <c r="D169" s="30">
        <f>SUM(D166:D168)</f>
        <v>-43475.229999999967</v>
      </c>
      <c r="E169" s="13"/>
      <c r="F169" s="32">
        <f>IF(D$12=0,0,D169/D$12)</f>
        <v>-0.37670251740793959</v>
      </c>
      <c r="G169" s="13"/>
      <c r="H169" s="30">
        <f>SUM(H166:H168)</f>
        <v>-17552.938046153868</v>
      </c>
      <c r="I169" s="13"/>
      <c r="J169" s="32">
        <f>IF(H$12=0,0,H169/H$12)</f>
        <v>-5.3562085142301374E-2</v>
      </c>
      <c r="K169" s="15"/>
      <c r="L169" s="30">
        <f>+D169-H169</f>
        <v>-25922.291953846099</v>
      </c>
      <c r="M169" s="15"/>
      <c r="N169" s="32">
        <f>IF(H169=0,0,L169/H169)</f>
        <v>1.4768064403626202</v>
      </c>
      <c r="O169" s="25"/>
      <c r="P169" s="30">
        <f>SUM(P166:P168)</f>
        <v>47777.799999999959</v>
      </c>
      <c r="Q169" s="13"/>
      <c r="R169" s="32">
        <f>IF(P$12=0,0,P169/P$12)</f>
        <v>6.6820481126820222E-2</v>
      </c>
      <c r="S169" s="13"/>
      <c r="T169" s="30">
        <f>SUM(T166:T168)</f>
        <v>6651.4355588462204</v>
      </c>
      <c r="U169" s="13"/>
      <c r="V169" s="32">
        <f>IF(T$12=0,0,T169/T$12)</f>
        <v>5.2171068161074351E-3</v>
      </c>
      <c r="W169" s="15"/>
      <c r="X169" s="30">
        <f>+P169-T169</f>
        <v>41126.364441153739</v>
      </c>
      <c r="Y169" s="15"/>
      <c r="Z169" s="32">
        <f>IF(T169=0,0,X169/T169)</f>
        <v>6.1830809420466899</v>
      </c>
    </row>
    <row r="170" spans="1:26" ht="15.75" thickTop="1" x14ac:dyDescent="0.25">
      <c r="A170" s="9"/>
      <c r="C170" s="9"/>
      <c r="D170" s="17"/>
      <c r="E170" s="17"/>
      <c r="G170" s="17"/>
      <c r="H170" s="17"/>
      <c r="I170" s="17"/>
      <c r="J170" s="42"/>
      <c r="K170" s="17"/>
      <c r="L170" s="17"/>
      <c r="M170" s="17"/>
      <c r="P170" s="17"/>
      <c r="Q170" s="17"/>
      <c r="R170" s="42"/>
      <c r="S170" s="17"/>
      <c r="T170" s="17"/>
      <c r="U170" s="17"/>
      <c r="V170" s="42"/>
      <c r="W170" s="17"/>
      <c r="X170" s="17"/>
    </row>
    <row r="171" spans="1:26" x14ac:dyDescent="0.25">
      <c r="A171" s="9"/>
      <c r="B171" s="60">
        <v>44151.567825231483</v>
      </c>
      <c r="D171" s="17"/>
      <c r="E171" s="17"/>
      <c r="G171" s="17"/>
      <c r="H171" s="17"/>
      <c r="I171" s="17"/>
      <c r="J171" s="42"/>
      <c r="K171" s="17"/>
      <c r="L171" s="17"/>
      <c r="M171" s="17"/>
      <c r="P171" s="17"/>
      <c r="Q171" s="17"/>
      <c r="R171" s="42"/>
      <c r="S171" s="17"/>
      <c r="T171" s="17"/>
      <c r="U171" s="17"/>
      <c r="V171" s="42"/>
      <c r="W171" s="17"/>
      <c r="X171" s="17"/>
    </row>
    <row r="172" spans="1:26" x14ac:dyDescent="0.25">
      <c r="A172" s="9"/>
      <c r="B172" s="58" t="s">
        <v>314</v>
      </c>
      <c r="D172" s="17"/>
      <c r="E172" s="17"/>
      <c r="G172" s="17"/>
      <c r="H172" s="17"/>
      <c r="I172" s="17"/>
      <c r="J172" s="42"/>
      <c r="K172" s="17"/>
      <c r="L172" s="17"/>
      <c r="M172" s="17"/>
      <c r="P172" s="17"/>
      <c r="Q172" s="17"/>
      <c r="R172" s="42"/>
      <c r="S172" s="17"/>
      <c r="T172" s="17"/>
      <c r="U172" s="17"/>
      <c r="V172" s="42"/>
      <c r="W172" s="17"/>
      <c r="X172" s="17"/>
    </row>
    <row r="173" spans="1:26" x14ac:dyDescent="0.25">
      <c r="A173" s="9"/>
      <c r="B173" s="53"/>
      <c r="D173" s="17"/>
      <c r="E173" s="17"/>
      <c r="G173" s="17"/>
      <c r="H173" s="17"/>
      <c r="I173" s="17"/>
      <c r="J173" s="42"/>
      <c r="K173" s="17"/>
      <c r="L173" s="17"/>
      <c r="M173" s="17"/>
      <c r="P173" s="17"/>
      <c r="Q173" s="17"/>
      <c r="R173" s="42"/>
      <c r="S173" s="17"/>
      <c r="T173" s="17"/>
      <c r="U173" s="17"/>
      <c r="V173" s="42"/>
      <c r="W173" s="17"/>
      <c r="X173" s="17"/>
    </row>
    <row r="174" spans="1:26" x14ac:dyDescent="0.25">
      <c r="D174" s="17"/>
      <c r="E174" s="17"/>
      <c r="G174" s="17"/>
      <c r="H174" s="17"/>
      <c r="I174" s="17"/>
      <c r="J174" s="42"/>
      <c r="K174" s="17"/>
      <c r="L174" s="17"/>
      <c r="M174" s="17"/>
      <c r="P174" s="17"/>
      <c r="Q174" s="17"/>
      <c r="R174" s="42"/>
      <c r="S174" s="17"/>
      <c r="T174" s="17"/>
      <c r="U174" s="17"/>
      <c r="V174" s="42"/>
      <c r="W174" s="17"/>
      <c r="X174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","315", " - ", "Beach Shop")</f>
        <v>Department 315 - Beach Shop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96631.999999999971</v>
      </c>
      <c r="E12" s="4"/>
      <c r="F12" s="12"/>
      <c r="G12" s="4"/>
      <c r="H12" s="4">
        <f>SUM(OSRRefH13x_0)</f>
        <v>288829</v>
      </c>
      <c r="I12" s="4"/>
      <c r="J12" s="12"/>
      <c r="K12" s="4"/>
      <c r="L12" s="4">
        <f t="shared" ref="L12:L48" si="0">+D12-H12</f>
        <v>-192197.00000000003</v>
      </c>
      <c r="M12" s="4"/>
      <c r="N12" s="12">
        <f t="shared" ref="N12:N48" si="1">IF(H12=0,0,L12/H12)</f>
        <v>-0.6654352575399286</v>
      </c>
      <c r="O12" s="10"/>
      <c r="P12" s="4">
        <f>SUM(OSRRefP13x_0)</f>
        <v>626595.43999999994</v>
      </c>
      <c r="Q12" s="4"/>
      <c r="R12" s="12"/>
      <c r="S12" s="4"/>
      <c r="T12" s="4">
        <f>SUM(OSRRefT13x_0)</f>
        <v>1090183</v>
      </c>
      <c r="U12" s="4"/>
      <c r="V12" s="12"/>
      <c r="W12" s="4"/>
      <c r="X12" s="4">
        <f t="shared" ref="X12:X48" si="2">+P12-T12</f>
        <v>-463587.56000000006</v>
      </c>
      <c r="Y12" s="4"/>
      <c r="Z12" s="12">
        <f t="shared" ref="Z12:Z48" si="3">IF(T12=0,0,X12/T12)</f>
        <v>-0.42523829485508402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-8145.92</f>
        <v>-8145.92</v>
      </c>
      <c r="E13" s="2"/>
      <c r="F13" s="22"/>
      <c r="G13" s="2"/>
      <c r="H13" s="2">
        <v>288829</v>
      </c>
      <c r="I13" s="2"/>
      <c r="J13" s="22"/>
      <c r="K13" s="2"/>
      <c r="L13" s="2">
        <f t="shared" si="0"/>
        <v>-296974.92</v>
      </c>
      <c r="M13" s="2"/>
      <c r="N13" s="22">
        <f t="shared" si="1"/>
        <v>-1.0282032621378048</v>
      </c>
      <c r="O13" s="11"/>
      <c r="P13" s="2">
        <f>-37481.46</f>
        <v>-37481.46</v>
      </c>
      <c r="Q13" s="2"/>
      <c r="R13" s="22"/>
      <c r="S13" s="2"/>
      <c r="T13" s="2">
        <v>1090183</v>
      </c>
      <c r="U13" s="2"/>
      <c r="V13" s="22"/>
      <c r="W13" s="2"/>
      <c r="X13" s="2">
        <f t="shared" si="2"/>
        <v>-1127664.46</v>
      </c>
      <c r="Y13" s="2"/>
      <c r="Z13" s="22">
        <f t="shared" si="3"/>
        <v>-1.0343808883462684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--221.99</f>
        <v>221.99</v>
      </c>
      <c r="Q14" s="2"/>
      <c r="R14" s="22"/>
      <c r="S14" s="2"/>
      <c r="T14" s="2"/>
      <c r="U14" s="2"/>
      <c r="V14" s="22"/>
      <c r="W14" s="2"/>
      <c r="X14" s="2">
        <f t="shared" si="2"/>
        <v>221.99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--2322.55</f>
        <v>2322.5500000000002</v>
      </c>
      <c r="E15" s="2"/>
      <c r="F15" s="22"/>
      <c r="G15" s="2"/>
      <c r="H15" s="2"/>
      <c r="I15" s="2"/>
      <c r="J15" s="22"/>
      <c r="K15" s="2"/>
      <c r="L15" s="2">
        <f t="shared" si="0"/>
        <v>2322.5500000000002</v>
      </c>
      <c r="M15" s="2"/>
      <c r="N15" s="22">
        <f t="shared" si="1"/>
        <v>0</v>
      </c>
      <c r="O15" s="11"/>
      <c r="P15" s="2">
        <f>--26995.72</f>
        <v>26995.72</v>
      </c>
      <c r="Q15" s="2"/>
      <c r="R15" s="22"/>
      <c r="S15" s="2"/>
      <c r="T15" s="2"/>
      <c r="U15" s="2"/>
      <c r="V15" s="22"/>
      <c r="W15" s="2"/>
      <c r="X15" s="2">
        <f t="shared" si="2"/>
        <v>26995.72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--1769.95</f>
        <v>1769.95</v>
      </c>
      <c r="E16" s="2"/>
      <c r="F16" s="22"/>
      <c r="G16" s="2"/>
      <c r="H16" s="2"/>
      <c r="I16" s="2"/>
      <c r="J16" s="22"/>
      <c r="K16" s="2"/>
      <c r="L16" s="2">
        <f t="shared" si="0"/>
        <v>1769.95</v>
      </c>
      <c r="M16" s="2"/>
      <c r="N16" s="22">
        <f t="shared" si="1"/>
        <v>0</v>
      </c>
      <c r="O16" s="11"/>
      <c r="P16" s="2">
        <f>--1789.8</f>
        <v>1789.8</v>
      </c>
      <c r="Q16" s="2"/>
      <c r="R16" s="22"/>
      <c r="S16" s="2"/>
      <c r="T16" s="2"/>
      <c r="U16" s="2"/>
      <c r="V16" s="22"/>
      <c r="W16" s="2"/>
      <c r="X16" s="2">
        <f t="shared" si="2"/>
        <v>1789.8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--424.62</f>
        <v>424.62</v>
      </c>
      <c r="E17" s="2"/>
      <c r="F17" s="22"/>
      <c r="G17" s="2"/>
      <c r="H17" s="2"/>
      <c r="I17" s="2"/>
      <c r="J17" s="22"/>
      <c r="K17" s="2"/>
      <c r="L17" s="2">
        <f t="shared" si="0"/>
        <v>424.62</v>
      </c>
      <c r="M17" s="2"/>
      <c r="N17" s="22">
        <f t="shared" si="1"/>
        <v>0</v>
      </c>
      <c r="O17" s="11"/>
      <c r="P17" s="2">
        <f>--1293.41</f>
        <v>1293.4100000000001</v>
      </c>
      <c r="Q17" s="2"/>
      <c r="R17" s="22"/>
      <c r="S17" s="2"/>
      <c r="T17" s="2"/>
      <c r="U17" s="2"/>
      <c r="V17" s="22"/>
      <c r="W17" s="2"/>
      <c r="X17" s="2">
        <f t="shared" si="2"/>
        <v>1293.4100000000001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--36719.43</f>
        <v>36719.43</v>
      </c>
      <c r="E19" s="2"/>
      <c r="F19" s="22"/>
      <c r="G19" s="2"/>
      <c r="H19" s="2"/>
      <c r="I19" s="2"/>
      <c r="J19" s="22"/>
      <c r="K19" s="2"/>
      <c r="L19" s="2">
        <f t="shared" si="0"/>
        <v>36719.43</v>
      </c>
      <c r="M19" s="2"/>
      <c r="N19" s="22">
        <f t="shared" si="1"/>
        <v>0</v>
      </c>
      <c r="O19" s="11"/>
      <c r="P19" s="2">
        <f>--308104.72</f>
        <v>308104.71999999997</v>
      </c>
      <c r="Q19" s="2"/>
      <c r="R19" s="22"/>
      <c r="S19" s="2"/>
      <c r="T19" s="2"/>
      <c r="U19" s="2"/>
      <c r="V19" s="22"/>
      <c r="W19" s="2"/>
      <c r="X19" s="2">
        <f t="shared" si="2"/>
        <v>308104.71999999997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--11407.8</f>
        <v>11407.8</v>
      </c>
      <c r="E20" s="2"/>
      <c r="F20" s="22"/>
      <c r="G20" s="2"/>
      <c r="H20" s="2"/>
      <c r="I20" s="2"/>
      <c r="J20" s="22"/>
      <c r="K20" s="2"/>
      <c r="L20" s="2">
        <f t="shared" si="0"/>
        <v>11407.8</v>
      </c>
      <c r="M20" s="2"/>
      <c r="N20" s="22">
        <f t="shared" si="1"/>
        <v>0</v>
      </c>
      <c r="O20" s="11"/>
      <c r="P20" s="2">
        <f>--80694.3</f>
        <v>80694.3</v>
      </c>
      <c r="Q20" s="2"/>
      <c r="R20" s="22"/>
      <c r="S20" s="2"/>
      <c r="T20" s="2"/>
      <c r="U20" s="2"/>
      <c r="V20" s="22"/>
      <c r="W20" s="2"/>
      <c r="X20" s="2">
        <f t="shared" si="2"/>
        <v>80694.3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--4494.86</f>
        <v>4494.8599999999997</v>
      </c>
      <c r="E21" s="2"/>
      <c r="F21" s="22"/>
      <c r="G21" s="2"/>
      <c r="H21" s="2"/>
      <c r="I21" s="2"/>
      <c r="J21" s="22"/>
      <c r="K21" s="2"/>
      <c r="L21" s="2">
        <f t="shared" si="0"/>
        <v>4494.8599999999997</v>
      </c>
      <c r="M21" s="2"/>
      <c r="N21" s="22">
        <f t="shared" si="1"/>
        <v>0</v>
      </c>
      <c r="O21" s="11"/>
      <c r="P21" s="2">
        <f>--38703.08</f>
        <v>38703.08</v>
      </c>
      <c r="Q21" s="2"/>
      <c r="R21" s="22"/>
      <c r="S21" s="2"/>
      <c r="T21" s="2"/>
      <c r="U21" s="2"/>
      <c r="V21" s="22"/>
      <c r="W21" s="2"/>
      <c r="X21" s="2">
        <f t="shared" si="2"/>
        <v>38703.08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--30265.07</f>
        <v>30265.07</v>
      </c>
      <c r="E22" s="2"/>
      <c r="F22" s="22"/>
      <c r="G22" s="2"/>
      <c r="H22" s="2"/>
      <c r="I22" s="2"/>
      <c r="J22" s="22"/>
      <c r="K22" s="2"/>
      <c r="L22" s="2">
        <f t="shared" si="0"/>
        <v>30265.07</v>
      </c>
      <c r="M22" s="2"/>
      <c r="N22" s="22">
        <f t="shared" si="1"/>
        <v>0</v>
      </c>
      <c r="O22" s="11"/>
      <c r="P22" s="2">
        <f>--39420.84</f>
        <v>39420.839999999997</v>
      </c>
      <c r="Q22" s="2"/>
      <c r="R22" s="22"/>
      <c r="S22" s="2"/>
      <c r="T22" s="2"/>
      <c r="U22" s="2"/>
      <c r="V22" s="22"/>
      <c r="W22" s="2"/>
      <c r="X22" s="2">
        <f t="shared" si="2"/>
        <v>39420.839999999997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--943.09</f>
        <v>943.09</v>
      </c>
      <c r="E23" s="2"/>
      <c r="F23" s="22"/>
      <c r="G23" s="2"/>
      <c r="H23" s="2"/>
      <c r="I23" s="2"/>
      <c r="J23" s="22"/>
      <c r="K23" s="2"/>
      <c r="L23" s="2">
        <f t="shared" si="0"/>
        <v>943.09</v>
      </c>
      <c r="M23" s="2"/>
      <c r="N23" s="22">
        <f t="shared" si="1"/>
        <v>0</v>
      </c>
      <c r="O23" s="11"/>
      <c r="P23" s="2">
        <f>--11492.14</f>
        <v>11492.14</v>
      </c>
      <c r="Q23" s="2"/>
      <c r="R23" s="22"/>
      <c r="S23" s="2"/>
      <c r="T23" s="2"/>
      <c r="U23" s="2"/>
      <c r="V23" s="22"/>
      <c r="W23" s="2"/>
      <c r="X23" s="2">
        <f t="shared" si="2"/>
        <v>11492.14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--4713.55</f>
        <v>4713.55</v>
      </c>
      <c r="E24" s="2"/>
      <c r="F24" s="22"/>
      <c r="G24" s="2"/>
      <c r="H24" s="2"/>
      <c r="I24" s="2"/>
      <c r="J24" s="22"/>
      <c r="K24" s="2"/>
      <c r="L24" s="2">
        <f t="shared" si="0"/>
        <v>4713.55</v>
      </c>
      <c r="M24" s="2"/>
      <c r="N24" s="22">
        <f t="shared" si="1"/>
        <v>0</v>
      </c>
      <c r="O24" s="11"/>
      <c r="P24" s="2">
        <f>--96685.09</f>
        <v>96685.09</v>
      </c>
      <c r="Q24" s="2"/>
      <c r="R24" s="22"/>
      <c r="S24" s="2"/>
      <c r="T24" s="2"/>
      <c r="U24" s="2"/>
      <c r="V24" s="22"/>
      <c r="W24" s="2"/>
      <c r="X24" s="2">
        <f t="shared" si="2"/>
        <v>96685.09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--160.95</f>
        <v>160.94999999999999</v>
      </c>
      <c r="E26" s="2"/>
      <c r="F26" s="22"/>
      <c r="G26" s="2"/>
      <c r="H26" s="2"/>
      <c r="I26" s="2"/>
      <c r="J26" s="22"/>
      <c r="K26" s="2"/>
      <c r="L26" s="2">
        <f t="shared" si="0"/>
        <v>160.94999999999999</v>
      </c>
      <c r="M26" s="2"/>
      <c r="N26" s="22">
        <f t="shared" si="1"/>
        <v>0</v>
      </c>
      <c r="O26" s="11"/>
      <c r="P26" s="2">
        <f>--2831.69</f>
        <v>2831.69</v>
      </c>
      <c r="Q26" s="2"/>
      <c r="R26" s="22"/>
      <c r="S26" s="2"/>
      <c r="T26" s="2"/>
      <c r="U26" s="2"/>
      <c r="V26" s="22"/>
      <c r="W26" s="2"/>
      <c r="X26" s="2">
        <f t="shared" si="2"/>
        <v>2831.69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"4131", " - ", "NON-TAXABLE SALES-FOOD")</f>
        <v xml:space="preserve">          4131 - NON-TAXABLE SALES-FOOD</v>
      </c>
      <c r="C27" s="11"/>
      <c r="D27" s="2">
        <f>--1499.52</f>
        <v>1499.52</v>
      </c>
      <c r="E27" s="2"/>
      <c r="F27" s="22"/>
      <c r="G27" s="2"/>
      <c r="H27" s="2"/>
      <c r="I27" s="2"/>
      <c r="J27" s="22"/>
      <c r="K27" s="2"/>
      <c r="L27" s="2">
        <f t="shared" si="0"/>
        <v>1499.52</v>
      </c>
      <c r="M27" s="2"/>
      <c r="N27" s="22">
        <f t="shared" si="1"/>
        <v>0</v>
      </c>
      <c r="O27" s="11"/>
      <c r="P27" s="2">
        <f>--3648.28</f>
        <v>3648.28</v>
      </c>
      <c r="Q27" s="2"/>
      <c r="R27" s="22"/>
      <c r="S27" s="2"/>
      <c r="T27" s="2"/>
      <c r="U27" s="2"/>
      <c r="V27" s="22"/>
      <c r="W27" s="2"/>
      <c r="X27" s="2">
        <f t="shared" si="2"/>
        <v>3648.28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"4132", " - ", "NON-TAXABLE SALES-JUICE")</f>
        <v xml:space="preserve">          4132 - NON-TAXABLE SALES-JUICE</v>
      </c>
      <c r="C28" s="11"/>
      <c r="D28" s="2">
        <f t="shared" ref="D28:D31" si="4">0</f>
        <v>0</v>
      </c>
      <c r="E28" s="2"/>
      <c r="F28" s="22"/>
      <c r="G28" s="2"/>
      <c r="H28" s="2"/>
      <c r="I28" s="2"/>
      <c r="J28" s="22"/>
      <c r="K28" s="2"/>
      <c r="L28" s="2">
        <f t="shared" si="0"/>
        <v>0</v>
      </c>
      <c r="M28" s="2"/>
      <c r="N28" s="22">
        <f t="shared" si="1"/>
        <v>0</v>
      </c>
      <c r="O28" s="11"/>
      <c r="P28" s="2">
        <f>--22.49</f>
        <v>22.49</v>
      </c>
      <c r="Q28" s="2"/>
      <c r="R28" s="22"/>
      <c r="S28" s="2"/>
      <c r="T28" s="2"/>
      <c r="U28" s="2"/>
      <c r="V28" s="22"/>
      <c r="W28" s="2"/>
      <c r="X28" s="2">
        <f t="shared" si="2"/>
        <v>22.49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"4133", " - ", "NON-TAXABLE SALES-CANDY")</f>
        <v xml:space="preserve">          4133 - NON-TAXABLE SALES-CANDY</v>
      </c>
      <c r="C29" s="11"/>
      <c r="D29" s="2">
        <f t="shared" si="4"/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--80.71</f>
        <v>80.709999999999994</v>
      </c>
      <c r="Q29" s="2"/>
      <c r="R29" s="22"/>
      <c r="S29" s="2"/>
      <c r="T29" s="2"/>
      <c r="U29" s="2"/>
      <c r="V29" s="22"/>
      <c r="W29" s="2"/>
      <c r="X29" s="2">
        <f t="shared" si="2"/>
        <v>80.709999999999994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"4134", " - ", "NON-TAXABLE SALES-SODA")</f>
        <v xml:space="preserve">          4134 - NON-TAXABLE SALES-SODA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--45.53</f>
        <v>45.53</v>
      </c>
      <c r="Q30" s="2"/>
      <c r="R30" s="22"/>
      <c r="S30" s="2"/>
      <c r="T30" s="2"/>
      <c r="U30" s="2"/>
      <c r="V30" s="22"/>
      <c r="W30" s="2"/>
      <c r="X30" s="2">
        <f t="shared" si="2"/>
        <v>45.53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"4137", " - ", "NON-TAXABLE SALES-WATER")</f>
        <v xml:space="preserve">          4137 - NON-TAXABLE SALES-WATER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--59.25</f>
        <v>59.25</v>
      </c>
      <c r="Q31" s="2"/>
      <c r="R31" s="22"/>
      <c r="S31" s="2"/>
      <c r="T31" s="2"/>
      <c r="U31" s="2"/>
      <c r="V31" s="22"/>
      <c r="W31" s="2"/>
      <c r="X31" s="2">
        <f t="shared" si="2"/>
        <v>59.25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"4140", " - ", "NON-TAXABLE SALES-LOGO CLOTHIN")</f>
        <v xml:space="preserve">          4140 - NON-TAXABLE SALES-LOGO CLOTHIN</v>
      </c>
      <c r="C32" s="11"/>
      <c r="D32" s="2">
        <f>--13113.14</f>
        <v>13113.14</v>
      </c>
      <c r="E32" s="2"/>
      <c r="F32" s="22"/>
      <c r="G32" s="2"/>
      <c r="H32" s="2"/>
      <c r="I32" s="2"/>
      <c r="J32" s="22"/>
      <c r="K32" s="2"/>
      <c r="L32" s="2">
        <f t="shared" si="0"/>
        <v>13113.14</v>
      </c>
      <c r="M32" s="2"/>
      <c r="N32" s="22">
        <f t="shared" si="1"/>
        <v>0</v>
      </c>
      <c r="O32" s="11"/>
      <c r="P32" s="2">
        <f>--30474.65</f>
        <v>30474.65</v>
      </c>
      <c r="Q32" s="2"/>
      <c r="R32" s="22"/>
      <c r="S32" s="2"/>
      <c r="T32" s="2"/>
      <c r="U32" s="2"/>
      <c r="V32" s="22"/>
      <c r="W32" s="2"/>
      <c r="X32" s="2">
        <f t="shared" si="2"/>
        <v>30474.65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"4141", " - ", "NON-TAXABLE SALES-LOGO GIFTS")</f>
        <v xml:space="preserve">          4141 - NON-TAXABLE SALES-LOGO GIFTS</v>
      </c>
      <c r="C33" s="11"/>
      <c r="D33" s="2">
        <f>--383.71</f>
        <v>383.71</v>
      </c>
      <c r="E33" s="2"/>
      <c r="F33" s="22"/>
      <c r="G33" s="2"/>
      <c r="H33" s="2"/>
      <c r="I33" s="2"/>
      <c r="J33" s="22"/>
      <c r="K33" s="2"/>
      <c r="L33" s="2">
        <f t="shared" si="0"/>
        <v>383.71</v>
      </c>
      <c r="M33" s="2"/>
      <c r="N33" s="22">
        <f t="shared" si="1"/>
        <v>0</v>
      </c>
      <c r="O33" s="11"/>
      <c r="P33" s="2">
        <f>--2871.2</f>
        <v>2871.2</v>
      </c>
      <c r="Q33" s="2"/>
      <c r="R33" s="22"/>
      <c r="S33" s="2"/>
      <c r="T33" s="2"/>
      <c r="U33" s="2"/>
      <c r="V33" s="22"/>
      <c r="W33" s="2"/>
      <c r="X33" s="2">
        <f t="shared" si="2"/>
        <v>2871.2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"4142", " - ", "NON-TAXABLE SALES-EVERYDAY GIF")</f>
        <v xml:space="preserve">          4142 - NON-TAXABLE SALES-EVERYDAY GIF</v>
      </c>
      <c r="C34" s="11"/>
      <c r="D34" s="2">
        <f>--65.68</f>
        <v>65.680000000000007</v>
      </c>
      <c r="E34" s="2"/>
      <c r="F34" s="22"/>
      <c r="G34" s="2"/>
      <c r="H34" s="2"/>
      <c r="I34" s="2"/>
      <c r="J34" s="22"/>
      <c r="K34" s="2"/>
      <c r="L34" s="2">
        <f t="shared" si="0"/>
        <v>65.680000000000007</v>
      </c>
      <c r="M34" s="2"/>
      <c r="N34" s="22">
        <f t="shared" si="1"/>
        <v>0</v>
      </c>
      <c r="O34" s="11"/>
      <c r="P34" s="2">
        <f>--1069.43</f>
        <v>1069.43</v>
      </c>
      <c r="Q34" s="2"/>
      <c r="R34" s="22"/>
      <c r="S34" s="2"/>
      <c r="T34" s="2"/>
      <c r="U34" s="2"/>
      <c r="V34" s="22"/>
      <c r="W34" s="2"/>
      <c r="X34" s="2">
        <f t="shared" si="2"/>
        <v>1069.43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"4143", " - ", "NON-TAXABLE SALES-CARDS")</f>
        <v xml:space="preserve">          4143 - NON-TAXABLE SALES-CARDS</v>
      </c>
      <c r="C35" s="11"/>
      <c r="D35" s="2">
        <f>--9.99</f>
        <v>9.99</v>
      </c>
      <c r="E35" s="2"/>
      <c r="F35" s="22"/>
      <c r="G35" s="2"/>
      <c r="H35" s="2"/>
      <c r="I35" s="2"/>
      <c r="J35" s="22"/>
      <c r="K35" s="2"/>
      <c r="L35" s="2">
        <f t="shared" si="0"/>
        <v>9.99</v>
      </c>
      <c r="M35" s="2"/>
      <c r="N35" s="22">
        <f t="shared" si="1"/>
        <v>0</v>
      </c>
      <c r="O35" s="11"/>
      <c r="P35" s="2">
        <f>--29.97</f>
        <v>29.97</v>
      </c>
      <c r="Q35" s="2"/>
      <c r="R35" s="22"/>
      <c r="S35" s="2"/>
      <c r="T35" s="2"/>
      <c r="U35" s="2"/>
      <c r="V35" s="22"/>
      <c r="W35" s="2"/>
      <c r="X35" s="2">
        <f t="shared" si="2"/>
        <v>29.97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"4144", " - ", "NON-TAXABLE SALES-ACCESSORIES")</f>
        <v xml:space="preserve">          4144 - NON-TAXABLE SALES-ACCESSORIES</v>
      </c>
      <c r="C36" s="11"/>
      <c r="D36" s="2">
        <f>--154</f>
        <v>154</v>
      </c>
      <c r="E36" s="2"/>
      <c r="F36" s="22"/>
      <c r="G36" s="2"/>
      <c r="H36" s="2"/>
      <c r="I36" s="2"/>
      <c r="J36" s="22"/>
      <c r="K36" s="2"/>
      <c r="L36" s="2">
        <f t="shared" si="0"/>
        <v>154</v>
      </c>
      <c r="M36" s="2"/>
      <c r="N36" s="22">
        <f t="shared" si="1"/>
        <v>0</v>
      </c>
      <c r="O36" s="11"/>
      <c r="P36" s="2">
        <f>--369.75</f>
        <v>369.75</v>
      </c>
      <c r="Q36" s="2"/>
      <c r="R36" s="22"/>
      <c r="S36" s="2"/>
      <c r="T36" s="2"/>
      <c r="U36" s="2"/>
      <c r="V36" s="22"/>
      <c r="W36" s="2"/>
      <c r="X36" s="2">
        <f t="shared" si="2"/>
        <v>369.75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"4145", " - ", "NON-TAXABLE SALES-SPECIAL ORDE")</f>
        <v xml:space="preserve">          4145 - NON-TAXABLE SALES-SPECIAL ORDE</v>
      </c>
      <c r="C37" s="11"/>
      <c r="D37" s="2">
        <f t="shared" ref="D37:D38" si="5">0</f>
        <v>0</v>
      </c>
      <c r="E37" s="2"/>
      <c r="F37" s="22"/>
      <c r="G37" s="2"/>
      <c r="H37" s="2"/>
      <c r="I37" s="2"/>
      <c r="J37" s="22"/>
      <c r="K37" s="2"/>
      <c r="L37" s="2">
        <f t="shared" si="0"/>
        <v>0</v>
      </c>
      <c r="M37" s="2"/>
      <c r="N37" s="22">
        <f t="shared" si="1"/>
        <v>0</v>
      </c>
      <c r="O37" s="11"/>
      <c r="P37" s="2">
        <f>--35839</f>
        <v>35839</v>
      </c>
      <c r="Q37" s="2"/>
      <c r="R37" s="22"/>
      <c r="S37" s="2"/>
      <c r="T37" s="2"/>
      <c r="U37" s="2"/>
      <c r="V37" s="22"/>
      <c r="W37" s="2"/>
      <c r="X37" s="2">
        <f t="shared" si="2"/>
        <v>35839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 t="shared" si="5"/>
        <v>0</v>
      </c>
      <c r="E38" s="2"/>
      <c r="F38" s="22"/>
      <c r="G38" s="2"/>
      <c r="H38" s="2"/>
      <c r="I38" s="2"/>
      <c r="J38" s="22"/>
      <c r="K38" s="2"/>
      <c r="L38" s="2">
        <f t="shared" si="0"/>
        <v>0</v>
      </c>
      <c r="M38" s="2"/>
      <c r="N38" s="22">
        <f t="shared" si="1"/>
        <v>0</v>
      </c>
      <c r="O38" s="11"/>
      <c r="P38" s="2">
        <f>-6.38</f>
        <v>-6.38</v>
      </c>
      <c r="Q38" s="2"/>
      <c r="R38" s="22"/>
      <c r="S38" s="2"/>
      <c r="T38" s="2"/>
      <c r="U38" s="2"/>
      <c r="V38" s="22"/>
      <c r="W38" s="2"/>
      <c r="X38" s="2">
        <f t="shared" si="2"/>
        <v>-6.38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>-9.99</f>
        <v>-9.99</v>
      </c>
      <c r="E39" s="2"/>
      <c r="F39" s="22"/>
      <c r="G39" s="2"/>
      <c r="H39" s="2"/>
      <c r="I39" s="2"/>
      <c r="J39" s="22"/>
      <c r="K39" s="2"/>
      <c r="L39" s="2">
        <f t="shared" si="0"/>
        <v>-9.99</v>
      </c>
      <c r="M39" s="2"/>
      <c r="N39" s="22">
        <f t="shared" si="1"/>
        <v>0</v>
      </c>
      <c r="O39" s="11"/>
      <c r="P39" s="2">
        <f>-388.69</f>
        <v>-388.69</v>
      </c>
      <c r="Q39" s="2"/>
      <c r="R39" s="22"/>
      <c r="S39" s="2"/>
      <c r="T39" s="2"/>
      <c r="U39" s="2"/>
      <c r="V39" s="22"/>
      <c r="W39" s="2"/>
      <c r="X39" s="2">
        <f t="shared" si="2"/>
        <v>-388.69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"4240", " - ", "SALES RETURN TAXABLE-LOGO CLOT")</f>
        <v xml:space="preserve">          4240 - SALES RETURN TAXABLE-LOGO CLOT</v>
      </c>
      <c r="C40" s="11"/>
      <c r="D40" s="2">
        <f>-1722.21</f>
        <v>-1722.21</v>
      </c>
      <c r="E40" s="2"/>
      <c r="F40" s="22"/>
      <c r="G40" s="2"/>
      <c r="H40" s="2"/>
      <c r="I40" s="2"/>
      <c r="J40" s="22"/>
      <c r="K40" s="2"/>
      <c r="L40" s="2">
        <f t="shared" si="0"/>
        <v>-1722.21</v>
      </c>
      <c r="M40" s="2"/>
      <c r="N40" s="22">
        <f t="shared" si="1"/>
        <v>0</v>
      </c>
      <c r="O40" s="11"/>
      <c r="P40" s="2">
        <f>-11428.29</f>
        <v>-11428.29</v>
      </c>
      <c r="Q40" s="2"/>
      <c r="R40" s="22"/>
      <c r="S40" s="2"/>
      <c r="T40" s="2"/>
      <c r="U40" s="2"/>
      <c r="V40" s="22"/>
      <c r="W40" s="2"/>
      <c r="X40" s="2">
        <f t="shared" si="2"/>
        <v>-11428.29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"4241", " - ", "SALES RETURN TAXABLE-LOGO GIFT")</f>
        <v xml:space="preserve">          4241 - SALES RETURN TAXABLE-LOGO GIFT</v>
      </c>
      <c r="C41" s="11"/>
      <c r="D41" s="2">
        <f>-289.6</f>
        <v>-289.60000000000002</v>
      </c>
      <c r="E41" s="2"/>
      <c r="F41" s="22"/>
      <c r="G41" s="2"/>
      <c r="H41" s="2"/>
      <c r="I41" s="2"/>
      <c r="J41" s="22"/>
      <c r="K41" s="2"/>
      <c r="L41" s="2">
        <f t="shared" si="0"/>
        <v>-289.60000000000002</v>
      </c>
      <c r="M41" s="2"/>
      <c r="N41" s="22">
        <f t="shared" si="1"/>
        <v>0</v>
      </c>
      <c r="O41" s="11"/>
      <c r="P41" s="2">
        <f>-1756.36</f>
        <v>-1756.36</v>
      </c>
      <c r="Q41" s="2"/>
      <c r="R41" s="22"/>
      <c r="S41" s="2"/>
      <c r="T41" s="2"/>
      <c r="U41" s="2"/>
      <c r="V41" s="22"/>
      <c r="W41" s="2"/>
      <c r="X41" s="2">
        <f t="shared" si="2"/>
        <v>-1756.36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"4242", " - ", "SALES RETURN TAXABLE-EVERYDAY")</f>
        <v xml:space="preserve">          4242 - SALES RETURN TAXABLE-EVERYDAY</v>
      </c>
      <c r="C42" s="11"/>
      <c r="D42" s="2">
        <f>-258.97</f>
        <v>-258.97000000000003</v>
      </c>
      <c r="E42" s="2"/>
      <c r="F42" s="22"/>
      <c r="G42" s="2"/>
      <c r="H42" s="2"/>
      <c r="I42" s="2"/>
      <c r="J42" s="22"/>
      <c r="K42" s="2"/>
      <c r="L42" s="2">
        <f t="shared" si="0"/>
        <v>-258.97000000000003</v>
      </c>
      <c r="M42" s="2"/>
      <c r="N42" s="22">
        <f t="shared" si="1"/>
        <v>0</v>
      </c>
      <c r="O42" s="11"/>
      <c r="P42" s="2">
        <f>-1209.71</f>
        <v>-1209.71</v>
      </c>
      <c r="Q42" s="2"/>
      <c r="R42" s="22"/>
      <c r="S42" s="2"/>
      <c r="T42" s="2"/>
      <c r="U42" s="2"/>
      <c r="V42" s="22"/>
      <c r="W42" s="2"/>
      <c r="X42" s="2">
        <f t="shared" si="2"/>
        <v>-1209.71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"4243", " - ", "SALES RETURN TAXABLE-CARDS")</f>
        <v xml:space="preserve">          4243 - SALES RETURN TAXABLE-CARDS</v>
      </c>
      <c r="C43" s="11"/>
      <c r="D43" s="2">
        <f>-829.55</f>
        <v>-829.55</v>
      </c>
      <c r="E43" s="2"/>
      <c r="F43" s="22"/>
      <c r="G43" s="2"/>
      <c r="H43" s="2"/>
      <c r="I43" s="2"/>
      <c r="J43" s="22"/>
      <c r="K43" s="2"/>
      <c r="L43" s="2">
        <f t="shared" si="0"/>
        <v>-829.55</v>
      </c>
      <c r="M43" s="2"/>
      <c r="N43" s="22">
        <f t="shared" si="1"/>
        <v>0</v>
      </c>
      <c r="O43" s="11"/>
      <c r="P43" s="2">
        <f>-982.92</f>
        <v>-982.92</v>
      </c>
      <c r="Q43" s="2"/>
      <c r="R43" s="22"/>
      <c r="S43" s="2"/>
      <c r="T43" s="2"/>
      <c r="U43" s="2"/>
      <c r="V43" s="22"/>
      <c r="W43" s="2"/>
      <c r="X43" s="2">
        <f t="shared" si="2"/>
        <v>-982.92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"4244", " - ", "SALES RETURN TAXABLE-ACCESSORI")</f>
        <v xml:space="preserve">          4244 - SALES RETURN TAXABLE-ACCESSORI</v>
      </c>
      <c r="C44" s="11"/>
      <c r="D44" s="2">
        <f>0</f>
        <v>0</v>
      </c>
      <c r="E44" s="2"/>
      <c r="F44" s="22"/>
      <c r="G44" s="2"/>
      <c r="H44" s="2"/>
      <c r="I44" s="2"/>
      <c r="J44" s="22"/>
      <c r="K44" s="2"/>
      <c r="L44" s="2">
        <f t="shared" si="0"/>
        <v>0</v>
      </c>
      <c r="M44" s="2"/>
      <c r="N44" s="22">
        <f t="shared" si="1"/>
        <v>0</v>
      </c>
      <c r="O44" s="11"/>
      <c r="P44" s="2">
        <f>-410.99</f>
        <v>-410.99</v>
      </c>
      <c r="Q44" s="2"/>
      <c r="R44" s="22"/>
      <c r="S44" s="2"/>
      <c r="T44" s="2"/>
      <c r="U44" s="2"/>
      <c r="V44" s="22"/>
      <c r="W44" s="2"/>
      <c r="X44" s="2">
        <f t="shared" si="2"/>
        <v>-410.99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"4245", " - ", "SALES RETURN TAXABLE-SPECIAL O")</f>
        <v xml:space="preserve">          4245 - SALES RETURN TAXABLE-SPECIAL O</v>
      </c>
      <c r="C45" s="11"/>
      <c r="D45" s="2">
        <f>-363.98</f>
        <v>-363.98</v>
      </c>
      <c r="E45" s="2"/>
      <c r="F45" s="22"/>
      <c r="G45" s="2"/>
      <c r="H45" s="2"/>
      <c r="I45" s="2"/>
      <c r="J45" s="22"/>
      <c r="K45" s="2"/>
      <c r="L45" s="2">
        <f t="shared" si="0"/>
        <v>-363.98</v>
      </c>
      <c r="M45" s="2"/>
      <c r="N45" s="22">
        <f t="shared" si="1"/>
        <v>0</v>
      </c>
      <c r="O45" s="11"/>
      <c r="P45" s="2">
        <f>-1539.93</f>
        <v>-1539.93</v>
      </c>
      <c r="Q45" s="2"/>
      <c r="R45" s="22"/>
      <c r="S45" s="2"/>
      <c r="T45" s="2"/>
      <c r="U45" s="2"/>
      <c r="V45" s="22"/>
      <c r="W45" s="2"/>
      <c r="X45" s="2">
        <f t="shared" si="2"/>
        <v>-1539.93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"4340", " - ", "SALES RETURN NON TAXABLE-LOGO")</f>
        <v xml:space="preserve">          4340 - SALES RETURN NON TAXABLE-LOGO</v>
      </c>
      <c r="C46" s="11"/>
      <c r="D46" s="2">
        <f>-195.69</f>
        <v>-195.69</v>
      </c>
      <c r="E46" s="2"/>
      <c r="F46" s="22"/>
      <c r="G46" s="2"/>
      <c r="H46" s="2"/>
      <c r="I46" s="2"/>
      <c r="J46" s="22"/>
      <c r="K46" s="2"/>
      <c r="L46" s="2">
        <f t="shared" si="0"/>
        <v>-195.69</v>
      </c>
      <c r="M46" s="2"/>
      <c r="N46" s="22">
        <f t="shared" si="1"/>
        <v>0</v>
      </c>
      <c r="O46" s="11"/>
      <c r="P46" s="2">
        <f>-736.73</f>
        <v>-736.73</v>
      </c>
      <c r="Q46" s="2"/>
      <c r="R46" s="22"/>
      <c r="S46" s="2"/>
      <c r="T46" s="2"/>
      <c r="U46" s="2"/>
      <c r="V46" s="22"/>
      <c r="W46" s="2"/>
      <c r="X46" s="2">
        <f t="shared" si="2"/>
        <v>-736.73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"4341", " - ", "SALES RETURN NON TAXABLE-LOGO")</f>
        <v xml:space="preserve">          4341 - SALES RETURN NON TAXABLE-LOGO</v>
      </c>
      <c r="C47" s="11"/>
      <c r="D47" s="2">
        <f t="shared" ref="D47:D48" si="6">0</f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-146.9</f>
        <v>-146.9</v>
      </c>
      <c r="Q47" s="2"/>
      <c r="R47" s="22"/>
      <c r="S47" s="2"/>
      <c r="T47" s="2"/>
      <c r="U47" s="2"/>
      <c r="V47" s="22"/>
      <c r="W47" s="2"/>
      <c r="X47" s="2">
        <f t="shared" si="2"/>
        <v>-146.9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"4342", " - ", "SALES RETURN NON TAXABLE-EVERY")</f>
        <v xml:space="preserve">          4342 - SALES RETURN NON TAXABLE-EVERY</v>
      </c>
      <c r="C48" s="11"/>
      <c r="D48" s="2">
        <f t="shared" si="6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-118.7</f>
        <v>-118.7</v>
      </c>
      <c r="Q48" s="2"/>
      <c r="R48" s="22"/>
      <c r="S48" s="2"/>
      <c r="T48" s="2"/>
      <c r="U48" s="2"/>
      <c r="V48" s="22"/>
      <c r="W48" s="2"/>
      <c r="X48" s="2">
        <f t="shared" si="2"/>
        <v>-118.7</v>
      </c>
      <c r="Y48" s="2"/>
      <c r="Z48" s="22">
        <f t="shared" si="3"/>
        <v>0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collapsed="1" x14ac:dyDescent="0.25">
      <c r="A50" s="10"/>
      <c r="B50" s="25" t="s">
        <v>8</v>
      </c>
      <c r="C50" s="10"/>
      <c r="D50" s="4">
        <f>SUM(OSRRefD16x_0)</f>
        <v>52899.000000000007</v>
      </c>
      <c r="E50" s="4"/>
      <c r="F50" s="12">
        <f t="shared" ref="F50:F71" si="7">IF(D$12=0,0,D50/D$12)</f>
        <v>0.54742735325772029</v>
      </c>
      <c r="G50" s="4"/>
      <c r="H50" s="4">
        <f>SUM(OSRRefH16x_0)</f>
        <v>133583</v>
      </c>
      <c r="I50" s="4"/>
      <c r="J50" s="12">
        <f t="shared" ref="J50:J71" si="8">IF(H$12=0,0,H50/H$12)</f>
        <v>0.46249857181931175</v>
      </c>
      <c r="K50" s="4"/>
      <c r="L50" s="4">
        <f t="shared" ref="L50:L71" si="9">+D50-H50</f>
        <v>-80684</v>
      </c>
      <c r="M50" s="4"/>
      <c r="N50" s="12">
        <f t="shared" ref="N50:N71" si="10">IF(H50=0,0,L50/H50)</f>
        <v>-0.60399901185031024</v>
      </c>
      <c r="O50" s="10"/>
      <c r="P50" s="4">
        <f>SUM(OSRRefP16x_0)</f>
        <v>384173.5400000001</v>
      </c>
      <c r="Q50" s="4"/>
      <c r="R50" s="12">
        <f t="shared" ref="R50:R71" si="11">IF(P$12=0,0,P50/P$12)</f>
        <v>0.61311256909242773</v>
      </c>
      <c r="S50" s="4"/>
      <c r="T50" s="4">
        <f>SUM(OSRRefT16x_0)</f>
        <v>504210</v>
      </c>
      <c r="U50" s="4"/>
      <c r="V50" s="12">
        <f t="shared" ref="V50:V71" si="12">IF(T$12=0,0,T50/T$12)</f>
        <v>0.46250033251298178</v>
      </c>
      <c r="W50" s="4"/>
      <c r="X50" s="4">
        <f t="shared" ref="X50:X71" si="13">+P50-T50</f>
        <v>-120036.4599999999</v>
      </c>
      <c r="Y50" s="4"/>
      <c r="Z50" s="12">
        <f t="shared" ref="Z50:Z71" si="14">IF(T50=0,0,X50/T50)</f>
        <v>-0.23806838420499377</v>
      </c>
    </row>
    <row r="51" spans="1:26" s="24" customFormat="1" hidden="1" outlineLevel="1" x14ac:dyDescent="0.25">
      <c r="A51" s="51"/>
      <c r="B51" s="11" t="str">
        <f>CONCATENATE("          ", "5000", " - ", "PURCHASES @ COST")</f>
        <v xml:space="preserve">          5000 - PURCHASES @ COST</v>
      </c>
      <c r="C51" s="11"/>
      <c r="D51" s="2"/>
      <c r="E51" s="2"/>
      <c r="F51" s="22">
        <f t="shared" si="7"/>
        <v>0</v>
      </c>
      <c r="G51" s="2"/>
      <c r="H51" s="2">
        <v>133583</v>
      </c>
      <c r="I51" s="2"/>
      <c r="J51" s="22">
        <f t="shared" si="8"/>
        <v>0.46249857181931175</v>
      </c>
      <c r="K51" s="2"/>
      <c r="L51" s="2">
        <f t="shared" si="9"/>
        <v>-133583</v>
      </c>
      <c r="M51" s="2"/>
      <c r="N51" s="22">
        <f t="shared" si="10"/>
        <v>-1</v>
      </c>
      <c r="O51" s="11"/>
      <c r="P51" s="2"/>
      <c r="Q51" s="2"/>
      <c r="R51" s="22">
        <f t="shared" si="11"/>
        <v>0</v>
      </c>
      <c r="S51" s="2"/>
      <c r="T51" s="2">
        <v>504210</v>
      </c>
      <c r="U51" s="2"/>
      <c r="V51" s="22">
        <f t="shared" si="12"/>
        <v>0.46250033251298178</v>
      </c>
      <c r="W51" s="2"/>
      <c r="X51" s="2">
        <f t="shared" si="13"/>
        <v>-504210</v>
      </c>
      <c r="Y51" s="2"/>
      <c r="Z51" s="22">
        <f t="shared" si="14"/>
        <v>-1</v>
      </c>
    </row>
    <row r="52" spans="1:26" s="24" customFormat="1" hidden="1" outlineLevel="1" x14ac:dyDescent="0.25">
      <c r="A52" s="51"/>
      <c r="B52" s="11" t="str">
        <f>CONCATENATE("          ", "5025", " - ", "PURCHASES @ COST-TEST FORMS")</f>
        <v xml:space="preserve">          5025 - PURCHASES @ COST-TEST FORMS</v>
      </c>
      <c r="C52" s="11"/>
      <c r="D52" s="2">
        <v>599.29</v>
      </c>
      <c r="E52" s="2"/>
      <c r="F52" s="22">
        <f t="shared" si="7"/>
        <v>6.201775809255735E-3</v>
      </c>
      <c r="G52" s="2"/>
      <c r="H52" s="2"/>
      <c r="I52" s="2"/>
      <c r="J52" s="22">
        <f t="shared" si="8"/>
        <v>0</v>
      </c>
      <c r="K52" s="2"/>
      <c r="L52" s="2">
        <f t="shared" si="9"/>
        <v>599.29</v>
      </c>
      <c r="M52" s="2"/>
      <c r="N52" s="22">
        <f t="shared" si="10"/>
        <v>0</v>
      </c>
      <c r="O52" s="11"/>
      <c r="P52" s="2">
        <v>599.29</v>
      </c>
      <c r="Q52" s="2"/>
      <c r="R52" s="22">
        <f t="shared" si="11"/>
        <v>9.5642253636572913E-4</v>
      </c>
      <c r="S52" s="2"/>
      <c r="T52" s="2"/>
      <c r="U52" s="2"/>
      <c r="V52" s="22">
        <f t="shared" si="12"/>
        <v>0</v>
      </c>
      <c r="W52" s="2"/>
      <c r="X52" s="2">
        <f t="shared" si="13"/>
        <v>599.29</v>
      </c>
      <c r="Y52" s="2"/>
      <c r="Z52" s="22">
        <f t="shared" si="14"/>
        <v>0</v>
      </c>
    </row>
    <row r="53" spans="1:26" s="24" customFormat="1" hidden="1" outlineLevel="1" x14ac:dyDescent="0.25">
      <c r="A53" s="51"/>
      <c r="B53" s="11" t="str">
        <f>CONCATENATE("          ", "5026", " - ", "PURCHASES @ COST-WRITING INSTR")</f>
        <v xml:space="preserve">          5026 - PURCHASES @ COST-WRITING INSTR</v>
      </c>
      <c r="C53" s="11"/>
      <c r="D53" s="2">
        <v>10</v>
      </c>
      <c r="E53" s="2"/>
      <c r="F53" s="22">
        <f t="shared" si="7"/>
        <v>1.0348538786323375E-4</v>
      </c>
      <c r="G53" s="2"/>
      <c r="H53" s="2"/>
      <c r="I53" s="2"/>
      <c r="J53" s="22">
        <f t="shared" si="8"/>
        <v>0</v>
      </c>
      <c r="K53" s="2"/>
      <c r="L53" s="2">
        <f t="shared" si="9"/>
        <v>10</v>
      </c>
      <c r="M53" s="2"/>
      <c r="N53" s="22">
        <f t="shared" si="10"/>
        <v>0</v>
      </c>
      <c r="O53" s="11"/>
      <c r="P53" s="2">
        <v>10</v>
      </c>
      <c r="Q53" s="2"/>
      <c r="R53" s="22">
        <f t="shared" si="11"/>
        <v>1.5959260731294184E-5</v>
      </c>
      <c r="S53" s="2"/>
      <c r="T53" s="2"/>
      <c r="U53" s="2"/>
      <c r="V53" s="22">
        <f t="shared" si="12"/>
        <v>0</v>
      </c>
      <c r="W53" s="2"/>
      <c r="X53" s="2">
        <f t="shared" si="13"/>
        <v>10</v>
      </c>
      <c r="Y53" s="2"/>
      <c r="Z53" s="22">
        <f t="shared" si="14"/>
        <v>0</v>
      </c>
    </row>
    <row r="54" spans="1:26" s="24" customFormat="1" hidden="1" outlineLevel="1" x14ac:dyDescent="0.25">
      <c r="A54" s="51"/>
      <c r="B54" s="11" t="str">
        <f>CONCATENATE("          ", "5027", " - ", "PURCHASES @ COST-SCHOOL SUPPLI")</f>
        <v xml:space="preserve">          5027 - PURCHASES @ COST-SCHOOL SUPPLI</v>
      </c>
      <c r="C54" s="11"/>
      <c r="D54" s="2">
        <v>9672.48</v>
      </c>
      <c r="E54" s="2"/>
      <c r="F54" s="22">
        <f t="shared" si="7"/>
        <v>0.1000960344399371</v>
      </c>
      <c r="G54" s="2"/>
      <c r="H54" s="2"/>
      <c r="I54" s="2"/>
      <c r="J54" s="22">
        <f t="shared" si="8"/>
        <v>0</v>
      </c>
      <c r="K54" s="2"/>
      <c r="L54" s="2">
        <f t="shared" si="9"/>
        <v>9672.48</v>
      </c>
      <c r="M54" s="2"/>
      <c r="N54" s="22">
        <f t="shared" si="10"/>
        <v>0</v>
      </c>
      <c r="O54" s="11"/>
      <c r="P54" s="2">
        <v>18175.88</v>
      </c>
      <c r="Q54" s="2"/>
      <c r="R54" s="22">
        <f t="shared" si="11"/>
        <v>2.9007360794071534E-2</v>
      </c>
      <c r="S54" s="2"/>
      <c r="T54" s="2"/>
      <c r="U54" s="2"/>
      <c r="V54" s="22">
        <f t="shared" si="12"/>
        <v>0</v>
      </c>
      <c r="W54" s="2"/>
      <c r="X54" s="2">
        <f t="shared" si="13"/>
        <v>18175.88</v>
      </c>
      <c r="Y54" s="2"/>
      <c r="Z54" s="22">
        <f t="shared" si="14"/>
        <v>0</v>
      </c>
    </row>
    <row r="55" spans="1:26" s="24" customFormat="1" hidden="1" outlineLevel="1" x14ac:dyDescent="0.25">
      <c r="A55" s="51"/>
      <c r="B55" s="11" t="str">
        <f>CONCATENATE("          ", "5028", " - ", "PURCHASES @ COST-ART/TECH")</f>
        <v xml:space="preserve">          5028 - PURCHASES @ COST-ART/TECH</v>
      </c>
      <c r="C55" s="11"/>
      <c r="D55" s="2"/>
      <c r="E55" s="2"/>
      <c r="F55" s="22">
        <f t="shared" si="7"/>
        <v>0</v>
      </c>
      <c r="G55" s="2"/>
      <c r="H55" s="2"/>
      <c r="I55" s="2"/>
      <c r="J55" s="22">
        <f t="shared" si="8"/>
        <v>0</v>
      </c>
      <c r="K55" s="2"/>
      <c r="L55" s="2">
        <f t="shared" si="9"/>
        <v>0</v>
      </c>
      <c r="M55" s="2"/>
      <c r="N55" s="22">
        <f t="shared" si="10"/>
        <v>0</v>
      </c>
      <c r="O55" s="11"/>
      <c r="P55" s="2">
        <v>-83.4</v>
      </c>
      <c r="Q55" s="2"/>
      <c r="R55" s="22">
        <f t="shared" si="11"/>
        <v>-1.331002344989935E-4</v>
      </c>
      <c r="S55" s="2"/>
      <c r="T55" s="2"/>
      <c r="U55" s="2"/>
      <c r="V55" s="22">
        <f t="shared" si="12"/>
        <v>0</v>
      </c>
      <c r="W55" s="2"/>
      <c r="X55" s="2">
        <f t="shared" si="13"/>
        <v>-83.4</v>
      </c>
      <c r="Y55" s="2"/>
      <c r="Z55" s="22">
        <f t="shared" si="14"/>
        <v>0</v>
      </c>
    </row>
    <row r="56" spans="1:26" s="24" customFormat="1" hidden="1" outlineLevel="1" x14ac:dyDescent="0.25">
      <c r="A56" s="51"/>
      <c r="B56" s="11" t="str">
        <f>CONCATENATE("          ", "5031", " - ", "PURCHASES @ COST-FOOD")</f>
        <v xml:space="preserve">          5031 - PURCHASES @ COST-FOOD</v>
      </c>
      <c r="C56" s="11"/>
      <c r="D56" s="2">
        <v>4421.92</v>
      </c>
      <c r="E56" s="2"/>
      <c r="F56" s="22">
        <f t="shared" si="7"/>
        <v>4.5760410630019059E-2</v>
      </c>
      <c r="G56" s="2"/>
      <c r="H56" s="2"/>
      <c r="I56" s="2"/>
      <c r="J56" s="22">
        <f t="shared" si="8"/>
        <v>0</v>
      </c>
      <c r="K56" s="2"/>
      <c r="L56" s="2">
        <f t="shared" si="9"/>
        <v>4421.92</v>
      </c>
      <c r="M56" s="2"/>
      <c r="N56" s="22">
        <f t="shared" si="10"/>
        <v>0</v>
      </c>
      <c r="O56" s="11"/>
      <c r="P56" s="2">
        <v>5605.43</v>
      </c>
      <c r="Q56" s="2"/>
      <c r="R56" s="22">
        <f t="shared" si="11"/>
        <v>8.9458518881018363E-3</v>
      </c>
      <c r="S56" s="2"/>
      <c r="T56" s="2"/>
      <c r="U56" s="2"/>
      <c r="V56" s="22">
        <f t="shared" si="12"/>
        <v>0</v>
      </c>
      <c r="W56" s="2"/>
      <c r="X56" s="2">
        <f t="shared" si="13"/>
        <v>5605.43</v>
      </c>
      <c r="Y56" s="2"/>
      <c r="Z56" s="22">
        <f t="shared" si="14"/>
        <v>0</v>
      </c>
    </row>
    <row r="57" spans="1:26" s="24" customFormat="1" hidden="1" outlineLevel="1" x14ac:dyDescent="0.25">
      <c r="A57" s="51"/>
      <c r="B57" s="11" t="str">
        <f>CONCATENATE("          ", "5040", " - ", "PURCHASES @ COST-LOGO CLOTHING")</f>
        <v xml:space="preserve">          5040 - PURCHASES @ COST-LOGO CLOTHING</v>
      </c>
      <c r="C57" s="11"/>
      <c r="D57" s="2">
        <v>25420.9</v>
      </c>
      <c r="E57" s="2"/>
      <c r="F57" s="22">
        <f t="shared" si="7"/>
        <v>0.26306916963324789</v>
      </c>
      <c r="G57" s="2"/>
      <c r="H57" s="2"/>
      <c r="I57" s="2"/>
      <c r="J57" s="22">
        <f t="shared" si="8"/>
        <v>0</v>
      </c>
      <c r="K57" s="2"/>
      <c r="L57" s="2">
        <f t="shared" si="9"/>
        <v>25420.9</v>
      </c>
      <c r="M57" s="2"/>
      <c r="N57" s="22">
        <f t="shared" si="10"/>
        <v>0</v>
      </c>
      <c r="O57" s="11"/>
      <c r="P57" s="2">
        <v>39170.950000000004</v>
      </c>
      <c r="Q57" s="2"/>
      <c r="R57" s="22">
        <f t="shared" si="11"/>
        <v>6.2513940414248792E-2</v>
      </c>
      <c r="S57" s="2"/>
      <c r="T57" s="2"/>
      <c r="U57" s="2"/>
      <c r="V57" s="22">
        <f t="shared" si="12"/>
        <v>0</v>
      </c>
      <c r="W57" s="2"/>
      <c r="X57" s="2">
        <f t="shared" si="13"/>
        <v>39170.950000000004</v>
      </c>
      <c r="Y57" s="2"/>
      <c r="Z57" s="22">
        <f t="shared" si="14"/>
        <v>0</v>
      </c>
    </row>
    <row r="58" spans="1:26" s="24" customFormat="1" hidden="1" outlineLevel="1" x14ac:dyDescent="0.25">
      <c r="A58" s="51"/>
      <c r="B58" s="11" t="str">
        <f>CONCATENATE("          ", "5041", " - ", "PURCHASES @ COST-LOGO GIFTS")</f>
        <v xml:space="preserve">          5041 - PURCHASES @ COST-LOGO GIFTS</v>
      </c>
      <c r="C58" s="11"/>
      <c r="D58" s="2">
        <v>15082.2</v>
      </c>
      <c r="E58" s="2"/>
      <c r="F58" s="22">
        <f t="shared" si="7"/>
        <v>0.15607873168308639</v>
      </c>
      <c r="G58" s="2"/>
      <c r="H58" s="2"/>
      <c r="I58" s="2"/>
      <c r="J58" s="22">
        <f t="shared" si="8"/>
        <v>0</v>
      </c>
      <c r="K58" s="2"/>
      <c r="L58" s="2">
        <f t="shared" si="9"/>
        <v>15082.2</v>
      </c>
      <c r="M58" s="2"/>
      <c r="N58" s="22">
        <f t="shared" si="10"/>
        <v>0</v>
      </c>
      <c r="O58" s="11"/>
      <c r="P58" s="2">
        <v>17079.740000000002</v>
      </c>
      <c r="Q58" s="2"/>
      <c r="R58" s="22">
        <f t="shared" si="11"/>
        <v>2.7258002388271457E-2</v>
      </c>
      <c r="S58" s="2"/>
      <c r="T58" s="2"/>
      <c r="U58" s="2"/>
      <c r="V58" s="22">
        <f t="shared" si="12"/>
        <v>0</v>
      </c>
      <c r="W58" s="2"/>
      <c r="X58" s="2">
        <f t="shared" si="13"/>
        <v>17079.740000000002</v>
      </c>
      <c r="Y58" s="2"/>
      <c r="Z58" s="22">
        <f t="shared" si="14"/>
        <v>0</v>
      </c>
    </row>
    <row r="59" spans="1:26" s="24" customFormat="1" hidden="1" outlineLevel="1" x14ac:dyDescent="0.25">
      <c r="A59" s="51"/>
      <c r="B59" s="11" t="str">
        <f>CONCATENATE("          ", "5042", " - ", "PURCHASES @ COST-EVERYDAY GIFT")</f>
        <v xml:space="preserve">          5042 - PURCHASES @ COST-EVERYDAY GIFT</v>
      </c>
      <c r="C59" s="11"/>
      <c r="D59" s="2">
        <v>1475.49</v>
      </c>
      <c r="E59" s="2"/>
      <c r="F59" s="22">
        <f t="shared" si="7"/>
        <v>1.5269165493832275E-2</v>
      </c>
      <c r="G59" s="2"/>
      <c r="H59" s="2"/>
      <c r="I59" s="2"/>
      <c r="J59" s="22">
        <f t="shared" si="8"/>
        <v>0</v>
      </c>
      <c r="K59" s="2"/>
      <c r="L59" s="2">
        <f t="shared" si="9"/>
        <v>1475.49</v>
      </c>
      <c r="M59" s="2"/>
      <c r="N59" s="22">
        <f t="shared" si="10"/>
        <v>0</v>
      </c>
      <c r="O59" s="11"/>
      <c r="P59" s="2">
        <v>2966.64</v>
      </c>
      <c r="Q59" s="2"/>
      <c r="R59" s="22">
        <f t="shared" si="11"/>
        <v>4.7345381255886575E-3</v>
      </c>
      <c r="S59" s="2"/>
      <c r="T59" s="2"/>
      <c r="U59" s="2"/>
      <c r="V59" s="22">
        <f t="shared" si="12"/>
        <v>0</v>
      </c>
      <c r="W59" s="2"/>
      <c r="X59" s="2">
        <f t="shared" si="13"/>
        <v>2966.64</v>
      </c>
      <c r="Y59" s="2"/>
      <c r="Z59" s="22">
        <f t="shared" si="14"/>
        <v>0</v>
      </c>
    </row>
    <row r="60" spans="1:26" s="24" customFormat="1" hidden="1" outlineLevel="1" x14ac:dyDescent="0.25">
      <c r="A60" s="51"/>
      <c r="B60" s="11" t="str">
        <f>CONCATENATE("          ", "5043", " - ", "PURCHASES @ COST-CARDS")</f>
        <v xml:space="preserve">          5043 - PURCHASES @ COST-CARDS</v>
      </c>
      <c r="C60" s="11"/>
      <c r="D60" s="2">
        <v>2526.75</v>
      </c>
      <c r="E60" s="2"/>
      <c r="F60" s="22">
        <f t="shared" si="7"/>
        <v>2.6148170378342585E-2</v>
      </c>
      <c r="G60" s="2"/>
      <c r="H60" s="2"/>
      <c r="I60" s="2"/>
      <c r="J60" s="22">
        <f t="shared" si="8"/>
        <v>0</v>
      </c>
      <c r="K60" s="2"/>
      <c r="L60" s="2">
        <f t="shared" si="9"/>
        <v>2526.75</v>
      </c>
      <c r="M60" s="2"/>
      <c r="N60" s="22">
        <f t="shared" si="10"/>
        <v>0</v>
      </c>
      <c r="O60" s="11"/>
      <c r="P60" s="2">
        <v>5643</v>
      </c>
      <c r="Q60" s="2"/>
      <c r="R60" s="22">
        <f t="shared" si="11"/>
        <v>9.0058108306693072E-3</v>
      </c>
      <c r="S60" s="2"/>
      <c r="T60" s="2"/>
      <c r="U60" s="2"/>
      <c r="V60" s="22">
        <f t="shared" si="12"/>
        <v>0</v>
      </c>
      <c r="W60" s="2"/>
      <c r="X60" s="2">
        <f t="shared" si="13"/>
        <v>5643</v>
      </c>
      <c r="Y60" s="2"/>
      <c r="Z60" s="22">
        <f t="shared" si="14"/>
        <v>0</v>
      </c>
    </row>
    <row r="61" spans="1:26" s="24" customFormat="1" hidden="1" outlineLevel="1" x14ac:dyDescent="0.25">
      <c r="A61" s="51"/>
      <c r="B61" s="11" t="str">
        <f>CONCATENATE("          ", "5045", " - ", "PURCHASES @ COST-SPECIAL ORDER")</f>
        <v xml:space="preserve">          5045 - PURCHASES @ COST-SPECIAL ORDER</v>
      </c>
      <c r="C61" s="11"/>
      <c r="D61" s="2">
        <v>10080.23</v>
      </c>
      <c r="E61" s="2"/>
      <c r="F61" s="22">
        <f t="shared" si="7"/>
        <v>0.10431565113006046</v>
      </c>
      <c r="G61" s="2"/>
      <c r="H61" s="2"/>
      <c r="I61" s="2"/>
      <c r="J61" s="22">
        <f t="shared" si="8"/>
        <v>0</v>
      </c>
      <c r="K61" s="2"/>
      <c r="L61" s="2">
        <f t="shared" si="9"/>
        <v>10080.23</v>
      </c>
      <c r="M61" s="2"/>
      <c r="N61" s="22">
        <f t="shared" si="10"/>
        <v>0</v>
      </c>
      <c r="O61" s="11"/>
      <c r="P61" s="2">
        <v>71254.52</v>
      </c>
      <c r="Q61" s="2"/>
      <c r="R61" s="22">
        <f t="shared" si="11"/>
        <v>0.11371694629632161</v>
      </c>
      <c r="S61" s="2"/>
      <c r="T61" s="2"/>
      <c r="U61" s="2"/>
      <c r="V61" s="22">
        <f t="shared" si="12"/>
        <v>0</v>
      </c>
      <c r="W61" s="2"/>
      <c r="X61" s="2">
        <f t="shared" si="13"/>
        <v>71254.52</v>
      </c>
      <c r="Y61" s="2"/>
      <c r="Z61" s="22">
        <f t="shared" si="14"/>
        <v>0</v>
      </c>
    </row>
    <row r="62" spans="1:26" s="24" customFormat="1" hidden="1" outlineLevel="1" x14ac:dyDescent="0.25">
      <c r="A62" s="51"/>
      <c r="B62" s="11" t="str">
        <f>CONCATENATE("          ", "5200", " - ", "PURCHASES OFFSET")</f>
        <v xml:space="preserve">          5200 - PURCHASES OFFSET</v>
      </c>
      <c r="C62" s="11"/>
      <c r="D62" s="2">
        <v>-71608.86</v>
      </c>
      <c r="E62" s="2"/>
      <c r="F62" s="22">
        <f t="shared" si="7"/>
        <v>-0.74104706515440044</v>
      </c>
      <c r="G62" s="2"/>
      <c r="H62" s="2"/>
      <c r="I62" s="2"/>
      <c r="J62" s="22">
        <f t="shared" si="8"/>
        <v>0</v>
      </c>
      <c r="K62" s="2"/>
      <c r="L62" s="2">
        <f t="shared" si="9"/>
        <v>-71608.86</v>
      </c>
      <c r="M62" s="2"/>
      <c r="N62" s="22">
        <f t="shared" si="10"/>
        <v>0</v>
      </c>
      <c r="O62" s="11"/>
      <c r="P62" s="2">
        <v>-165165.74</v>
      </c>
      <c r="Q62" s="2"/>
      <c r="R62" s="22">
        <f t="shared" si="11"/>
        <v>-0.26359231085371448</v>
      </c>
      <c r="S62" s="2"/>
      <c r="T62" s="2"/>
      <c r="U62" s="2"/>
      <c r="V62" s="22">
        <f t="shared" si="12"/>
        <v>0</v>
      </c>
      <c r="W62" s="2"/>
      <c r="X62" s="2">
        <f t="shared" si="13"/>
        <v>-165165.74</v>
      </c>
      <c r="Y62" s="2"/>
      <c r="Z62" s="22">
        <f t="shared" si="14"/>
        <v>0</v>
      </c>
    </row>
    <row r="63" spans="1:26" s="24" customFormat="1" hidden="1" outlineLevel="1" x14ac:dyDescent="0.25">
      <c r="A63" s="51"/>
      <c r="B63" s="11" t="str">
        <f>CONCATENATE("          ", "5300", " - ", "COG$ OFFSET")</f>
        <v xml:space="preserve">          5300 - COG$ OFFSET</v>
      </c>
      <c r="C63" s="11"/>
      <c r="D63" s="2">
        <v>52899</v>
      </c>
      <c r="E63" s="2"/>
      <c r="F63" s="22">
        <f t="shared" si="7"/>
        <v>0.54742735325772018</v>
      </c>
      <c r="G63" s="2"/>
      <c r="H63" s="2"/>
      <c r="I63" s="2"/>
      <c r="J63" s="22">
        <f t="shared" si="8"/>
        <v>0</v>
      </c>
      <c r="K63" s="2"/>
      <c r="L63" s="2">
        <f t="shared" si="9"/>
        <v>52899</v>
      </c>
      <c r="M63" s="2"/>
      <c r="N63" s="22">
        <f t="shared" si="10"/>
        <v>0</v>
      </c>
      <c r="O63" s="11"/>
      <c r="P63" s="2">
        <v>383257</v>
      </c>
      <c r="Q63" s="2"/>
      <c r="R63" s="22">
        <f t="shared" si="11"/>
        <v>0.61164983900936154</v>
      </c>
      <c r="S63" s="2"/>
      <c r="T63" s="2"/>
      <c r="U63" s="2"/>
      <c r="V63" s="22">
        <f t="shared" si="12"/>
        <v>0</v>
      </c>
      <c r="W63" s="2"/>
      <c r="X63" s="2">
        <f t="shared" si="13"/>
        <v>383257</v>
      </c>
      <c r="Y63" s="2"/>
      <c r="Z63" s="22">
        <f t="shared" si="14"/>
        <v>0</v>
      </c>
    </row>
    <row r="64" spans="1:26" s="24" customFormat="1" hidden="1" outlineLevel="1" x14ac:dyDescent="0.25">
      <c r="A64" s="51"/>
      <c r="B64" s="11" t="str">
        <f>CONCATENATE("          ", "5525", " - ", "FREIGHT-IN-TEST FORMS")</f>
        <v xml:space="preserve">          5525 - FREIGHT-IN-TEST FORMS</v>
      </c>
      <c r="C64" s="11"/>
      <c r="D64" s="2">
        <v>48.14</v>
      </c>
      <c r="E64" s="2"/>
      <c r="F64" s="22">
        <f t="shared" si="7"/>
        <v>4.9817865717360725E-4</v>
      </c>
      <c r="G64" s="2"/>
      <c r="H64" s="2"/>
      <c r="I64" s="2"/>
      <c r="J64" s="22">
        <f t="shared" si="8"/>
        <v>0</v>
      </c>
      <c r="K64" s="2"/>
      <c r="L64" s="2">
        <f t="shared" si="9"/>
        <v>48.14</v>
      </c>
      <c r="M64" s="2"/>
      <c r="N64" s="22">
        <f t="shared" si="10"/>
        <v>0</v>
      </c>
      <c r="O64" s="11"/>
      <c r="P64" s="2">
        <v>48.14</v>
      </c>
      <c r="Q64" s="2"/>
      <c r="R64" s="22">
        <f t="shared" si="11"/>
        <v>7.6827881160450203E-5</v>
      </c>
      <c r="S64" s="2"/>
      <c r="T64" s="2"/>
      <c r="U64" s="2"/>
      <c r="V64" s="22">
        <f t="shared" si="12"/>
        <v>0</v>
      </c>
      <c r="W64" s="2"/>
      <c r="X64" s="2">
        <f t="shared" si="13"/>
        <v>48.14</v>
      </c>
      <c r="Y64" s="2"/>
      <c r="Z64" s="22">
        <f t="shared" si="14"/>
        <v>0</v>
      </c>
    </row>
    <row r="65" spans="1:26" s="24" customFormat="1" hidden="1" outlineLevel="1" x14ac:dyDescent="0.25">
      <c r="A65" s="51"/>
      <c r="B65" s="11" t="str">
        <f>CONCATENATE("          ", "5527", " - ", "FREIGHT-IN-SCHOOL SUPPLIES")</f>
        <v xml:space="preserve">          5527 - FREIGHT-IN-SCHOOL SUPPLIES</v>
      </c>
      <c r="C65" s="11"/>
      <c r="D65" s="2">
        <v>56</v>
      </c>
      <c r="E65" s="2"/>
      <c r="F65" s="22">
        <f t="shared" si="7"/>
        <v>5.7951817203410897E-4</v>
      </c>
      <c r="G65" s="2"/>
      <c r="H65" s="2"/>
      <c r="I65" s="2"/>
      <c r="J65" s="22">
        <f t="shared" si="8"/>
        <v>0</v>
      </c>
      <c r="K65" s="2"/>
      <c r="L65" s="2">
        <f t="shared" si="9"/>
        <v>56</v>
      </c>
      <c r="M65" s="2"/>
      <c r="N65" s="22">
        <f t="shared" si="10"/>
        <v>0</v>
      </c>
      <c r="O65" s="11"/>
      <c r="P65" s="2">
        <v>56</v>
      </c>
      <c r="Q65" s="2"/>
      <c r="R65" s="22">
        <f t="shared" si="11"/>
        <v>8.9371860095247433E-5</v>
      </c>
      <c r="S65" s="2"/>
      <c r="T65" s="2"/>
      <c r="U65" s="2"/>
      <c r="V65" s="22">
        <f t="shared" si="12"/>
        <v>0</v>
      </c>
      <c r="W65" s="2"/>
      <c r="X65" s="2">
        <f t="shared" si="13"/>
        <v>56</v>
      </c>
      <c r="Y65" s="2"/>
      <c r="Z65" s="22">
        <f t="shared" si="14"/>
        <v>0</v>
      </c>
    </row>
    <row r="66" spans="1:26" s="24" customFormat="1" hidden="1" outlineLevel="1" x14ac:dyDescent="0.25">
      <c r="A66" s="51"/>
      <c r="B66" s="11" t="str">
        <f>CONCATENATE("          ", "5528", " - ", "FREIGHT-IN-ART/TECH")</f>
        <v xml:space="preserve">          5528 - FREIGHT-IN-ART/TECH</v>
      </c>
      <c r="C66" s="11"/>
      <c r="D66" s="2">
        <v>3.94</v>
      </c>
      <c r="E66" s="2"/>
      <c r="F66" s="22">
        <f t="shared" si="7"/>
        <v>4.0773242818114097E-5</v>
      </c>
      <c r="G66" s="2"/>
      <c r="H66" s="2"/>
      <c r="I66" s="2"/>
      <c r="J66" s="22">
        <f t="shared" si="8"/>
        <v>0</v>
      </c>
      <c r="K66" s="2"/>
      <c r="L66" s="2">
        <f t="shared" si="9"/>
        <v>3.94</v>
      </c>
      <c r="M66" s="2"/>
      <c r="N66" s="22">
        <f t="shared" si="10"/>
        <v>0</v>
      </c>
      <c r="O66" s="11"/>
      <c r="P66" s="2">
        <v>3.94</v>
      </c>
      <c r="Q66" s="2"/>
      <c r="R66" s="22">
        <f t="shared" si="11"/>
        <v>6.2879487281299087E-6</v>
      </c>
      <c r="S66" s="2"/>
      <c r="T66" s="2"/>
      <c r="U66" s="2"/>
      <c r="V66" s="22">
        <f t="shared" si="12"/>
        <v>0</v>
      </c>
      <c r="W66" s="2"/>
      <c r="X66" s="2">
        <f t="shared" si="13"/>
        <v>3.94</v>
      </c>
      <c r="Y66" s="2"/>
      <c r="Z66" s="22">
        <f t="shared" si="14"/>
        <v>0</v>
      </c>
    </row>
    <row r="67" spans="1:26" s="24" customFormat="1" hidden="1" outlineLevel="1" x14ac:dyDescent="0.25">
      <c r="A67" s="51"/>
      <c r="B67" s="11" t="str">
        <f>CONCATENATE("          ", "5540", " - ", "FREIGHT-IN-LOGO CLOTHING")</f>
        <v xml:space="preserve">          5540 - FREIGHT-IN-LOGO CLOTHING</v>
      </c>
      <c r="C67" s="11"/>
      <c r="D67" s="2">
        <v>1036.57</v>
      </c>
      <c r="E67" s="2"/>
      <c r="F67" s="22">
        <f t="shared" si="7"/>
        <v>1.072698484973922E-2</v>
      </c>
      <c r="G67" s="2"/>
      <c r="H67" s="2"/>
      <c r="I67" s="2"/>
      <c r="J67" s="22">
        <f t="shared" si="8"/>
        <v>0</v>
      </c>
      <c r="K67" s="2"/>
      <c r="L67" s="2">
        <f t="shared" si="9"/>
        <v>1036.57</v>
      </c>
      <c r="M67" s="2"/>
      <c r="N67" s="22">
        <f t="shared" si="10"/>
        <v>0</v>
      </c>
      <c r="O67" s="11"/>
      <c r="P67" s="2">
        <v>3202.33</v>
      </c>
      <c r="Q67" s="2"/>
      <c r="R67" s="22">
        <f t="shared" si="11"/>
        <v>5.1106819417645307E-3</v>
      </c>
      <c r="S67" s="2"/>
      <c r="T67" s="2"/>
      <c r="U67" s="2"/>
      <c r="V67" s="22">
        <f t="shared" si="12"/>
        <v>0</v>
      </c>
      <c r="W67" s="2"/>
      <c r="X67" s="2">
        <f t="shared" si="13"/>
        <v>3202.33</v>
      </c>
      <c r="Y67" s="2"/>
      <c r="Z67" s="22">
        <f t="shared" si="14"/>
        <v>0</v>
      </c>
    </row>
    <row r="68" spans="1:26" s="24" customFormat="1" hidden="1" outlineLevel="1" x14ac:dyDescent="0.25">
      <c r="A68" s="51"/>
      <c r="B68" s="11" t="str">
        <f>CONCATENATE("          ", "5541", " - ", "FREIGHT-IN-LOGO GIFTS")</f>
        <v xml:space="preserve">          5541 - FREIGHT-IN-LOGO GIFTS</v>
      </c>
      <c r="C68" s="11"/>
      <c r="D68" s="2">
        <v>773.7</v>
      </c>
      <c r="E68" s="2"/>
      <c r="F68" s="22">
        <f t="shared" si="7"/>
        <v>8.0066644589783954E-3</v>
      </c>
      <c r="G68" s="2"/>
      <c r="H68" s="2"/>
      <c r="I68" s="2"/>
      <c r="J68" s="22">
        <f t="shared" si="8"/>
        <v>0</v>
      </c>
      <c r="K68" s="2"/>
      <c r="L68" s="2">
        <f t="shared" si="9"/>
        <v>773.7</v>
      </c>
      <c r="M68" s="2"/>
      <c r="N68" s="22">
        <f t="shared" si="10"/>
        <v>0</v>
      </c>
      <c r="O68" s="11"/>
      <c r="P68" s="2">
        <v>1134.81</v>
      </c>
      <c r="Q68" s="2"/>
      <c r="R68" s="22">
        <f t="shared" si="11"/>
        <v>1.8110728670479952E-3</v>
      </c>
      <c r="S68" s="2"/>
      <c r="T68" s="2"/>
      <c r="U68" s="2"/>
      <c r="V68" s="22">
        <f t="shared" si="12"/>
        <v>0</v>
      </c>
      <c r="W68" s="2"/>
      <c r="X68" s="2">
        <f t="shared" si="13"/>
        <v>1134.81</v>
      </c>
      <c r="Y68" s="2"/>
      <c r="Z68" s="22">
        <f t="shared" si="14"/>
        <v>0</v>
      </c>
    </row>
    <row r="69" spans="1:26" s="24" customFormat="1" hidden="1" outlineLevel="1" x14ac:dyDescent="0.25">
      <c r="A69" s="51"/>
      <c r="B69" s="11" t="str">
        <f>CONCATENATE("          ", "5542", " - ", "FREIGHT-IN-EVERYDAY GIFTS")</f>
        <v xml:space="preserve">          5542 - FREIGHT-IN-EVERYDAY GIFTS</v>
      </c>
      <c r="C69" s="11"/>
      <c r="D69" s="2">
        <v>104.17</v>
      </c>
      <c r="E69" s="2"/>
      <c r="F69" s="22">
        <f t="shared" si="7"/>
        <v>1.078007285371306E-3</v>
      </c>
      <c r="G69" s="2"/>
      <c r="H69" s="2"/>
      <c r="I69" s="2"/>
      <c r="J69" s="22">
        <f t="shared" si="8"/>
        <v>0</v>
      </c>
      <c r="K69" s="2"/>
      <c r="L69" s="2">
        <f t="shared" si="9"/>
        <v>104.17</v>
      </c>
      <c r="M69" s="2"/>
      <c r="N69" s="22">
        <f t="shared" si="10"/>
        <v>0</v>
      </c>
      <c r="O69" s="11"/>
      <c r="P69" s="2">
        <v>175.55</v>
      </c>
      <c r="Q69" s="2"/>
      <c r="R69" s="22">
        <f t="shared" si="11"/>
        <v>2.801648221378694E-4</v>
      </c>
      <c r="S69" s="2"/>
      <c r="T69" s="2"/>
      <c r="U69" s="2"/>
      <c r="V69" s="22">
        <f t="shared" si="12"/>
        <v>0</v>
      </c>
      <c r="W69" s="2"/>
      <c r="X69" s="2">
        <f t="shared" si="13"/>
        <v>175.55</v>
      </c>
      <c r="Y69" s="2"/>
      <c r="Z69" s="22">
        <f t="shared" si="14"/>
        <v>0</v>
      </c>
    </row>
    <row r="70" spans="1:26" s="24" customFormat="1" hidden="1" outlineLevel="1" x14ac:dyDescent="0.25">
      <c r="A70" s="51"/>
      <c r="B70" s="11" t="str">
        <f>CONCATENATE("          ", "5543", " - ", "FREIGHT-IN-CARDS")</f>
        <v xml:space="preserve">          5543 - FREIGHT-IN-CARDS</v>
      </c>
      <c r="C70" s="11"/>
      <c r="D70" s="2">
        <v>107.42</v>
      </c>
      <c r="E70" s="2"/>
      <c r="F70" s="22">
        <f t="shared" si="7"/>
        <v>1.1116400364268569E-3</v>
      </c>
      <c r="G70" s="2"/>
      <c r="H70" s="2"/>
      <c r="I70" s="2"/>
      <c r="J70" s="22">
        <f t="shared" si="8"/>
        <v>0</v>
      </c>
      <c r="K70" s="2"/>
      <c r="L70" s="2">
        <f t="shared" si="9"/>
        <v>107.42</v>
      </c>
      <c r="M70" s="2"/>
      <c r="N70" s="22">
        <f t="shared" si="10"/>
        <v>0</v>
      </c>
      <c r="O70" s="11"/>
      <c r="P70" s="2">
        <v>189.19</v>
      </c>
      <c r="Q70" s="2"/>
      <c r="R70" s="22">
        <f t="shared" si="11"/>
        <v>3.0193325377535468E-4</v>
      </c>
      <c r="S70" s="2"/>
      <c r="T70" s="2"/>
      <c r="U70" s="2"/>
      <c r="V70" s="22">
        <f t="shared" si="12"/>
        <v>0</v>
      </c>
      <c r="W70" s="2"/>
      <c r="X70" s="2">
        <f t="shared" si="13"/>
        <v>189.19</v>
      </c>
      <c r="Y70" s="2"/>
      <c r="Z70" s="22">
        <f t="shared" si="14"/>
        <v>0</v>
      </c>
    </row>
    <row r="71" spans="1:26" s="24" customFormat="1" hidden="1" outlineLevel="1" x14ac:dyDescent="0.25">
      <c r="A71" s="51"/>
      <c r="B71" s="11" t="str">
        <f>CONCATENATE("          ", "5545", " - ", "FREIGHT-IN-SPECIAL ORDERS")</f>
        <v xml:space="preserve">          5545 - FREIGHT-IN-SPECIAL ORDERS</v>
      </c>
      <c r="C71" s="11"/>
      <c r="D71" s="2">
        <v>189.66</v>
      </c>
      <c r="E71" s="2"/>
      <c r="F71" s="22">
        <f t="shared" si="7"/>
        <v>1.962703866214091E-3</v>
      </c>
      <c r="G71" s="2"/>
      <c r="H71" s="2"/>
      <c r="I71" s="2"/>
      <c r="J71" s="22">
        <f t="shared" si="8"/>
        <v>0</v>
      </c>
      <c r="K71" s="2"/>
      <c r="L71" s="2">
        <f t="shared" si="9"/>
        <v>189.66</v>
      </c>
      <c r="M71" s="2"/>
      <c r="N71" s="22">
        <f t="shared" si="10"/>
        <v>0</v>
      </c>
      <c r="O71" s="11"/>
      <c r="P71" s="2">
        <v>850.27</v>
      </c>
      <c r="Q71" s="2"/>
      <c r="R71" s="22">
        <f t="shared" si="11"/>
        <v>1.3569680621997506E-3</v>
      </c>
      <c r="S71" s="2"/>
      <c r="T71" s="2"/>
      <c r="U71" s="2"/>
      <c r="V71" s="22">
        <f t="shared" si="12"/>
        <v>0</v>
      </c>
      <c r="W71" s="2"/>
      <c r="X71" s="2">
        <f t="shared" si="13"/>
        <v>850.27</v>
      </c>
      <c r="Y71" s="2"/>
      <c r="Z71" s="22">
        <f t="shared" si="14"/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6</v>
      </c>
      <c r="C73" s="26"/>
      <c r="D73" s="20">
        <f>D12-D50</f>
        <v>43732.999999999964</v>
      </c>
      <c r="E73" s="13"/>
      <c r="F73" s="19">
        <f>IF(D$12=0,0,D73/D$12)</f>
        <v>0.45257264674227976</v>
      </c>
      <c r="G73" s="13"/>
      <c r="H73" s="20">
        <f>H12-H50</f>
        <v>155246</v>
      </c>
      <c r="I73" s="13"/>
      <c r="J73" s="19">
        <f>IF(H$12=0,0,H73/H$12)</f>
        <v>0.53750142818068825</v>
      </c>
      <c r="K73" s="15"/>
      <c r="L73" s="20">
        <f>+D73-H73</f>
        <v>-111513.00000000003</v>
      </c>
      <c r="M73" s="15"/>
      <c r="N73" s="19">
        <f>IF(H73=0,0,L73/H73)</f>
        <v>-0.71829870012753971</v>
      </c>
      <c r="O73" s="25"/>
      <c r="P73" s="20">
        <f>P12-P50</f>
        <v>242421.89999999985</v>
      </c>
      <c r="Q73" s="13"/>
      <c r="R73" s="19">
        <f>IF(P$12=0,0,P73/P$12)</f>
        <v>0.38688743090757233</v>
      </c>
      <c r="S73" s="13"/>
      <c r="T73" s="20">
        <f>T12-T50</f>
        <v>585973</v>
      </c>
      <c r="U73" s="13"/>
      <c r="V73" s="19">
        <f>IF(T$12=0,0,T73/T$12)</f>
        <v>0.53749966748701827</v>
      </c>
      <c r="W73" s="15"/>
      <c r="X73" s="20">
        <f>+P73-T73</f>
        <v>-343551.10000000015</v>
      </c>
      <c r="Y73" s="15"/>
      <c r="Z73" s="19">
        <f>IF(T73=0,0,X73/T73)</f>
        <v>-0.5862916892075235</v>
      </c>
    </row>
    <row r="74" spans="1:26" x14ac:dyDescent="0.25">
      <c r="A74" s="9"/>
      <c r="B74" s="10"/>
      <c r="C74" s="9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5" t="s">
        <v>9</v>
      </c>
      <c r="C75" s="10"/>
      <c r="D75" s="21">
        <f>SUM(OSRRefD22x_0)</f>
        <v>53063.6</v>
      </c>
      <c r="E75" s="21"/>
      <c r="F75" s="31">
        <f t="shared" ref="F75:F85" si="15">IF(D$12=0,0,D75/D$12)</f>
        <v>0.54913072274194896</v>
      </c>
      <c r="G75" s="21"/>
      <c r="H75" s="21">
        <f>SUM(OSRRefH22x_0)</f>
        <v>105528.44397884616</v>
      </c>
      <c r="I75" s="21"/>
      <c r="J75" s="31">
        <f t="shared" ref="J75:J85" si="16">IF(H$12=0,0,H75/H$12)</f>
        <v>0.3653665109073056</v>
      </c>
      <c r="K75" s="4"/>
      <c r="L75" s="21">
        <f t="shared" ref="L75:L85" si="17">+D75-H75</f>
        <v>-52464.843978846162</v>
      </c>
      <c r="M75" s="4"/>
      <c r="N75" s="31">
        <f t="shared" ref="N75:N85" si="18">IF(H75=0,0,L75/H75)</f>
        <v>-0.49716305860970594</v>
      </c>
      <c r="O75" s="10"/>
      <c r="P75" s="21">
        <f>SUM(OSRRefP22x_0)</f>
        <v>199967.35999999993</v>
      </c>
      <c r="Q75" s="21"/>
      <c r="R75" s="31">
        <f t="shared" ref="R75:R85" si="19">IF(P$12=0,0,P75/P$12)</f>
        <v>0.31913312359885659</v>
      </c>
      <c r="S75" s="21"/>
      <c r="T75" s="21">
        <f>SUM(OSRRefT22x_0)</f>
        <v>405087.42864884617</v>
      </c>
      <c r="U75" s="21"/>
      <c r="V75" s="31">
        <f t="shared" ref="V75:V85" si="20">IF(T$12=0,0,T75/T$12)</f>
        <v>0.37157745869165648</v>
      </c>
      <c r="W75" s="4"/>
      <c r="X75" s="21">
        <f t="shared" ref="X75:X85" si="21">+P75-T75</f>
        <v>-205120.06864884624</v>
      </c>
      <c r="Y75" s="4"/>
      <c r="Z75" s="31">
        <f t="shared" ref="Z75:Z85" si="22">IF(T75=0,0,X75/T75)</f>
        <v>-0.50635999574960022</v>
      </c>
    </row>
    <row r="76" spans="1:26" s="27" customFormat="1" outlineLevel="1" collapsed="1" x14ac:dyDescent="0.25">
      <c r="A76" s="29"/>
      <c r="B76" s="14" t="str">
        <f>CONCATENATE("     ","*Benefits                                         ")</f>
        <v xml:space="preserve">     *Benefits                                         </v>
      </c>
      <c r="C76" s="14"/>
      <c r="D76" s="1">
        <f>SUM(OSRRefD22_0x_0)</f>
        <v>9376.01</v>
      </c>
      <c r="E76" s="1"/>
      <c r="F76" s="5">
        <f t="shared" si="15"/>
        <v>9.7028003145955818E-2</v>
      </c>
      <c r="G76" s="1"/>
      <c r="H76" s="1">
        <f>SUM(OSRRefH22_0x_0)</f>
        <v>13056.713209615371</v>
      </c>
      <c r="I76" s="1"/>
      <c r="J76" s="5">
        <f t="shared" si="16"/>
        <v>4.5205686442896562E-2</v>
      </c>
      <c r="K76" s="1"/>
      <c r="L76" s="1">
        <f t="shared" si="17"/>
        <v>-3680.7032096153707</v>
      </c>
      <c r="M76" s="1"/>
      <c r="N76" s="5">
        <f t="shared" si="18"/>
        <v>-0.2819012067221317</v>
      </c>
      <c r="O76" s="14"/>
      <c r="P76" s="1">
        <f>SUM(OSRRefP22_0x_0)</f>
        <v>42607.72</v>
      </c>
      <c r="Q76" s="1"/>
      <c r="R76" s="5">
        <f t="shared" si="19"/>
        <v>6.7998771264597788E-2</v>
      </c>
      <c r="S76" s="1"/>
      <c r="T76" s="1">
        <f>SUM(OSRRefT22_0x_0)</f>
        <v>54495.197879615356</v>
      </c>
      <c r="U76" s="1"/>
      <c r="V76" s="5">
        <f t="shared" si="20"/>
        <v>4.9987202038204004E-2</v>
      </c>
      <c r="W76" s="1"/>
      <c r="X76" s="1">
        <f t="shared" si="21"/>
        <v>-11887.477879615355</v>
      </c>
      <c r="Y76" s="1"/>
      <c r="Z76" s="5">
        <f t="shared" si="22"/>
        <v>-0.21813808082458624</v>
      </c>
    </row>
    <row r="77" spans="1:26" s="24" customFormat="1" hidden="1" outlineLevel="2" x14ac:dyDescent="0.25">
      <c r="A77" s="28"/>
      <c r="B77" s="11" t="str">
        <f>CONCATENATE("          ", "6111", " - ", "F.I.C.A.")</f>
        <v xml:space="preserve">          6111 - F.I.C.A.</v>
      </c>
      <c r="C77" s="11"/>
      <c r="D77" s="7">
        <v>2370.91</v>
      </c>
      <c r="E77" s="2"/>
      <c r="F77" s="6">
        <f t="shared" si="15"/>
        <v>2.4535454093881949E-2</v>
      </c>
      <c r="G77" s="2"/>
      <c r="H77" s="7">
        <v>1826.34429807692</v>
      </c>
      <c r="I77" s="2"/>
      <c r="J77" s="6">
        <f t="shared" si="16"/>
        <v>6.3232718947090491E-3</v>
      </c>
      <c r="K77" s="2"/>
      <c r="L77" s="7">
        <f t="shared" si="17"/>
        <v>544.56570192307981</v>
      </c>
      <c r="M77" s="2"/>
      <c r="N77" s="6">
        <f t="shared" si="18"/>
        <v>0.29817253104821989</v>
      </c>
      <c r="O77" s="11"/>
      <c r="P77" s="7">
        <v>10989.37</v>
      </c>
      <c r="Q77" s="2"/>
      <c r="R77" s="6">
        <f t="shared" si="19"/>
        <v>1.7538222110266236E-2</v>
      </c>
      <c r="S77" s="2"/>
      <c r="T77" s="7">
        <v>11838.305018076921</v>
      </c>
      <c r="U77" s="2"/>
      <c r="V77" s="6">
        <f t="shared" si="20"/>
        <v>1.0859007174095469E-2</v>
      </c>
      <c r="W77" s="2"/>
      <c r="X77" s="7">
        <f t="shared" si="21"/>
        <v>-848.93501807691973</v>
      </c>
      <c r="Y77" s="2"/>
      <c r="Z77" s="6">
        <f t="shared" si="22"/>
        <v>-7.1710858672809005E-2</v>
      </c>
    </row>
    <row r="78" spans="1:26" s="24" customFormat="1" hidden="1" outlineLevel="2" x14ac:dyDescent="0.25">
      <c r="A78" s="28"/>
      <c r="B78" s="11" t="str">
        <f>CONCATENATE("          ", "6112", " - ", "COMPENSATION INSURANCE")</f>
        <v xml:space="preserve">          6112 - COMPENSATION INSURANCE</v>
      </c>
      <c r="C78" s="11"/>
      <c r="D78" s="7">
        <v>500.44</v>
      </c>
      <c r="E78" s="2"/>
      <c r="F78" s="6">
        <f t="shared" si="15"/>
        <v>5.1788227502276695E-3</v>
      </c>
      <c r="G78" s="2"/>
      <c r="H78" s="7">
        <v>1164.3238269230801</v>
      </c>
      <c r="I78" s="2"/>
      <c r="J78" s="6">
        <f t="shared" si="16"/>
        <v>4.031187404738029E-3</v>
      </c>
      <c r="K78" s="2"/>
      <c r="L78" s="7">
        <f t="shared" si="17"/>
        <v>-663.88382692308005</v>
      </c>
      <c r="M78" s="2"/>
      <c r="N78" s="6">
        <f t="shared" si="18"/>
        <v>-0.57018830292042011</v>
      </c>
      <c r="O78" s="11"/>
      <c r="P78" s="7">
        <v>3928.65</v>
      </c>
      <c r="Q78" s="2"/>
      <c r="R78" s="6">
        <f t="shared" si="19"/>
        <v>6.2698349671998898E-3</v>
      </c>
      <c r="S78" s="2"/>
      <c r="T78" s="7">
        <v>4313.8470769230798</v>
      </c>
      <c r="U78" s="2"/>
      <c r="V78" s="6">
        <f t="shared" si="20"/>
        <v>3.9569935294561367E-3</v>
      </c>
      <c r="W78" s="2"/>
      <c r="X78" s="7">
        <f t="shared" si="21"/>
        <v>-385.19707692307975</v>
      </c>
      <c r="Y78" s="2"/>
      <c r="Z78" s="6">
        <f t="shared" si="22"/>
        <v>-8.9293169195470812E-2</v>
      </c>
    </row>
    <row r="79" spans="1:26" s="24" customFormat="1" hidden="1" outlineLevel="2" x14ac:dyDescent="0.25">
      <c r="A79" s="28"/>
      <c r="B79" s="11" t="str">
        <f>CONCATENATE("          ", "6113", " - ", "GROUP INSURANCE")</f>
        <v xml:space="preserve">          6113 - GROUP INSURANCE</v>
      </c>
      <c r="C79" s="11"/>
      <c r="D79" s="7">
        <v>2826.13</v>
      </c>
      <c r="E79" s="2"/>
      <c r="F79" s="6">
        <f t="shared" si="15"/>
        <v>2.9246315920192077E-2</v>
      </c>
      <c r="G79" s="2"/>
      <c r="H79" s="7">
        <v>5122.3076923076906</v>
      </c>
      <c r="I79" s="2"/>
      <c r="J79" s="6">
        <f t="shared" si="16"/>
        <v>1.7734741637119855E-2</v>
      </c>
      <c r="K79" s="2"/>
      <c r="L79" s="7">
        <f t="shared" si="17"/>
        <v>-2296.1776923076904</v>
      </c>
      <c r="M79" s="2"/>
      <c r="N79" s="6">
        <f t="shared" si="18"/>
        <v>-0.44827016068478731</v>
      </c>
      <c r="O79" s="11"/>
      <c r="P79" s="7">
        <v>12140.74</v>
      </c>
      <c r="Q79" s="2"/>
      <c r="R79" s="6">
        <f t="shared" si="19"/>
        <v>1.9375723513085256E-2</v>
      </c>
      <c r="S79" s="2"/>
      <c r="T79" s="7">
        <v>20182.307692307681</v>
      </c>
      <c r="U79" s="2"/>
      <c r="V79" s="6">
        <f t="shared" si="20"/>
        <v>1.8512770509453623E-2</v>
      </c>
      <c r="W79" s="2"/>
      <c r="X79" s="7">
        <f t="shared" si="21"/>
        <v>-8041.5676923076808</v>
      </c>
      <c r="Y79" s="2"/>
      <c r="Z79" s="6">
        <f t="shared" si="22"/>
        <v>-0.3984463924991421</v>
      </c>
    </row>
    <row r="80" spans="1:26" s="24" customFormat="1" hidden="1" outlineLevel="2" x14ac:dyDescent="0.25">
      <c r="A80" s="28"/>
      <c r="B80" s="11" t="str">
        <f>CONCATENATE("          ", "6114", " - ", "STATE UNEMPLOYMENT INSURANCE")</f>
        <v xml:space="preserve">          6114 - STATE UNEMPLOYMENT INSURANCE</v>
      </c>
      <c r="C80" s="11"/>
      <c r="D80" s="7">
        <v>70.33</v>
      </c>
      <c r="E80" s="2"/>
      <c r="F80" s="6">
        <f t="shared" si="15"/>
        <v>7.2781273284212291E-4</v>
      </c>
      <c r="G80" s="2"/>
      <c r="H80" s="7">
        <v>163.63470000000001</v>
      </c>
      <c r="I80" s="2"/>
      <c r="J80" s="6">
        <f t="shared" si="16"/>
        <v>5.665452568820998E-4</v>
      </c>
      <c r="K80" s="2"/>
      <c r="L80" s="7">
        <f t="shared" si="17"/>
        <v>-93.304700000000011</v>
      </c>
      <c r="M80" s="2"/>
      <c r="N80" s="6">
        <f t="shared" si="18"/>
        <v>-0.57020118593427926</v>
      </c>
      <c r="O80" s="11"/>
      <c r="P80" s="7">
        <v>378.36</v>
      </c>
      <c r="Q80" s="2"/>
      <c r="R80" s="6">
        <f t="shared" si="19"/>
        <v>6.0383458902924674E-4</v>
      </c>
      <c r="S80" s="2"/>
      <c r="T80" s="7">
        <v>606.2704</v>
      </c>
      <c r="U80" s="2"/>
      <c r="V80" s="6">
        <f t="shared" si="20"/>
        <v>5.5611800954518645E-4</v>
      </c>
      <c r="W80" s="2"/>
      <c r="X80" s="7">
        <f t="shared" si="21"/>
        <v>-227.91039999999998</v>
      </c>
      <c r="Y80" s="2"/>
      <c r="Z80" s="6">
        <f t="shared" si="22"/>
        <v>-0.37592203082980791</v>
      </c>
    </row>
    <row r="81" spans="1:26" s="24" customFormat="1" hidden="1" outlineLevel="2" x14ac:dyDescent="0.25">
      <c r="A81" s="28"/>
      <c r="B81" s="11" t="str">
        <f>CONCATENATE("          ", "6115", " - ", "P.E.R.S.")</f>
        <v xml:space="preserve">          6115 - P.E.R.S.</v>
      </c>
      <c r="C81" s="11"/>
      <c r="D81" s="7">
        <v>1018.93</v>
      </c>
      <c r="E81" s="2"/>
      <c r="F81" s="6">
        <f t="shared" si="15"/>
        <v>1.0544436625548475E-2</v>
      </c>
      <c r="G81" s="2"/>
      <c r="H81" s="7">
        <v>1426.69038461538</v>
      </c>
      <c r="I81" s="2"/>
      <c r="J81" s="6">
        <f t="shared" si="16"/>
        <v>4.9395676494236379E-3</v>
      </c>
      <c r="K81" s="2"/>
      <c r="L81" s="7">
        <f t="shared" si="17"/>
        <v>-407.76038461538008</v>
      </c>
      <c r="M81" s="2"/>
      <c r="N81" s="6">
        <f t="shared" si="18"/>
        <v>-0.28580860221140958</v>
      </c>
      <c r="O81" s="11"/>
      <c r="P81" s="7">
        <v>5817.36</v>
      </c>
      <c r="Q81" s="2"/>
      <c r="R81" s="6">
        <f t="shared" si="19"/>
        <v>9.2840765007801522E-3</v>
      </c>
      <c r="S81" s="2"/>
      <c r="T81" s="7">
        <v>5136.0853846153796</v>
      </c>
      <c r="U81" s="2"/>
      <c r="V81" s="6">
        <f t="shared" si="20"/>
        <v>4.7112139747321133E-3</v>
      </c>
      <c r="W81" s="2"/>
      <c r="X81" s="7">
        <f t="shared" si="21"/>
        <v>681.27461538462012</v>
      </c>
      <c r="Y81" s="2"/>
      <c r="Z81" s="6">
        <f t="shared" si="22"/>
        <v>0.13264472148872541</v>
      </c>
    </row>
    <row r="82" spans="1:26" s="24" customFormat="1" hidden="1" outlineLevel="2" x14ac:dyDescent="0.25">
      <c r="A82" s="28"/>
      <c r="B82" s="11" t="str">
        <f>CONCATENATE("          ", "6116", " - ", "EDUCATIONAL BENEFITS")</f>
        <v xml:space="preserve">          6116 - EDUCATIONAL BENEFITS</v>
      </c>
      <c r="C82" s="11"/>
      <c r="D82" s="7"/>
      <c r="E82" s="2"/>
      <c r="F82" s="6">
        <f t="shared" si="15"/>
        <v>0</v>
      </c>
      <c r="G82" s="2"/>
      <c r="H82" s="7">
        <v>0</v>
      </c>
      <c r="I82" s="2"/>
      <c r="J82" s="6">
        <f t="shared" si="16"/>
        <v>0</v>
      </c>
      <c r="K82" s="2"/>
      <c r="L82" s="7">
        <f t="shared" si="17"/>
        <v>0</v>
      </c>
      <c r="M82" s="2"/>
      <c r="N82" s="6">
        <f t="shared" si="18"/>
        <v>0</v>
      </c>
      <c r="O82" s="11"/>
      <c r="P82" s="7"/>
      <c r="Q82" s="2"/>
      <c r="R82" s="6">
        <f t="shared" si="19"/>
        <v>0</v>
      </c>
      <c r="S82" s="2"/>
      <c r="T82" s="7">
        <v>0</v>
      </c>
      <c r="U82" s="2"/>
      <c r="V82" s="6">
        <f t="shared" si="20"/>
        <v>0</v>
      </c>
      <c r="W82" s="2"/>
      <c r="X82" s="7">
        <f t="shared" si="21"/>
        <v>0</v>
      </c>
      <c r="Y82" s="2"/>
      <c r="Z82" s="6">
        <f t="shared" si="22"/>
        <v>0</v>
      </c>
    </row>
    <row r="83" spans="1:26" s="24" customFormat="1" hidden="1" outlineLevel="2" x14ac:dyDescent="0.25">
      <c r="A83" s="28"/>
      <c r="B83" s="11" t="str">
        <f>CONCATENATE("          ", "6118", " - ", "VACATION")</f>
        <v xml:space="preserve">          6118 - VACATION</v>
      </c>
      <c r="C83" s="11"/>
      <c r="D83" s="7">
        <v>1209.6500000000001</v>
      </c>
      <c r="E83" s="2"/>
      <c r="F83" s="6">
        <f t="shared" si="15"/>
        <v>1.251810994287607E-2</v>
      </c>
      <c r="G83" s="2"/>
      <c r="H83" s="7">
        <v>1069.4711538461499</v>
      </c>
      <c r="I83" s="2"/>
      <c r="J83" s="6">
        <f t="shared" si="16"/>
        <v>3.7027831479738873E-3</v>
      </c>
      <c r="K83" s="2"/>
      <c r="L83" s="7">
        <f t="shared" si="17"/>
        <v>140.17884615385015</v>
      </c>
      <c r="M83" s="2"/>
      <c r="N83" s="6">
        <f t="shared" si="18"/>
        <v>0.13107305012362749</v>
      </c>
      <c r="O83" s="11"/>
      <c r="P83" s="7">
        <v>4669.99</v>
      </c>
      <c r="Q83" s="2"/>
      <c r="R83" s="6">
        <f t="shared" si="19"/>
        <v>7.4529588022536524E-3</v>
      </c>
      <c r="S83" s="2"/>
      <c r="T83" s="7">
        <v>3850.0961538461456</v>
      </c>
      <c r="U83" s="2"/>
      <c r="V83" s="6">
        <f t="shared" si="20"/>
        <v>3.5316053853767172E-3</v>
      </c>
      <c r="W83" s="2"/>
      <c r="X83" s="7">
        <f t="shared" si="21"/>
        <v>819.89384615385416</v>
      </c>
      <c r="Y83" s="2"/>
      <c r="Z83" s="6">
        <f t="shared" si="22"/>
        <v>0.21295412202492697</v>
      </c>
    </row>
    <row r="84" spans="1:26" s="24" customFormat="1" hidden="1" outlineLevel="2" x14ac:dyDescent="0.25">
      <c r="A84" s="28"/>
      <c r="B84" s="11" t="str">
        <f>CONCATENATE("          ", "6119", " - ", "SICK LEAVE")</f>
        <v xml:space="preserve">          6119 - SICK LEAVE</v>
      </c>
      <c r="C84" s="11"/>
      <c r="D84" s="7">
        <v>1021.86</v>
      </c>
      <c r="E84" s="2"/>
      <c r="F84" s="6">
        <f t="shared" si="15"/>
        <v>1.0574757844192404E-2</v>
      </c>
      <c r="G84" s="2"/>
      <c r="H84" s="7">
        <v>1583.94115384615</v>
      </c>
      <c r="I84" s="2"/>
      <c r="J84" s="6">
        <f t="shared" si="16"/>
        <v>5.4840101023309641E-3</v>
      </c>
      <c r="K84" s="2"/>
      <c r="L84" s="7">
        <f t="shared" si="17"/>
        <v>-562.08115384614996</v>
      </c>
      <c r="M84" s="2"/>
      <c r="N84" s="6">
        <f t="shared" si="18"/>
        <v>-0.35486239654882124</v>
      </c>
      <c r="O84" s="11"/>
      <c r="P84" s="7">
        <v>3449.34</v>
      </c>
      <c r="Q84" s="2"/>
      <c r="R84" s="6">
        <f t="shared" si="19"/>
        <v>5.5048916410882281E-3</v>
      </c>
      <c r="S84" s="2"/>
      <c r="T84" s="7">
        <v>5768.2861538461402</v>
      </c>
      <c r="U84" s="2"/>
      <c r="V84" s="6">
        <f t="shared" si="20"/>
        <v>5.2911173205288835E-3</v>
      </c>
      <c r="W84" s="2"/>
      <c r="X84" s="7">
        <f t="shared" si="21"/>
        <v>-2318.9461538461401</v>
      </c>
      <c r="Y84" s="2"/>
      <c r="Z84" s="6">
        <f t="shared" si="22"/>
        <v>-0.40201649016665519</v>
      </c>
    </row>
    <row r="85" spans="1:26" s="24" customFormat="1" hidden="1" outlineLevel="2" x14ac:dyDescent="0.25">
      <c r="A85" s="28"/>
      <c r="B85" s="11" t="str">
        <f>CONCATENATE("          ", "6156", " - ", "EMPLOYEE MEALS")</f>
        <v xml:space="preserve">          6156 - EMPLOYEE MEALS</v>
      </c>
      <c r="C85" s="11"/>
      <c r="D85" s="7">
        <v>357.76</v>
      </c>
      <c r="E85" s="2"/>
      <c r="F85" s="6">
        <f t="shared" si="15"/>
        <v>3.7022932361950502E-3</v>
      </c>
      <c r="G85" s="2"/>
      <c r="H85" s="7">
        <v>700</v>
      </c>
      <c r="I85" s="2"/>
      <c r="J85" s="6">
        <f t="shared" si="16"/>
        <v>2.4235793497190379E-3</v>
      </c>
      <c r="K85" s="2"/>
      <c r="L85" s="7">
        <f t="shared" si="17"/>
        <v>-342.24</v>
      </c>
      <c r="M85" s="2"/>
      <c r="N85" s="6">
        <f t="shared" si="18"/>
        <v>-0.48891428571428575</v>
      </c>
      <c r="O85" s="11"/>
      <c r="P85" s="7">
        <v>1233.9100000000001</v>
      </c>
      <c r="Q85" s="2"/>
      <c r="R85" s="6">
        <f t="shared" si="19"/>
        <v>1.9692291408951209E-3</v>
      </c>
      <c r="S85" s="2"/>
      <c r="T85" s="7">
        <v>2800</v>
      </c>
      <c r="U85" s="2"/>
      <c r="V85" s="6">
        <f t="shared" si="20"/>
        <v>2.5683761350158642E-3</v>
      </c>
      <c r="W85" s="2"/>
      <c r="X85" s="7">
        <f t="shared" si="21"/>
        <v>-1566.09</v>
      </c>
      <c r="Y85" s="2"/>
      <c r="Z85" s="6">
        <f t="shared" si="22"/>
        <v>-0.55931785714285709</v>
      </c>
    </row>
    <row r="86" spans="1:26" s="27" customFormat="1" outlineLevel="1" collapsed="1" x14ac:dyDescent="0.25">
      <c r="A86" s="29"/>
      <c r="B86" s="14" t="str">
        <f>CONCATENATE("     ","*Payroll                                          ")</f>
        <v xml:space="preserve">     *Payroll                                          </v>
      </c>
      <c r="C86" s="14"/>
      <c r="D86" s="1">
        <f>SUM(OSRRefD22_1x_0)</f>
        <v>31450.28</v>
      </c>
      <c r="E86" s="1"/>
      <c r="F86" s="5">
        <f t="shared" ref="F86:F96" si="23">IF(D$12=0,0,D86/D$12)</f>
        <v>0.3254644424207303</v>
      </c>
      <c r="G86" s="1"/>
      <c r="H86" s="1">
        <f>SUM(OSRRefH22_1x_0)</f>
        <v>60673.730769230795</v>
      </c>
      <c r="I86" s="1"/>
      <c r="J86" s="5">
        <f t="shared" ref="J86:J96" si="24">IF(H$12=0,0,H86/H$12)</f>
        <v>0.21006800137531478</v>
      </c>
      <c r="K86" s="1"/>
      <c r="L86" s="1">
        <f t="shared" ref="L86:L96" si="25">+D86-H86</f>
        <v>-29223.450769230796</v>
      </c>
      <c r="M86" s="1"/>
      <c r="N86" s="5">
        <f t="shared" ref="N86:N96" si="26">IF(H86=0,0,L86/H86)</f>
        <v>-0.48164914863041119</v>
      </c>
      <c r="O86" s="14"/>
      <c r="P86" s="1">
        <f>SUM(OSRRefP22_1x_0)</f>
        <v>120164.06</v>
      </c>
      <c r="Q86" s="1"/>
      <c r="R86" s="5">
        <f t="shared" ref="R86:R96" si="27">IF(P$12=0,0,P86/P$12)</f>
        <v>0.1917729564070878</v>
      </c>
      <c r="S86" s="1"/>
      <c r="T86" s="1">
        <f>SUM(OSRRefT22_1x_0)</f>
        <v>225035.23076923081</v>
      </c>
      <c r="U86" s="1"/>
      <c r="V86" s="5">
        <f t="shared" ref="V86:V96" si="28">IF(T$12=0,0,T86/T$12)</f>
        <v>0.20641968437338576</v>
      </c>
      <c r="W86" s="1"/>
      <c r="X86" s="1">
        <f t="shared" ref="X86:X96" si="29">+P86-T86</f>
        <v>-104871.17076923081</v>
      </c>
      <c r="Y86" s="1"/>
      <c r="Z86" s="5">
        <f t="shared" ref="Z86:Z96" si="30">IF(T86=0,0,X86/T86)</f>
        <v>-0.46602112216275204</v>
      </c>
    </row>
    <row r="87" spans="1:26" s="24" customFormat="1" hidden="1" outlineLevel="2" x14ac:dyDescent="0.25">
      <c r="A87" s="28"/>
      <c r="B87" s="11" t="str">
        <f>CONCATENATE("          ", "6001", " - ", "ADMINISTRATIVE SALARIES")</f>
        <v xml:space="preserve">          6001 - ADMINISTRATIVE SALARIES</v>
      </c>
      <c r="C87" s="11"/>
      <c r="D87" s="7"/>
      <c r="E87" s="2"/>
      <c r="F87" s="6">
        <f t="shared" si="23"/>
        <v>0</v>
      </c>
      <c r="G87" s="2"/>
      <c r="H87" s="7">
        <v>0</v>
      </c>
      <c r="I87" s="2"/>
      <c r="J87" s="6">
        <f t="shared" si="24"/>
        <v>0</v>
      </c>
      <c r="K87" s="2"/>
      <c r="L87" s="7">
        <f t="shared" si="25"/>
        <v>0</v>
      </c>
      <c r="M87" s="2"/>
      <c r="N87" s="6">
        <f t="shared" si="26"/>
        <v>0</v>
      </c>
      <c r="O87" s="11"/>
      <c r="P87" s="7"/>
      <c r="Q87" s="2"/>
      <c r="R87" s="6">
        <f t="shared" si="27"/>
        <v>0</v>
      </c>
      <c r="S87" s="2"/>
      <c r="T87" s="7">
        <v>0</v>
      </c>
      <c r="U87" s="2"/>
      <c r="V87" s="6">
        <f t="shared" si="28"/>
        <v>0</v>
      </c>
      <c r="W87" s="2"/>
      <c r="X87" s="7">
        <f t="shared" si="29"/>
        <v>0</v>
      </c>
      <c r="Y87" s="2"/>
      <c r="Z87" s="6">
        <f t="shared" si="30"/>
        <v>0</v>
      </c>
    </row>
    <row r="88" spans="1:26" s="24" customFormat="1" hidden="1" outlineLevel="2" x14ac:dyDescent="0.25">
      <c r="A88" s="28"/>
      <c r="B88" s="11" t="str">
        <f>CONCATENATE("          ", "6002", " - ", "STAFF SALARIES")</f>
        <v xml:space="preserve">          6002 - STAFF SALARIES</v>
      </c>
      <c r="C88" s="11"/>
      <c r="D88" s="7">
        <v>10383.09</v>
      </c>
      <c r="E88" s="2"/>
      <c r="F88" s="6">
        <f t="shared" si="23"/>
        <v>0.10744980958688637</v>
      </c>
      <c r="G88" s="2"/>
      <c r="H88" s="7">
        <v>14930.480769230799</v>
      </c>
      <c r="I88" s="2"/>
      <c r="J88" s="6">
        <f t="shared" si="24"/>
        <v>5.169314981954997E-2</v>
      </c>
      <c r="K88" s="2"/>
      <c r="L88" s="7">
        <f t="shared" si="25"/>
        <v>-4547.3907692307985</v>
      </c>
      <c r="M88" s="2"/>
      <c r="N88" s="6">
        <f t="shared" si="26"/>
        <v>-0.3045709538437773</v>
      </c>
      <c r="O88" s="11"/>
      <c r="P88" s="7">
        <v>50846.049999999996</v>
      </c>
      <c r="Q88" s="2"/>
      <c r="R88" s="6">
        <f t="shared" si="27"/>
        <v>8.1146536910642053E-2</v>
      </c>
      <c r="S88" s="2"/>
      <c r="T88" s="7">
        <v>53749.730769230795</v>
      </c>
      <c r="U88" s="2"/>
      <c r="V88" s="6">
        <f t="shared" si="28"/>
        <v>4.9303402061150095E-2</v>
      </c>
      <c r="W88" s="2"/>
      <c r="X88" s="7">
        <f t="shared" si="29"/>
        <v>-2903.6807692307993</v>
      </c>
      <c r="Y88" s="2"/>
      <c r="Z88" s="6">
        <f t="shared" si="30"/>
        <v>-5.4022238394039003E-2</v>
      </c>
    </row>
    <row r="89" spans="1:26" s="24" customFormat="1" hidden="1" outlineLevel="2" x14ac:dyDescent="0.25">
      <c r="A89" s="28"/>
      <c r="B89" s="11" t="str">
        <f>CONCATENATE("          ", "6003", " - ", "STAFF HOURLY-9 MONTH")</f>
        <v xml:space="preserve">          6003 - STAFF HOURLY-9 MONTH</v>
      </c>
      <c r="C89" s="11"/>
      <c r="D89" s="7"/>
      <c r="E89" s="2"/>
      <c r="F89" s="6">
        <f t="shared" si="23"/>
        <v>0</v>
      </c>
      <c r="G89" s="2"/>
      <c r="H89" s="7">
        <v>0</v>
      </c>
      <c r="I89" s="2"/>
      <c r="J89" s="6">
        <f t="shared" si="24"/>
        <v>0</v>
      </c>
      <c r="K89" s="2"/>
      <c r="L89" s="7">
        <f t="shared" si="25"/>
        <v>0</v>
      </c>
      <c r="M89" s="2"/>
      <c r="N89" s="6">
        <f t="shared" si="26"/>
        <v>0</v>
      </c>
      <c r="O89" s="11"/>
      <c r="P89" s="7"/>
      <c r="Q89" s="2"/>
      <c r="R89" s="6">
        <f t="shared" si="27"/>
        <v>0</v>
      </c>
      <c r="S89" s="2"/>
      <c r="T89" s="7">
        <v>0</v>
      </c>
      <c r="U89" s="2"/>
      <c r="V89" s="6">
        <f t="shared" si="28"/>
        <v>0</v>
      </c>
      <c r="W89" s="2"/>
      <c r="X89" s="7">
        <f t="shared" si="29"/>
        <v>0</v>
      </c>
      <c r="Y89" s="2"/>
      <c r="Z89" s="6">
        <f t="shared" si="30"/>
        <v>0</v>
      </c>
    </row>
    <row r="90" spans="1:26" s="24" customFormat="1" hidden="1" outlineLevel="2" x14ac:dyDescent="0.25">
      <c r="A90" s="28"/>
      <c r="B90" s="11" t="str">
        <f>CONCATENATE("          ", "6004", " - ", "STAFF HOURLY")</f>
        <v xml:space="preserve">          6004 - STAFF HOURLY</v>
      </c>
      <c r="C90" s="11"/>
      <c r="D90" s="7">
        <v>7145.46</v>
      </c>
      <c r="E90" s="2"/>
      <c r="F90" s="6">
        <f t="shared" si="23"/>
        <v>7.3945069956122211E-2</v>
      </c>
      <c r="G90" s="2"/>
      <c r="H90" s="7">
        <v>6671.25</v>
      </c>
      <c r="I90" s="2"/>
      <c r="J90" s="6">
        <f t="shared" si="24"/>
        <v>2.3097576766875901E-2</v>
      </c>
      <c r="K90" s="2"/>
      <c r="L90" s="7">
        <f t="shared" si="25"/>
        <v>474.21000000000004</v>
      </c>
      <c r="M90" s="2"/>
      <c r="N90" s="6">
        <f t="shared" si="26"/>
        <v>7.1082630691399667E-2</v>
      </c>
      <c r="O90" s="11"/>
      <c r="P90" s="7">
        <v>30949.01</v>
      </c>
      <c r="Q90" s="2"/>
      <c r="R90" s="6">
        <f t="shared" si="27"/>
        <v>4.9392331996543096E-2</v>
      </c>
      <c r="S90" s="2"/>
      <c r="T90" s="7">
        <v>24016.5</v>
      </c>
      <c r="U90" s="2"/>
      <c r="V90" s="6">
        <f t="shared" si="28"/>
        <v>2.2029787659503038E-2</v>
      </c>
      <c r="W90" s="2"/>
      <c r="X90" s="7">
        <f t="shared" si="29"/>
        <v>6932.5099999999984</v>
      </c>
      <c r="Y90" s="2"/>
      <c r="Z90" s="6">
        <f t="shared" si="30"/>
        <v>0.2886561322424166</v>
      </c>
    </row>
    <row r="91" spans="1:26" s="24" customFormat="1" hidden="1" outlineLevel="2" x14ac:dyDescent="0.25">
      <c r="A91" s="28"/>
      <c r="B91" s="11" t="str">
        <f>CONCATENATE("          ", "6005", " - ", "TEMPORARY WAGES-HOURLY")</f>
        <v xml:space="preserve">          6005 - TEMPORARY WAGES-HOURLY</v>
      </c>
      <c r="C91" s="11"/>
      <c r="D91" s="7">
        <v>6544.32</v>
      </c>
      <c r="E91" s="2"/>
      <c r="F91" s="6">
        <f t="shared" si="23"/>
        <v>6.7724149350111784E-2</v>
      </c>
      <c r="G91" s="2"/>
      <c r="H91" s="7">
        <v>0</v>
      </c>
      <c r="I91" s="2"/>
      <c r="J91" s="6">
        <f t="shared" si="24"/>
        <v>0</v>
      </c>
      <c r="K91" s="2"/>
      <c r="L91" s="7">
        <f t="shared" si="25"/>
        <v>6544.32</v>
      </c>
      <c r="M91" s="2"/>
      <c r="N91" s="6">
        <f t="shared" si="26"/>
        <v>0</v>
      </c>
      <c r="O91" s="11"/>
      <c r="P91" s="7">
        <v>15953.5</v>
      </c>
      <c r="Q91" s="2"/>
      <c r="R91" s="6">
        <f t="shared" si="27"/>
        <v>2.5460606607670175E-2</v>
      </c>
      <c r="S91" s="2"/>
      <c r="T91" s="7">
        <v>0</v>
      </c>
      <c r="U91" s="2"/>
      <c r="V91" s="6">
        <f t="shared" si="28"/>
        <v>0</v>
      </c>
      <c r="W91" s="2"/>
      <c r="X91" s="7">
        <f t="shared" si="29"/>
        <v>15953.5</v>
      </c>
      <c r="Y91" s="2"/>
      <c r="Z91" s="6">
        <f t="shared" si="30"/>
        <v>0</v>
      </c>
    </row>
    <row r="92" spans="1:26" s="24" customFormat="1" hidden="1" outlineLevel="2" x14ac:dyDescent="0.25">
      <c r="A92" s="28"/>
      <c r="B92" s="11" t="str">
        <f>CONCATENATE("          ", "6006", " - ", "TEMPORARY PART TIME")</f>
        <v xml:space="preserve">          6006 - TEMPORARY PART TIME</v>
      </c>
      <c r="C92" s="11"/>
      <c r="D92" s="7"/>
      <c r="E92" s="2"/>
      <c r="F92" s="6">
        <f t="shared" si="23"/>
        <v>0</v>
      </c>
      <c r="G92" s="2"/>
      <c r="H92" s="7">
        <v>0</v>
      </c>
      <c r="I92" s="2"/>
      <c r="J92" s="6">
        <f t="shared" si="24"/>
        <v>0</v>
      </c>
      <c r="K92" s="2"/>
      <c r="L92" s="7">
        <f t="shared" si="25"/>
        <v>0</v>
      </c>
      <c r="M92" s="2"/>
      <c r="N92" s="6">
        <f t="shared" si="26"/>
        <v>0</v>
      </c>
      <c r="O92" s="11"/>
      <c r="P92" s="7"/>
      <c r="Q92" s="2"/>
      <c r="R92" s="6">
        <f t="shared" si="27"/>
        <v>0</v>
      </c>
      <c r="S92" s="2"/>
      <c r="T92" s="7">
        <v>0</v>
      </c>
      <c r="U92" s="2"/>
      <c r="V92" s="6">
        <f t="shared" si="28"/>
        <v>0</v>
      </c>
      <c r="W92" s="2"/>
      <c r="X92" s="7">
        <f t="shared" si="29"/>
        <v>0</v>
      </c>
      <c r="Y92" s="2"/>
      <c r="Z92" s="6">
        <f t="shared" si="30"/>
        <v>0</v>
      </c>
    </row>
    <row r="93" spans="1:26" s="24" customFormat="1" hidden="1" outlineLevel="2" x14ac:dyDescent="0.25">
      <c r="A93" s="28"/>
      <c r="B93" s="11" t="str">
        <f>CONCATENATE("          ", "6007", " - ", "STUDENT HOURLY")</f>
        <v xml:space="preserve">          6007 - STUDENT HOURLY</v>
      </c>
      <c r="C93" s="11"/>
      <c r="D93" s="7">
        <v>6431.14</v>
      </c>
      <c r="E93" s="2"/>
      <c r="F93" s="6">
        <f t="shared" si="23"/>
        <v>6.6552901730275713E-2</v>
      </c>
      <c r="G93" s="2"/>
      <c r="H93" s="7">
        <v>0</v>
      </c>
      <c r="I93" s="2"/>
      <c r="J93" s="6">
        <f t="shared" si="24"/>
        <v>0</v>
      </c>
      <c r="K93" s="2"/>
      <c r="L93" s="7">
        <f t="shared" si="25"/>
        <v>6431.14</v>
      </c>
      <c r="M93" s="2"/>
      <c r="N93" s="6">
        <f t="shared" si="26"/>
        <v>0</v>
      </c>
      <c r="O93" s="11"/>
      <c r="P93" s="7">
        <v>20445.670000000002</v>
      </c>
      <c r="Q93" s="2"/>
      <c r="R93" s="6">
        <f t="shared" si="27"/>
        <v>3.2629777835599956E-2</v>
      </c>
      <c r="S93" s="2"/>
      <c r="T93" s="7">
        <v>68776.5</v>
      </c>
      <c r="U93" s="2"/>
      <c r="V93" s="6">
        <f t="shared" si="28"/>
        <v>6.3087114732113786E-2</v>
      </c>
      <c r="W93" s="2"/>
      <c r="X93" s="7">
        <f t="shared" si="29"/>
        <v>-48330.83</v>
      </c>
      <c r="Y93" s="2"/>
      <c r="Z93" s="6">
        <f t="shared" si="30"/>
        <v>-0.70272302312563162</v>
      </c>
    </row>
    <row r="94" spans="1:26" s="24" customFormat="1" hidden="1" outlineLevel="2" x14ac:dyDescent="0.25">
      <c r="A94" s="28"/>
      <c r="B94" s="11" t="str">
        <f>CONCATENATE("          ", "6008", " - ", "STUDENT HOURLY-FICA EXEMPT")</f>
        <v xml:space="preserve">          6008 - STUDENT HOURLY-FICA EXEMPT</v>
      </c>
      <c r="C94" s="11"/>
      <c r="D94" s="7">
        <v>946.27</v>
      </c>
      <c r="E94" s="2"/>
      <c r="F94" s="6">
        <f t="shared" si="23"/>
        <v>9.7925117973342198E-3</v>
      </c>
      <c r="G94" s="2"/>
      <c r="H94" s="7">
        <v>39072</v>
      </c>
      <c r="I94" s="2"/>
      <c r="J94" s="6">
        <f t="shared" si="24"/>
        <v>0.13527727478888893</v>
      </c>
      <c r="K94" s="2"/>
      <c r="L94" s="7">
        <f t="shared" si="25"/>
        <v>-38125.730000000003</v>
      </c>
      <c r="M94" s="2"/>
      <c r="N94" s="6">
        <f t="shared" si="26"/>
        <v>-0.97578137796887809</v>
      </c>
      <c r="O94" s="11"/>
      <c r="P94" s="7">
        <v>1969.83</v>
      </c>
      <c r="Q94" s="2"/>
      <c r="R94" s="6">
        <f t="shared" si="27"/>
        <v>3.1437030566325219E-3</v>
      </c>
      <c r="S94" s="2"/>
      <c r="T94" s="7">
        <v>78492.5</v>
      </c>
      <c r="U94" s="2"/>
      <c r="V94" s="6">
        <f t="shared" si="28"/>
        <v>7.1999379920618833E-2</v>
      </c>
      <c r="W94" s="2"/>
      <c r="X94" s="7">
        <f t="shared" si="29"/>
        <v>-76522.67</v>
      </c>
      <c r="Y94" s="2"/>
      <c r="Z94" s="6">
        <f t="shared" si="30"/>
        <v>-0.97490422651845721</v>
      </c>
    </row>
    <row r="95" spans="1:26" s="24" customFormat="1" hidden="1" outlineLevel="2" x14ac:dyDescent="0.25">
      <c r="A95" s="28"/>
      <c r="B95" s="11" t="str">
        <f>CONCATENATE("          ", "6009", " - ", "TEMPORARY-SEASONAL")</f>
        <v xml:space="preserve">          6009 - TEMPORARY-SEASONAL</v>
      </c>
      <c r="C95" s="11"/>
      <c r="D95" s="7"/>
      <c r="E95" s="2"/>
      <c r="F95" s="6">
        <f t="shared" si="23"/>
        <v>0</v>
      </c>
      <c r="G95" s="2"/>
      <c r="H95" s="7">
        <v>0</v>
      </c>
      <c r="I95" s="2"/>
      <c r="J95" s="6">
        <f t="shared" si="24"/>
        <v>0</v>
      </c>
      <c r="K95" s="2"/>
      <c r="L95" s="7">
        <f t="shared" si="25"/>
        <v>0</v>
      </c>
      <c r="M95" s="2"/>
      <c r="N95" s="6">
        <f t="shared" si="26"/>
        <v>0</v>
      </c>
      <c r="O95" s="11"/>
      <c r="P95" s="7"/>
      <c r="Q95" s="2"/>
      <c r="R95" s="6">
        <f t="shared" si="27"/>
        <v>0</v>
      </c>
      <c r="S95" s="2"/>
      <c r="T95" s="7">
        <v>0</v>
      </c>
      <c r="U95" s="2"/>
      <c r="V95" s="6">
        <f t="shared" si="28"/>
        <v>0</v>
      </c>
      <c r="W95" s="2"/>
      <c r="X95" s="7">
        <f t="shared" si="29"/>
        <v>0</v>
      </c>
      <c r="Y95" s="2"/>
      <c r="Z95" s="6">
        <f t="shared" si="30"/>
        <v>0</v>
      </c>
    </row>
    <row r="96" spans="1:26" s="24" customFormat="1" hidden="1" outlineLevel="2" x14ac:dyDescent="0.25">
      <c r="A96" s="28"/>
      <c r="B96" s="11" t="str">
        <f>CONCATENATE("          ", "6010", " - ", "GRATUITY")</f>
        <v xml:space="preserve">          6010 - GRATUITY</v>
      </c>
      <c r="C96" s="11"/>
      <c r="D96" s="7"/>
      <c r="E96" s="2"/>
      <c r="F96" s="6">
        <f t="shared" si="23"/>
        <v>0</v>
      </c>
      <c r="G96" s="2"/>
      <c r="H96" s="7">
        <v>0</v>
      </c>
      <c r="I96" s="2"/>
      <c r="J96" s="6">
        <f t="shared" si="24"/>
        <v>0</v>
      </c>
      <c r="K96" s="2"/>
      <c r="L96" s="7">
        <f t="shared" si="25"/>
        <v>0</v>
      </c>
      <c r="M96" s="2"/>
      <c r="N96" s="6">
        <f t="shared" si="26"/>
        <v>0</v>
      </c>
      <c r="O96" s="11"/>
      <c r="P96" s="7"/>
      <c r="Q96" s="2"/>
      <c r="R96" s="6">
        <f t="shared" si="27"/>
        <v>0</v>
      </c>
      <c r="S96" s="2"/>
      <c r="T96" s="7">
        <v>0</v>
      </c>
      <c r="U96" s="2"/>
      <c r="V96" s="6">
        <f t="shared" si="28"/>
        <v>0</v>
      </c>
      <c r="W96" s="2"/>
      <c r="X96" s="7">
        <f t="shared" si="29"/>
        <v>0</v>
      </c>
      <c r="Y96" s="2"/>
      <c r="Z96" s="6">
        <f t="shared" si="30"/>
        <v>0</v>
      </c>
    </row>
    <row r="97" spans="1:26" s="27" customFormat="1" outlineLevel="1" collapsed="1" x14ac:dyDescent="0.25">
      <c r="A97" s="29"/>
      <c r="B97" s="14" t="str">
        <f>CONCATENATE("     ","Advertising/Promo                                 ")</f>
        <v xml:space="preserve">     Advertising/Promo                                 </v>
      </c>
      <c r="C97" s="14"/>
      <c r="D97" s="1">
        <f>SUM(OSRRefD22_2x_0)</f>
        <v>255.44</v>
      </c>
      <c r="E97" s="1"/>
      <c r="F97" s="5">
        <f t="shared" ref="F97:F109" si="31">IF(D$12=0,0,D97/D$12)</f>
        <v>2.6434307475784427E-3</v>
      </c>
      <c r="G97" s="1"/>
      <c r="H97" s="1">
        <f>SUM(OSRRefH22_2x_0)</f>
        <v>1080</v>
      </c>
      <c r="I97" s="1"/>
      <c r="J97" s="5">
        <f t="shared" ref="J97:J109" si="32">IF(H$12=0,0,H97/H$12)</f>
        <v>3.739236710995087E-3</v>
      </c>
      <c r="K97" s="1"/>
      <c r="L97" s="1">
        <f t="shared" ref="L97:L109" si="33">+D97-H97</f>
        <v>-824.56</v>
      </c>
      <c r="M97" s="1"/>
      <c r="N97" s="5">
        <f t="shared" ref="N97:N109" si="34">IF(H97=0,0,L97/H97)</f>
        <v>-0.76348148148148143</v>
      </c>
      <c r="O97" s="14"/>
      <c r="P97" s="1">
        <f>SUM(OSRRefP22_2x_0)</f>
        <v>11289.15</v>
      </c>
      <c r="Q97" s="1"/>
      <c r="R97" s="5">
        <f t="shared" ref="R97:R109" si="35">IF(P$12=0,0,P97/P$12)</f>
        <v>1.8016648828468974E-2</v>
      </c>
      <c r="S97" s="1"/>
      <c r="T97" s="1">
        <f>SUM(OSRRefT22_2x_0)</f>
        <v>2820</v>
      </c>
      <c r="U97" s="1"/>
      <c r="V97" s="5">
        <f t="shared" ref="V97:V109" si="36">IF(T$12=0,0,T97/T$12)</f>
        <v>2.5867216788374062E-3</v>
      </c>
      <c r="W97" s="1"/>
      <c r="X97" s="1">
        <f t="shared" ref="X97:X109" si="37">+P97-T97</f>
        <v>8469.15</v>
      </c>
      <c r="Y97" s="1"/>
      <c r="Z97" s="5">
        <f t="shared" ref="Z97:Z109" si="38">IF(T97=0,0,X97/T97)</f>
        <v>3.0032446808510636</v>
      </c>
    </row>
    <row r="98" spans="1:26" s="24" customFormat="1" hidden="1" outlineLevel="2" x14ac:dyDescent="0.25">
      <c r="A98" s="28"/>
      <c r="B98" s="11" t="str">
        <f>CONCATENATE("          ", "6362", " - ", "ADVERTISING EXPENSE")</f>
        <v xml:space="preserve">          6362 - ADVERTISING EXPENSE</v>
      </c>
      <c r="C98" s="11"/>
      <c r="D98" s="7">
        <v>255.44</v>
      </c>
      <c r="E98" s="2"/>
      <c r="F98" s="6">
        <f t="shared" si="31"/>
        <v>2.6434307475784427E-3</v>
      </c>
      <c r="G98" s="2"/>
      <c r="H98" s="7">
        <v>1080</v>
      </c>
      <c r="I98" s="2"/>
      <c r="J98" s="6">
        <f t="shared" si="32"/>
        <v>3.739236710995087E-3</v>
      </c>
      <c r="K98" s="2"/>
      <c r="L98" s="7">
        <f t="shared" si="33"/>
        <v>-824.56</v>
      </c>
      <c r="M98" s="2"/>
      <c r="N98" s="6">
        <f t="shared" si="34"/>
        <v>-0.76348148148148143</v>
      </c>
      <c r="O98" s="11"/>
      <c r="P98" s="7">
        <v>11289.15</v>
      </c>
      <c r="Q98" s="2"/>
      <c r="R98" s="6">
        <f t="shared" si="35"/>
        <v>1.8016648828468974E-2</v>
      </c>
      <c r="S98" s="2"/>
      <c r="T98" s="7">
        <v>2820</v>
      </c>
      <c r="U98" s="2"/>
      <c r="V98" s="6">
        <f t="shared" si="36"/>
        <v>2.5867216788374062E-3</v>
      </c>
      <c r="W98" s="2"/>
      <c r="X98" s="7">
        <f t="shared" si="37"/>
        <v>8469.15</v>
      </c>
      <c r="Y98" s="2"/>
      <c r="Z98" s="6">
        <f t="shared" si="38"/>
        <v>3.0032446808510636</v>
      </c>
    </row>
    <row r="99" spans="1:26" s="27" customFormat="1" outlineLevel="1" collapsed="1" x14ac:dyDescent="0.25">
      <c r="A99" s="29"/>
      <c r="B99" s="14" t="str">
        <f>CONCATENATE("     ","Bad Debts/Over/Short                              ")</f>
        <v xml:space="preserve">     Bad Debts/Over/Short                              </v>
      </c>
      <c r="C99" s="14"/>
      <c r="D99" s="1">
        <f>SUM(OSRRefD22_3x_0)</f>
        <v>0</v>
      </c>
      <c r="E99" s="1"/>
      <c r="F99" s="5">
        <f t="shared" si="31"/>
        <v>0</v>
      </c>
      <c r="G99" s="1"/>
      <c r="H99" s="1">
        <f>SUM(OSRRefH22_3x_0)</f>
        <v>0</v>
      </c>
      <c r="I99" s="1"/>
      <c r="J99" s="5">
        <f t="shared" si="32"/>
        <v>0</v>
      </c>
      <c r="K99" s="1"/>
      <c r="L99" s="1">
        <f t="shared" si="33"/>
        <v>0</v>
      </c>
      <c r="M99" s="1"/>
      <c r="N99" s="5">
        <f t="shared" si="34"/>
        <v>0</v>
      </c>
      <c r="O99" s="14"/>
      <c r="P99" s="1">
        <f>SUM(OSRRefP22_3x_0)</f>
        <v>0</v>
      </c>
      <c r="Q99" s="1"/>
      <c r="R99" s="5">
        <f t="shared" si="35"/>
        <v>0</v>
      </c>
      <c r="S99" s="1"/>
      <c r="T99" s="1">
        <f>SUM(OSRRefT22_3x_0)</f>
        <v>0</v>
      </c>
      <c r="U99" s="1"/>
      <c r="V99" s="5">
        <f t="shared" si="36"/>
        <v>0</v>
      </c>
      <c r="W99" s="1"/>
      <c r="X99" s="1">
        <f t="shared" si="37"/>
        <v>0</v>
      </c>
      <c r="Y99" s="1"/>
      <c r="Z99" s="5">
        <f t="shared" si="38"/>
        <v>0</v>
      </c>
    </row>
    <row r="100" spans="1:26" s="24" customFormat="1" hidden="1" outlineLevel="2" x14ac:dyDescent="0.25">
      <c r="A100" s="28"/>
      <c r="B100" s="11" t="str">
        <f>CONCATENATE("          ", "6272", " - ", "CASH (OVER/SHORT)")</f>
        <v xml:space="preserve">          6272 - CASH (OVER/SHORT)</v>
      </c>
      <c r="C100" s="11"/>
      <c r="D100" s="7"/>
      <c r="E100" s="2"/>
      <c r="F100" s="6">
        <f t="shared" si="31"/>
        <v>0</v>
      </c>
      <c r="G100" s="2"/>
      <c r="H100" s="7">
        <v>0</v>
      </c>
      <c r="I100" s="2"/>
      <c r="J100" s="6">
        <f t="shared" si="32"/>
        <v>0</v>
      </c>
      <c r="K100" s="2"/>
      <c r="L100" s="7">
        <f t="shared" si="33"/>
        <v>0</v>
      </c>
      <c r="M100" s="2"/>
      <c r="N100" s="6">
        <f t="shared" si="34"/>
        <v>0</v>
      </c>
      <c r="O100" s="11"/>
      <c r="P100" s="7"/>
      <c r="Q100" s="2"/>
      <c r="R100" s="6">
        <f t="shared" si="35"/>
        <v>0</v>
      </c>
      <c r="S100" s="2"/>
      <c r="T100" s="7">
        <v>0</v>
      </c>
      <c r="U100" s="2"/>
      <c r="V100" s="6">
        <f t="shared" si="36"/>
        <v>0</v>
      </c>
      <c r="W100" s="2"/>
      <c r="X100" s="7">
        <f t="shared" si="37"/>
        <v>0</v>
      </c>
      <c r="Y100" s="2"/>
      <c r="Z100" s="6">
        <f t="shared" si="38"/>
        <v>0</v>
      </c>
    </row>
    <row r="101" spans="1:26" s="27" customFormat="1" outlineLevel="1" collapsed="1" x14ac:dyDescent="0.25">
      <c r="A101" s="29"/>
      <c r="B101" s="14" t="str">
        <f>CONCATENATE("     ","Bank/card Fees                                    ")</f>
        <v xml:space="preserve">     Bank/card Fees                                    </v>
      </c>
      <c r="C101" s="14"/>
      <c r="D101" s="1">
        <f>SUM(OSRRefD22_4x_0)</f>
        <v>0</v>
      </c>
      <c r="E101" s="1"/>
      <c r="F101" s="5">
        <f t="shared" si="31"/>
        <v>0</v>
      </c>
      <c r="G101" s="1"/>
      <c r="H101" s="1">
        <f>SUM(OSRRefH22_4x_0)</f>
        <v>0</v>
      </c>
      <c r="I101" s="1"/>
      <c r="J101" s="5">
        <f t="shared" si="32"/>
        <v>0</v>
      </c>
      <c r="K101" s="1"/>
      <c r="L101" s="1">
        <f t="shared" si="33"/>
        <v>0</v>
      </c>
      <c r="M101" s="1"/>
      <c r="N101" s="5">
        <f t="shared" si="34"/>
        <v>0</v>
      </c>
      <c r="O101" s="14"/>
      <c r="P101" s="1">
        <f>SUM(OSRRefP22_4x_0)</f>
        <v>0</v>
      </c>
      <c r="Q101" s="1"/>
      <c r="R101" s="5">
        <f t="shared" si="35"/>
        <v>0</v>
      </c>
      <c r="S101" s="1"/>
      <c r="T101" s="1">
        <f>SUM(OSRRefT22_4x_0)</f>
        <v>0</v>
      </c>
      <c r="U101" s="1"/>
      <c r="V101" s="5">
        <f t="shared" si="36"/>
        <v>0</v>
      </c>
      <c r="W101" s="1"/>
      <c r="X101" s="1">
        <f t="shared" si="37"/>
        <v>0</v>
      </c>
      <c r="Y101" s="1"/>
      <c r="Z101" s="5">
        <f t="shared" si="38"/>
        <v>0</v>
      </c>
    </row>
    <row r="102" spans="1:26" s="24" customFormat="1" hidden="1" outlineLevel="2" x14ac:dyDescent="0.25">
      <c r="A102" s="28"/>
      <c r="B102" s="11" t="str">
        <f>CONCATENATE("          ", "6381", " - ", "BANK/CREDIT CARD FEES")</f>
        <v xml:space="preserve">          6381 - BANK/CREDIT CARD FEES</v>
      </c>
      <c r="C102" s="11"/>
      <c r="D102" s="7"/>
      <c r="E102" s="2"/>
      <c r="F102" s="6">
        <f t="shared" si="31"/>
        <v>0</v>
      </c>
      <c r="G102" s="2"/>
      <c r="H102" s="7">
        <v>0</v>
      </c>
      <c r="I102" s="2"/>
      <c r="J102" s="6">
        <f t="shared" si="32"/>
        <v>0</v>
      </c>
      <c r="K102" s="2"/>
      <c r="L102" s="7">
        <f t="shared" si="33"/>
        <v>0</v>
      </c>
      <c r="M102" s="2"/>
      <c r="N102" s="6">
        <f t="shared" si="34"/>
        <v>0</v>
      </c>
      <c r="O102" s="11"/>
      <c r="P102" s="7"/>
      <c r="Q102" s="2"/>
      <c r="R102" s="6">
        <f t="shared" si="35"/>
        <v>0</v>
      </c>
      <c r="S102" s="2"/>
      <c r="T102" s="7">
        <v>0</v>
      </c>
      <c r="U102" s="2"/>
      <c r="V102" s="6">
        <f t="shared" si="36"/>
        <v>0</v>
      </c>
      <c r="W102" s="2"/>
      <c r="X102" s="7">
        <f t="shared" si="37"/>
        <v>0</v>
      </c>
      <c r="Y102" s="2"/>
      <c r="Z102" s="6">
        <f t="shared" si="38"/>
        <v>0</v>
      </c>
    </row>
    <row r="103" spans="1:26" s="27" customFormat="1" outlineLevel="1" collapsed="1" x14ac:dyDescent="0.25">
      <c r="A103" s="29"/>
      <c r="B103" s="14" t="str">
        <f>CONCATENATE("     ","Discounts and Markdowns                           ")</f>
        <v xml:space="preserve">     Discounts and Markdowns                           </v>
      </c>
      <c r="C103" s="14"/>
      <c r="D103" s="1">
        <f>SUM(OSRRefD22_5x_0)</f>
        <v>0</v>
      </c>
      <c r="E103" s="1"/>
      <c r="F103" s="5">
        <f t="shared" si="31"/>
        <v>0</v>
      </c>
      <c r="G103" s="1"/>
      <c r="H103" s="1">
        <f>SUM(OSRRefH22_5x_0)</f>
        <v>21662</v>
      </c>
      <c r="I103" s="1"/>
      <c r="J103" s="5">
        <f t="shared" si="32"/>
        <v>7.499939410516257E-2</v>
      </c>
      <c r="K103" s="1"/>
      <c r="L103" s="1">
        <f t="shared" si="33"/>
        <v>-21662</v>
      </c>
      <c r="M103" s="1"/>
      <c r="N103" s="5">
        <f t="shared" si="34"/>
        <v>-1</v>
      </c>
      <c r="O103" s="14"/>
      <c r="P103" s="1">
        <f>SUM(OSRRefP22_5x_0)</f>
        <v>0</v>
      </c>
      <c r="Q103" s="1"/>
      <c r="R103" s="5">
        <f t="shared" si="35"/>
        <v>0</v>
      </c>
      <c r="S103" s="1"/>
      <c r="T103" s="1">
        <f>SUM(OSRRefT22_5x_0)</f>
        <v>81763</v>
      </c>
      <c r="U103" s="1"/>
      <c r="V103" s="5">
        <f t="shared" si="36"/>
        <v>7.4999334974036463E-2</v>
      </c>
      <c r="W103" s="1"/>
      <c r="X103" s="1">
        <f t="shared" si="37"/>
        <v>-81763</v>
      </c>
      <c r="Y103" s="1"/>
      <c r="Z103" s="5">
        <f t="shared" si="38"/>
        <v>-1</v>
      </c>
    </row>
    <row r="104" spans="1:26" s="24" customFormat="1" hidden="1" outlineLevel="2" x14ac:dyDescent="0.25">
      <c r="A104" s="28"/>
      <c r="B104" s="11" t="str">
        <f>CONCATENATE("          ", "6382", " - ", "DISCOUNTS/MARK DOWNS")</f>
        <v xml:space="preserve">          6382 - DISCOUNTS/MARK DOWNS</v>
      </c>
      <c r="C104" s="11"/>
      <c r="D104" s="7"/>
      <c r="E104" s="2"/>
      <c r="F104" s="6">
        <f t="shared" si="31"/>
        <v>0</v>
      </c>
      <c r="G104" s="2"/>
      <c r="H104" s="7">
        <v>21662</v>
      </c>
      <c r="I104" s="2"/>
      <c r="J104" s="6">
        <f t="shared" si="32"/>
        <v>7.499939410516257E-2</v>
      </c>
      <c r="K104" s="2"/>
      <c r="L104" s="7">
        <f t="shared" si="33"/>
        <v>-21662</v>
      </c>
      <c r="M104" s="2"/>
      <c r="N104" s="6">
        <f t="shared" si="34"/>
        <v>-1</v>
      </c>
      <c r="O104" s="11"/>
      <c r="P104" s="7"/>
      <c r="Q104" s="2"/>
      <c r="R104" s="6">
        <f t="shared" si="35"/>
        <v>0</v>
      </c>
      <c r="S104" s="2"/>
      <c r="T104" s="7">
        <v>81763</v>
      </c>
      <c r="U104" s="2"/>
      <c r="V104" s="6">
        <f t="shared" si="36"/>
        <v>7.4999334974036463E-2</v>
      </c>
      <c r="W104" s="2"/>
      <c r="X104" s="7">
        <f t="shared" si="37"/>
        <v>-81763</v>
      </c>
      <c r="Y104" s="2"/>
      <c r="Z104" s="6">
        <f t="shared" si="38"/>
        <v>-1</v>
      </c>
    </row>
    <row r="105" spans="1:26" s="27" customFormat="1" outlineLevel="1" collapsed="1" x14ac:dyDescent="0.25">
      <c r="A105" s="29"/>
      <c r="B105" s="14" t="str">
        <f>CONCATENATE("     ","Employees' Appreciation                           ")</f>
        <v xml:space="preserve">     Employees' Appreciation                           </v>
      </c>
      <c r="C105" s="14"/>
      <c r="D105" s="1">
        <f>SUM(OSRRefD22_6x_0)</f>
        <v>0</v>
      </c>
      <c r="E105" s="1"/>
      <c r="F105" s="5">
        <f t="shared" si="31"/>
        <v>0</v>
      </c>
      <c r="G105" s="1"/>
      <c r="H105" s="1">
        <f>SUM(OSRRefH22_6x_0)</f>
        <v>150</v>
      </c>
      <c r="I105" s="1"/>
      <c r="J105" s="5">
        <f t="shared" si="32"/>
        <v>5.1933843208265096E-4</v>
      </c>
      <c r="K105" s="1"/>
      <c r="L105" s="1">
        <f t="shared" si="33"/>
        <v>-150</v>
      </c>
      <c r="M105" s="1"/>
      <c r="N105" s="5">
        <f t="shared" si="34"/>
        <v>-1</v>
      </c>
      <c r="O105" s="14"/>
      <c r="P105" s="1">
        <f>SUM(OSRRefP22_6x_0)</f>
        <v>0</v>
      </c>
      <c r="Q105" s="1"/>
      <c r="R105" s="5">
        <f t="shared" si="35"/>
        <v>0</v>
      </c>
      <c r="S105" s="1"/>
      <c r="T105" s="1">
        <f>SUM(OSRRefT22_6x_0)</f>
        <v>600</v>
      </c>
      <c r="U105" s="1"/>
      <c r="V105" s="5">
        <f t="shared" si="36"/>
        <v>5.5036631464625669E-4</v>
      </c>
      <c r="W105" s="1"/>
      <c r="X105" s="1">
        <f t="shared" si="37"/>
        <v>-600</v>
      </c>
      <c r="Y105" s="1"/>
      <c r="Z105" s="5">
        <f t="shared" si="38"/>
        <v>-1</v>
      </c>
    </row>
    <row r="106" spans="1:26" s="24" customFormat="1" hidden="1" outlineLevel="2" x14ac:dyDescent="0.25">
      <c r="A106" s="28"/>
      <c r="B106" s="11" t="str">
        <f>CONCATENATE("          ", "6277", " - ", "EMPLOYEE APPRECIATION")</f>
        <v xml:space="preserve">          6277 - EMPLOYEE APPRECIATION</v>
      </c>
      <c r="C106" s="11"/>
      <c r="D106" s="7"/>
      <c r="E106" s="2"/>
      <c r="F106" s="6">
        <f t="shared" si="31"/>
        <v>0</v>
      </c>
      <c r="G106" s="2"/>
      <c r="H106" s="7">
        <v>150</v>
      </c>
      <c r="I106" s="2"/>
      <c r="J106" s="6">
        <f t="shared" si="32"/>
        <v>5.1933843208265096E-4</v>
      </c>
      <c r="K106" s="2"/>
      <c r="L106" s="7">
        <f t="shared" si="33"/>
        <v>-150</v>
      </c>
      <c r="M106" s="2"/>
      <c r="N106" s="6">
        <f t="shared" si="34"/>
        <v>-1</v>
      </c>
      <c r="O106" s="11"/>
      <c r="P106" s="7"/>
      <c r="Q106" s="2"/>
      <c r="R106" s="6">
        <f t="shared" si="35"/>
        <v>0</v>
      </c>
      <c r="S106" s="2"/>
      <c r="T106" s="7">
        <v>600</v>
      </c>
      <c r="U106" s="2"/>
      <c r="V106" s="6">
        <f t="shared" si="36"/>
        <v>5.5036631464625669E-4</v>
      </c>
      <c r="W106" s="2"/>
      <c r="X106" s="7">
        <f t="shared" si="37"/>
        <v>-600</v>
      </c>
      <c r="Y106" s="2"/>
      <c r="Z106" s="6">
        <f t="shared" si="38"/>
        <v>-1</v>
      </c>
    </row>
    <row r="107" spans="1:26" s="27" customFormat="1" outlineLevel="1" collapsed="1" x14ac:dyDescent="0.25">
      <c r="A107" s="29"/>
      <c r="B107" s="14" t="str">
        <f>CONCATENATE("     ","Freight out/Postage                               ")</f>
        <v xml:space="preserve">     Freight out/Postage                               </v>
      </c>
      <c r="C107" s="14"/>
      <c r="D107" s="1">
        <f>SUM(OSRRefD22_7x_0)</f>
        <v>10.85</v>
      </c>
      <c r="E107" s="1"/>
      <c r="F107" s="5">
        <f t="shared" si="31"/>
        <v>1.122816458316086E-4</v>
      </c>
      <c r="G107" s="1"/>
      <c r="H107" s="1">
        <f>SUM(OSRRefH22_7x_0)</f>
        <v>10</v>
      </c>
      <c r="I107" s="1"/>
      <c r="J107" s="5">
        <f t="shared" si="32"/>
        <v>3.4622562138843397E-5</v>
      </c>
      <c r="K107" s="1"/>
      <c r="L107" s="1">
        <f t="shared" si="33"/>
        <v>0.84999999999999964</v>
      </c>
      <c r="M107" s="1"/>
      <c r="N107" s="5">
        <f t="shared" si="34"/>
        <v>8.4999999999999964E-2</v>
      </c>
      <c r="O107" s="14"/>
      <c r="P107" s="1">
        <f>SUM(OSRRefP22_7x_0)</f>
        <v>91.96</v>
      </c>
      <c r="Q107" s="1"/>
      <c r="R107" s="5">
        <f t="shared" si="35"/>
        <v>1.4676136168498131E-4</v>
      </c>
      <c r="S107" s="1"/>
      <c r="T107" s="1">
        <f>SUM(OSRRefT22_7x_0)</f>
        <v>40</v>
      </c>
      <c r="U107" s="1"/>
      <c r="V107" s="5">
        <f t="shared" si="36"/>
        <v>3.6691087643083774E-5</v>
      </c>
      <c r="W107" s="1"/>
      <c r="X107" s="1">
        <f t="shared" si="37"/>
        <v>51.959999999999994</v>
      </c>
      <c r="Y107" s="1"/>
      <c r="Z107" s="5">
        <f t="shared" si="38"/>
        <v>1.2989999999999999</v>
      </c>
    </row>
    <row r="108" spans="1:26" s="24" customFormat="1" hidden="1" outlineLevel="2" x14ac:dyDescent="0.25">
      <c r="A108" s="28"/>
      <c r="B108" s="11" t="str">
        <f>CONCATENATE("          ", "6305", " - ", "FREIGHT OUT")</f>
        <v xml:space="preserve">          6305 - FREIGHT OUT</v>
      </c>
      <c r="C108" s="11"/>
      <c r="D108" s="7">
        <v>10.85</v>
      </c>
      <c r="E108" s="2"/>
      <c r="F108" s="6">
        <f t="shared" si="31"/>
        <v>1.122816458316086E-4</v>
      </c>
      <c r="G108" s="2"/>
      <c r="H108" s="7"/>
      <c r="I108" s="2"/>
      <c r="J108" s="6">
        <f t="shared" si="32"/>
        <v>0</v>
      </c>
      <c r="K108" s="2"/>
      <c r="L108" s="7">
        <f t="shared" si="33"/>
        <v>10.85</v>
      </c>
      <c r="M108" s="2"/>
      <c r="N108" s="6">
        <f t="shared" si="34"/>
        <v>0</v>
      </c>
      <c r="O108" s="11"/>
      <c r="P108" s="7">
        <v>91.96</v>
      </c>
      <c r="Q108" s="2"/>
      <c r="R108" s="6">
        <f t="shared" si="35"/>
        <v>1.4676136168498131E-4</v>
      </c>
      <c r="S108" s="2"/>
      <c r="T108" s="7"/>
      <c r="U108" s="2"/>
      <c r="V108" s="6">
        <f t="shared" si="36"/>
        <v>0</v>
      </c>
      <c r="W108" s="2"/>
      <c r="X108" s="7">
        <f t="shared" si="37"/>
        <v>91.96</v>
      </c>
      <c r="Y108" s="2"/>
      <c r="Z108" s="6">
        <f t="shared" si="38"/>
        <v>0</v>
      </c>
    </row>
    <row r="109" spans="1:26" s="24" customFormat="1" hidden="1" outlineLevel="2" x14ac:dyDescent="0.25">
      <c r="A109" s="28"/>
      <c r="B109" s="11" t="str">
        <f>CONCATENATE("          ", "6307", " - ", "POSTAGE")</f>
        <v xml:space="preserve">          6307 - POSTAGE</v>
      </c>
      <c r="C109" s="11"/>
      <c r="D109" s="7"/>
      <c r="E109" s="2"/>
      <c r="F109" s="6">
        <f t="shared" si="31"/>
        <v>0</v>
      </c>
      <c r="G109" s="2"/>
      <c r="H109" s="7">
        <v>10</v>
      </c>
      <c r="I109" s="2"/>
      <c r="J109" s="6">
        <f t="shared" si="32"/>
        <v>3.4622562138843397E-5</v>
      </c>
      <c r="K109" s="2"/>
      <c r="L109" s="7">
        <f t="shared" si="33"/>
        <v>-10</v>
      </c>
      <c r="M109" s="2"/>
      <c r="N109" s="6">
        <f t="shared" si="34"/>
        <v>-1</v>
      </c>
      <c r="O109" s="11"/>
      <c r="P109" s="7"/>
      <c r="Q109" s="2"/>
      <c r="R109" s="6">
        <f t="shared" si="35"/>
        <v>0</v>
      </c>
      <c r="S109" s="2"/>
      <c r="T109" s="7">
        <v>40</v>
      </c>
      <c r="U109" s="2"/>
      <c r="V109" s="6">
        <f t="shared" si="36"/>
        <v>3.6691087643083774E-5</v>
      </c>
      <c r="W109" s="2"/>
      <c r="X109" s="7">
        <f t="shared" si="37"/>
        <v>-40</v>
      </c>
      <c r="Y109" s="2"/>
      <c r="Z109" s="6">
        <f t="shared" si="38"/>
        <v>-1</v>
      </c>
    </row>
    <row r="110" spans="1:26" s="27" customFormat="1" outlineLevel="1" collapsed="1" x14ac:dyDescent="0.25">
      <c r="A110" s="29"/>
      <c r="B110" s="14" t="str">
        <f>CONCATENATE("     ","General                                           ")</f>
        <v xml:space="preserve">     General                                           </v>
      </c>
      <c r="C110" s="14"/>
      <c r="D110" s="1">
        <f>SUM(OSRRefD22_8x_0)</f>
        <v>0</v>
      </c>
      <c r="E110" s="1"/>
      <c r="F110" s="5">
        <f t="shared" ref="F110:F121" si="39">IF(D$12=0,0,D110/D$12)</f>
        <v>0</v>
      </c>
      <c r="G110" s="1"/>
      <c r="H110" s="1">
        <f>SUM(OSRRefH22_8x_0)</f>
        <v>0</v>
      </c>
      <c r="I110" s="1"/>
      <c r="J110" s="5">
        <f t="shared" ref="J110:J121" si="40">IF(H$12=0,0,H110/H$12)</f>
        <v>0</v>
      </c>
      <c r="K110" s="1"/>
      <c r="L110" s="1">
        <f t="shared" ref="L110:L121" si="41">+D110-H110</f>
        <v>0</v>
      </c>
      <c r="M110" s="1"/>
      <c r="N110" s="5">
        <f t="shared" ref="N110:N121" si="42">IF(H110=0,0,L110/H110)</f>
        <v>0</v>
      </c>
      <c r="O110" s="14"/>
      <c r="P110" s="1">
        <f>SUM(OSRRefP22_8x_0)</f>
        <v>0</v>
      </c>
      <c r="Q110" s="1"/>
      <c r="R110" s="5">
        <f t="shared" ref="R110:R121" si="43">IF(P$12=0,0,P110/P$12)</f>
        <v>0</v>
      </c>
      <c r="S110" s="1"/>
      <c r="T110" s="1">
        <f>SUM(OSRRefT22_8x_0)</f>
        <v>0</v>
      </c>
      <c r="U110" s="1"/>
      <c r="V110" s="5">
        <f t="shared" ref="V110:V121" si="44">IF(T$12=0,0,T110/T$12)</f>
        <v>0</v>
      </c>
      <c r="W110" s="1"/>
      <c r="X110" s="1">
        <f t="shared" ref="X110:X121" si="45">+P110-T110</f>
        <v>0</v>
      </c>
      <c r="Y110" s="1"/>
      <c r="Z110" s="5">
        <f t="shared" ref="Z110:Z121" si="46">IF(T110=0,0,X110/T110)</f>
        <v>0</v>
      </c>
    </row>
    <row r="111" spans="1:26" s="24" customFormat="1" hidden="1" outlineLevel="2" x14ac:dyDescent="0.25">
      <c r="A111" s="28"/>
      <c r="B111" s="11" t="str">
        <f>CONCATENATE("          ", "6279", " - ", "GENERAL EXPENSE")</f>
        <v xml:space="preserve">          6279 - GENERAL EXPENSE</v>
      </c>
      <c r="C111" s="11"/>
      <c r="D111" s="7"/>
      <c r="E111" s="2"/>
      <c r="F111" s="6">
        <f t="shared" si="39"/>
        <v>0</v>
      </c>
      <c r="G111" s="2"/>
      <c r="H111" s="7">
        <v>0</v>
      </c>
      <c r="I111" s="2"/>
      <c r="J111" s="6">
        <f t="shared" si="40"/>
        <v>0</v>
      </c>
      <c r="K111" s="2"/>
      <c r="L111" s="7">
        <f t="shared" si="41"/>
        <v>0</v>
      </c>
      <c r="M111" s="2"/>
      <c r="N111" s="6">
        <f t="shared" si="42"/>
        <v>0</v>
      </c>
      <c r="O111" s="11"/>
      <c r="P111" s="7"/>
      <c r="Q111" s="2"/>
      <c r="R111" s="6">
        <f t="shared" si="43"/>
        <v>0</v>
      </c>
      <c r="S111" s="2"/>
      <c r="T111" s="7">
        <v>0</v>
      </c>
      <c r="U111" s="2"/>
      <c r="V111" s="6">
        <f t="shared" si="44"/>
        <v>0</v>
      </c>
      <c r="W111" s="2"/>
      <c r="X111" s="7">
        <f t="shared" si="45"/>
        <v>0</v>
      </c>
      <c r="Y111" s="2"/>
      <c r="Z111" s="6">
        <f t="shared" si="46"/>
        <v>0</v>
      </c>
    </row>
    <row r="112" spans="1:26" s="27" customFormat="1" outlineLevel="1" collapsed="1" x14ac:dyDescent="0.25">
      <c r="A112" s="29"/>
      <c r="B112" s="14" t="str">
        <f>CONCATENATE("     ","Inventory Adjustment                              ")</f>
        <v xml:space="preserve">     Inventory Adjustment                              </v>
      </c>
      <c r="C112" s="14"/>
      <c r="D112" s="1">
        <f>SUM(OSRRefD22_9x_0)</f>
        <v>1000</v>
      </c>
      <c r="E112" s="1"/>
      <c r="F112" s="5">
        <f t="shared" si="39"/>
        <v>1.0348538786323374E-2</v>
      </c>
      <c r="G112" s="1"/>
      <c r="H112" s="1">
        <f>SUM(OSRRefH22_9x_0)</f>
        <v>1000</v>
      </c>
      <c r="I112" s="1"/>
      <c r="J112" s="5">
        <f t="shared" si="40"/>
        <v>3.4622562138843399E-3</v>
      </c>
      <c r="K112" s="1"/>
      <c r="L112" s="1">
        <f t="shared" si="41"/>
        <v>0</v>
      </c>
      <c r="M112" s="1"/>
      <c r="N112" s="5">
        <f t="shared" si="42"/>
        <v>0</v>
      </c>
      <c r="O112" s="14"/>
      <c r="P112" s="1">
        <f>SUM(OSRRefP22_9x_0)</f>
        <v>4000</v>
      </c>
      <c r="Q112" s="1"/>
      <c r="R112" s="5">
        <f t="shared" si="43"/>
        <v>6.3837042925176737E-3</v>
      </c>
      <c r="S112" s="1"/>
      <c r="T112" s="1">
        <f>SUM(OSRRefT22_9x_0)</f>
        <v>4000</v>
      </c>
      <c r="U112" s="1"/>
      <c r="V112" s="5">
        <f t="shared" si="44"/>
        <v>3.6691087643083778E-3</v>
      </c>
      <c r="W112" s="1"/>
      <c r="X112" s="1">
        <f t="shared" si="45"/>
        <v>0</v>
      </c>
      <c r="Y112" s="1"/>
      <c r="Z112" s="5">
        <f t="shared" si="46"/>
        <v>0</v>
      </c>
    </row>
    <row r="113" spans="1:26" s="24" customFormat="1" hidden="1" outlineLevel="2" x14ac:dyDescent="0.25">
      <c r="A113" s="28"/>
      <c r="B113" s="11" t="str">
        <f>CONCATENATE("          ", "6408", " - ", "INVENTORY ADJUSTMENT")</f>
        <v xml:space="preserve">          6408 - INVENTORY ADJUSTMENT</v>
      </c>
      <c r="C113" s="11"/>
      <c r="D113" s="7">
        <v>1000</v>
      </c>
      <c r="E113" s="2"/>
      <c r="F113" s="6">
        <f t="shared" si="39"/>
        <v>1.0348538786323374E-2</v>
      </c>
      <c r="G113" s="2"/>
      <c r="H113" s="7">
        <v>1000</v>
      </c>
      <c r="I113" s="2"/>
      <c r="J113" s="6">
        <f t="shared" si="40"/>
        <v>3.4622562138843399E-3</v>
      </c>
      <c r="K113" s="2"/>
      <c r="L113" s="7">
        <f t="shared" si="41"/>
        <v>0</v>
      </c>
      <c r="M113" s="2"/>
      <c r="N113" s="6">
        <f t="shared" si="42"/>
        <v>0</v>
      </c>
      <c r="O113" s="11"/>
      <c r="P113" s="7">
        <v>4000</v>
      </c>
      <c r="Q113" s="2"/>
      <c r="R113" s="6">
        <f t="shared" si="43"/>
        <v>6.3837042925176737E-3</v>
      </c>
      <c r="S113" s="2"/>
      <c r="T113" s="7">
        <v>4000</v>
      </c>
      <c r="U113" s="2"/>
      <c r="V113" s="6">
        <f t="shared" si="44"/>
        <v>3.6691087643083778E-3</v>
      </c>
      <c r="W113" s="2"/>
      <c r="X113" s="7">
        <f t="shared" si="45"/>
        <v>0</v>
      </c>
      <c r="Y113" s="2"/>
      <c r="Z113" s="6">
        <f t="shared" si="46"/>
        <v>0</v>
      </c>
    </row>
    <row r="114" spans="1:26" s="27" customFormat="1" outlineLevel="1" collapsed="1" x14ac:dyDescent="0.25">
      <c r="A114" s="29"/>
      <c r="B114" s="14" t="str">
        <f>CONCATENATE("     ","Professional Services                             ")</f>
        <v xml:space="preserve">     Professional Services                             </v>
      </c>
      <c r="C114" s="14"/>
      <c r="D114" s="1">
        <f>SUM(OSRRefD22_10x_0)</f>
        <v>0</v>
      </c>
      <c r="E114" s="1"/>
      <c r="F114" s="5">
        <f t="shared" si="39"/>
        <v>0</v>
      </c>
      <c r="G114" s="1"/>
      <c r="H114" s="1">
        <f>SUM(OSRRefH22_10x_0)</f>
        <v>250</v>
      </c>
      <c r="I114" s="1"/>
      <c r="J114" s="5">
        <f t="shared" si="40"/>
        <v>8.6556405347108496E-4</v>
      </c>
      <c r="K114" s="1"/>
      <c r="L114" s="1">
        <f t="shared" si="41"/>
        <v>-250</v>
      </c>
      <c r="M114" s="1"/>
      <c r="N114" s="5">
        <f t="shared" si="42"/>
        <v>-1</v>
      </c>
      <c r="O114" s="14"/>
      <c r="P114" s="1">
        <f>SUM(OSRRefP22_10x_0)</f>
        <v>0</v>
      </c>
      <c r="Q114" s="1"/>
      <c r="R114" s="5">
        <f t="shared" si="43"/>
        <v>0</v>
      </c>
      <c r="S114" s="1"/>
      <c r="T114" s="1">
        <f>SUM(OSRRefT22_10x_0)</f>
        <v>5250</v>
      </c>
      <c r="U114" s="1"/>
      <c r="V114" s="5">
        <f t="shared" si="44"/>
        <v>4.8157052531547454E-3</v>
      </c>
      <c r="W114" s="1"/>
      <c r="X114" s="1">
        <f t="shared" si="45"/>
        <v>-5250</v>
      </c>
      <c r="Y114" s="1"/>
      <c r="Z114" s="5">
        <f t="shared" si="46"/>
        <v>-1</v>
      </c>
    </row>
    <row r="115" spans="1:26" s="24" customFormat="1" hidden="1" outlineLevel="2" x14ac:dyDescent="0.25">
      <c r="A115" s="28"/>
      <c r="B115" s="11" t="str">
        <f>CONCATENATE("          ", "6336", " - ", "PROFESSIONAL SERVICES")</f>
        <v xml:space="preserve">          6336 - PROFESSIONAL SERVICES</v>
      </c>
      <c r="C115" s="11"/>
      <c r="D115" s="7"/>
      <c r="E115" s="2"/>
      <c r="F115" s="6">
        <f t="shared" si="39"/>
        <v>0</v>
      </c>
      <c r="G115" s="2"/>
      <c r="H115" s="7">
        <v>250</v>
      </c>
      <c r="I115" s="2"/>
      <c r="J115" s="6">
        <f t="shared" si="40"/>
        <v>8.6556405347108496E-4</v>
      </c>
      <c r="K115" s="2"/>
      <c r="L115" s="7">
        <f t="shared" si="41"/>
        <v>-250</v>
      </c>
      <c r="M115" s="2"/>
      <c r="N115" s="6">
        <f t="shared" si="42"/>
        <v>-1</v>
      </c>
      <c r="O115" s="11"/>
      <c r="P115" s="7"/>
      <c r="Q115" s="2"/>
      <c r="R115" s="6">
        <f t="shared" si="43"/>
        <v>0</v>
      </c>
      <c r="S115" s="2"/>
      <c r="T115" s="7">
        <v>5250</v>
      </c>
      <c r="U115" s="2"/>
      <c r="V115" s="6">
        <f t="shared" si="44"/>
        <v>4.8157052531547454E-3</v>
      </c>
      <c r="W115" s="2"/>
      <c r="X115" s="7">
        <f t="shared" si="45"/>
        <v>-5250</v>
      </c>
      <c r="Y115" s="2"/>
      <c r="Z115" s="6">
        <f t="shared" si="46"/>
        <v>-1</v>
      </c>
    </row>
    <row r="116" spans="1:26" s="27" customFormat="1" outlineLevel="1" collapsed="1" x14ac:dyDescent="0.25">
      <c r="A116" s="29"/>
      <c r="B116" s="14" t="str">
        <f>CONCATENATE("     ","Repair and Maintenance                            ")</f>
        <v xml:space="preserve">     Repair and Maintenance                            </v>
      </c>
      <c r="C116" s="14"/>
      <c r="D116" s="1">
        <f>SUM(OSRRefD22_11x_0)</f>
        <v>0</v>
      </c>
      <c r="E116" s="1"/>
      <c r="F116" s="5">
        <f t="shared" si="39"/>
        <v>0</v>
      </c>
      <c r="G116" s="1"/>
      <c r="H116" s="1">
        <f>SUM(OSRRefH22_11x_0)</f>
        <v>300</v>
      </c>
      <c r="I116" s="1"/>
      <c r="J116" s="5">
        <f t="shared" si="40"/>
        <v>1.0386768641653019E-3</v>
      </c>
      <c r="K116" s="1"/>
      <c r="L116" s="1">
        <f t="shared" si="41"/>
        <v>-300</v>
      </c>
      <c r="M116" s="1"/>
      <c r="N116" s="5">
        <f t="shared" si="42"/>
        <v>-1</v>
      </c>
      <c r="O116" s="14"/>
      <c r="P116" s="1">
        <f>SUM(OSRRefP22_11x_0)</f>
        <v>0</v>
      </c>
      <c r="Q116" s="1"/>
      <c r="R116" s="5">
        <f t="shared" si="43"/>
        <v>0</v>
      </c>
      <c r="S116" s="1"/>
      <c r="T116" s="1">
        <f>SUM(OSRRefT22_11x_0)</f>
        <v>700</v>
      </c>
      <c r="U116" s="1"/>
      <c r="V116" s="5">
        <f t="shared" si="44"/>
        <v>6.4209403375396605E-4</v>
      </c>
      <c r="W116" s="1"/>
      <c r="X116" s="1">
        <f t="shared" si="45"/>
        <v>-700</v>
      </c>
      <c r="Y116" s="1"/>
      <c r="Z116" s="5">
        <f t="shared" si="46"/>
        <v>-1</v>
      </c>
    </row>
    <row r="117" spans="1:26" s="24" customFormat="1" hidden="1" outlineLevel="2" x14ac:dyDescent="0.25">
      <c r="A117" s="28"/>
      <c r="B117" s="11" t="str">
        <f>CONCATENATE("          ", "6375", " - ", "OUTSIDE REPAIRS &amp; MAINTENANCE")</f>
        <v xml:space="preserve">          6375 - OUTSIDE REPAIRS &amp; MAINTENANCE</v>
      </c>
      <c r="C117" s="11"/>
      <c r="D117" s="7"/>
      <c r="E117" s="2"/>
      <c r="F117" s="6">
        <f t="shared" si="39"/>
        <v>0</v>
      </c>
      <c r="G117" s="2"/>
      <c r="H117" s="7">
        <v>300</v>
      </c>
      <c r="I117" s="2"/>
      <c r="J117" s="6">
        <f t="shared" si="40"/>
        <v>1.0386768641653019E-3</v>
      </c>
      <c r="K117" s="2"/>
      <c r="L117" s="7">
        <f t="shared" si="41"/>
        <v>-300</v>
      </c>
      <c r="M117" s="2"/>
      <c r="N117" s="6">
        <f t="shared" si="42"/>
        <v>-1</v>
      </c>
      <c r="O117" s="11"/>
      <c r="P117" s="7"/>
      <c r="Q117" s="2"/>
      <c r="R117" s="6">
        <f t="shared" si="43"/>
        <v>0</v>
      </c>
      <c r="S117" s="2"/>
      <c r="T117" s="7">
        <v>700</v>
      </c>
      <c r="U117" s="2"/>
      <c r="V117" s="6">
        <f t="shared" si="44"/>
        <v>6.4209403375396605E-4</v>
      </c>
      <c r="W117" s="2"/>
      <c r="X117" s="7">
        <f t="shared" si="45"/>
        <v>-700</v>
      </c>
      <c r="Y117" s="2"/>
      <c r="Z117" s="6">
        <f t="shared" si="46"/>
        <v>-1</v>
      </c>
    </row>
    <row r="118" spans="1:26" s="27" customFormat="1" outlineLevel="1" collapsed="1" x14ac:dyDescent="0.25">
      <c r="A118" s="29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1">
        <f>SUM(OSRRefD22_12x_0)</f>
        <v>10489.6</v>
      </c>
      <c r="E118" s="1"/>
      <c r="F118" s="5">
        <f t="shared" si="39"/>
        <v>0.10855203245301767</v>
      </c>
      <c r="G118" s="1"/>
      <c r="H118" s="1">
        <f>SUM(OSRRefH22_12x_0)</f>
        <v>6271</v>
      </c>
      <c r="I118" s="1"/>
      <c r="J118" s="5">
        <f t="shared" si="40"/>
        <v>2.1711808717268695E-2</v>
      </c>
      <c r="K118" s="1"/>
      <c r="L118" s="1">
        <f t="shared" si="41"/>
        <v>4218.6000000000004</v>
      </c>
      <c r="M118" s="1"/>
      <c r="N118" s="5">
        <f t="shared" si="42"/>
        <v>0.67271567533088827</v>
      </c>
      <c r="O118" s="14"/>
      <c r="P118" s="1">
        <f>SUM(OSRRefP22_12x_0)</f>
        <v>18411.8</v>
      </c>
      <c r="Q118" s="1"/>
      <c r="R118" s="5">
        <f t="shared" si="43"/>
        <v>2.9383871673244223E-2</v>
      </c>
      <c r="S118" s="1"/>
      <c r="T118" s="1">
        <f>SUM(OSRRefT22_12x_0)</f>
        <v>25084</v>
      </c>
      <c r="U118" s="1"/>
      <c r="V118" s="5">
        <f t="shared" si="44"/>
        <v>2.3008981060977835E-2</v>
      </c>
      <c r="W118" s="1"/>
      <c r="X118" s="1">
        <f t="shared" si="45"/>
        <v>-6672.2000000000007</v>
      </c>
      <c r="Y118" s="1"/>
      <c r="Z118" s="5">
        <f t="shared" si="46"/>
        <v>-0.26599425928878967</v>
      </c>
    </row>
    <row r="119" spans="1:26" s="24" customFormat="1" hidden="1" outlineLevel="2" x14ac:dyDescent="0.25">
      <c r="A119" s="28"/>
      <c r="B119" s="11" t="str">
        <f>CONCATENATE("          ", "6252", " - ", "ROYALTY DUE CSTV")</f>
        <v xml:space="preserve">          6252 - ROYALTY DUE CSTV</v>
      </c>
      <c r="C119" s="11"/>
      <c r="D119" s="7"/>
      <c r="E119" s="2"/>
      <c r="F119" s="6">
        <f t="shared" si="39"/>
        <v>0</v>
      </c>
      <c r="G119" s="2"/>
      <c r="H119" s="7">
        <v>1085</v>
      </c>
      <c r="I119" s="2"/>
      <c r="J119" s="6">
        <f t="shared" si="40"/>
        <v>3.7565479920645089E-3</v>
      </c>
      <c r="K119" s="2"/>
      <c r="L119" s="7">
        <f t="shared" si="41"/>
        <v>-1085</v>
      </c>
      <c r="M119" s="2"/>
      <c r="N119" s="6">
        <f t="shared" si="42"/>
        <v>-1</v>
      </c>
      <c r="O119" s="11"/>
      <c r="P119" s="7"/>
      <c r="Q119" s="2"/>
      <c r="R119" s="6">
        <f t="shared" si="43"/>
        <v>0</v>
      </c>
      <c r="S119" s="2"/>
      <c r="T119" s="7">
        <v>4340</v>
      </c>
      <c r="U119" s="2"/>
      <c r="V119" s="6">
        <f t="shared" si="44"/>
        <v>3.9809830092745893E-3</v>
      </c>
      <c r="W119" s="2"/>
      <c r="X119" s="7">
        <f t="shared" si="45"/>
        <v>-4340</v>
      </c>
      <c r="Y119" s="2"/>
      <c r="Z119" s="6">
        <f t="shared" si="46"/>
        <v>-1</v>
      </c>
    </row>
    <row r="120" spans="1:26" s="24" customFormat="1" hidden="1" outlineLevel="2" x14ac:dyDescent="0.25">
      <c r="A120" s="28"/>
      <c r="B120" s="11" t="str">
        <f>CONCATENATE("          ", "6253", " - ", "ROYALTY DUE ATHLETICS-LRG")</f>
        <v xml:space="preserve">          6253 - ROYALTY DUE ATHLETICS-LRG</v>
      </c>
      <c r="C120" s="11"/>
      <c r="D120" s="7">
        <v>10489.6</v>
      </c>
      <c r="E120" s="2"/>
      <c r="F120" s="6">
        <f t="shared" si="39"/>
        <v>0.10855203245301767</v>
      </c>
      <c r="G120" s="2"/>
      <c r="H120" s="7">
        <v>4037</v>
      </c>
      <c r="I120" s="2"/>
      <c r="J120" s="6">
        <f t="shared" si="40"/>
        <v>1.397712833545108E-2</v>
      </c>
      <c r="K120" s="2"/>
      <c r="L120" s="7">
        <f t="shared" si="41"/>
        <v>6452.6</v>
      </c>
      <c r="M120" s="2"/>
      <c r="N120" s="6">
        <f t="shared" si="42"/>
        <v>1.598365122615804</v>
      </c>
      <c r="O120" s="11"/>
      <c r="P120" s="7">
        <v>18411.8</v>
      </c>
      <c r="Q120" s="2"/>
      <c r="R120" s="6">
        <f t="shared" si="43"/>
        <v>2.9383871673244223E-2</v>
      </c>
      <c r="S120" s="2"/>
      <c r="T120" s="7">
        <v>16148</v>
      </c>
      <c r="U120" s="2"/>
      <c r="V120" s="6">
        <f t="shared" si="44"/>
        <v>1.481219208151292E-2</v>
      </c>
      <c r="W120" s="2"/>
      <c r="X120" s="7">
        <f t="shared" si="45"/>
        <v>2263.7999999999993</v>
      </c>
      <c r="Y120" s="2"/>
      <c r="Z120" s="6">
        <f t="shared" si="46"/>
        <v>0.14019073569482285</v>
      </c>
    </row>
    <row r="121" spans="1:26" s="24" customFormat="1" hidden="1" outlineLevel="2" x14ac:dyDescent="0.25">
      <c r="A121" s="28"/>
      <c r="B121" s="11" t="str">
        <f>CONCATENATE("          ", "6254", " - ", "ROYALTY &amp; COMMISSIONS")</f>
        <v xml:space="preserve">          6254 - ROYALTY &amp; COMMISSIONS</v>
      </c>
      <c r="C121" s="11"/>
      <c r="D121" s="7"/>
      <c r="E121" s="2"/>
      <c r="F121" s="6">
        <f t="shared" si="39"/>
        <v>0</v>
      </c>
      <c r="G121" s="2"/>
      <c r="H121" s="7">
        <v>1149</v>
      </c>
      <c r="I121" s="2"/>
      <c r="J121" s="6">
        <f t="shared" si="40"/>
        <v>3.9781323897531062E-3</v>
      </c>
      <c r="K121" s="2"/>
      <c r="L121" s="7">
        <f t="shared" si="41"/>
        <v>-1149</v>
      </c>
      <c r="M121" s="2"/>
      <c r="N121" s="6">
        <f t="shared" si="42"/>
        <v>-1</v>
      </c>
      <c r="O121" s="11"/>
      <c r="P121" s="7"/>
      <c r="Q121" s="2"/>
      <c r="R121" s="6">
        <f t="shared" si="43"/>
        <v>0</v>
      </c>
      <c r="S121" s="2"/>
      <c r="T121" s="7">
        <v>4596</v>
      </c>
      <c r="U121" s="2"/>
      <c r="V121" s="6">
        <f t="shared" si="44"/>
        <v>4.2158059701903261E-3</v>
      </c>
      <c r="W121" s="2"/>
      <c r="X121" s="7">
        <f t="shared" si="45"/>
        <v>-4596</v>
      </c>
      <c r="Y121" s="2"/>
      <c r="Z121" s="6">
        <f t="shared" si="46"/>
        <v>-1</v>
      </c>
    </row>
    <row r="122" spans="1:26" s="27" customFormat="1" outlineLevel="1" collapsed="1" x14ac:dyDescent="0.25">
      <c r="A122" s="29"/>
      <c r="B122" s="14" t="str">
        <f>CONCATENATE("     ","Subscriptions &amp; Dues                              ")</f>
        <v xml:space="preserve">     Subscriptions &amp; Dues                              </v>
      </c>
      <c r="C122" s="14"/>
      <c r="D122" s="1">
        <f>SUM(OSRRefD22_13x_0)</f>
        <v>0</v>
      </c>
      <c r="E122" s="1"/>
      <c r="F122" s="5">
        <f t="shared" ref="F122:F124" si="47">IF(D$12=0,0,D122/D$12)</f>
        <v>0</v>
      </c>
      <c r="G122" s="1"/>
      <c r="H122" s="1">
        <f>SUM(OSRRefH22_13x_0)</f>
        <v>0</v>
      </c>
      <c r="I122" s="1"/>
      <c r="J122" s="5">
        <f t="shared" ref="J122:J124" si="48">IF(H$12=0,0,H122/H$12)</f>
        <v>0</v>
      </c>
      <c r="K122" s="1"/>
      <c r="L122" s="1">
        <f t="shared" ref="L122:L124" si="49">+D122-H122</f>
        <v>0</v>
      </c>
      <c r="M122" s="1"/>
      <c r="N122" s="5">
        <f t="shared" ref="N122:N124" si="50">IF(H122=0,0,L122/H122)</f>
        <v>0</v>
      </c>
      <c r="O122" s="14"/>
      <c r="P122" s="1">
        <f>SUM(OSRRefP22_13x_0)</f>
        <v>75.73</v>
      </c>
      <c r="Q122" s="1"/>
      <c r="R122" s="5">
        <f t="shared" ref="R122:R124" si="51">IF(P$12=0,0,P122/P$12)</f>
        <v>1.2085948151809087E-4</v>
      </c>
      <c r="S122" s="1"/>
      <c r="T122" s="1">
        <f>SUM(OSRRefT22_13x_0)</f>
        <v>1000</v>
      </c>
      <c r="U122" s="1"/>
      <c r="V122" s="5">
        <f t="shared" ref="V122:V124" si="52">IF(T$12=0,0,T122/T$12)</f>
        <v>9.1727719107709445E-4</v>
      </c>
      <c r="W122" s="1"/>
      <c r="X122" s="1">
        <f t="shared" ref="X122:X124" si="53">+P122-T122</f>
        <v>-924.27</v>
      </c>
      <c r="Y122" s="1"/>
      <c r="Z122" s="5">
        <f t="shared" ref="Z122:Z124" si="54">IF(T122=0,0,X122/T122)</f>
        <v>-0.92427000000000004</v>
      </c>
    </row>
    <row r="123" spans="1:26" s="24" customFormat="1" hidden="1" outlineLevel="2" x14ac:dyDescent="0.25">
      <c r="A123" s="28"/>
      <c r="B123" s="11" t="str">
        <f>CONCATENATE("          ", "6258", " - ", "MEMBERSHIP DUES")</f>
        <v xml:space="preserve">          6258 - MEMBERSHIP DUES</v>
      </c>
      <c r="C123" s="11"/>
      <c r="D123" s="7"/>
      <c r="E123" s="2"/>
      <c r="F123" s="6">
        <f t="shared" si="47"/>
        <v>0</v>
      </c>
      <c r="G123" s="2"/>
      <c r="H123" s="7">
        <v>0</v>
      </c>
      <c r="I123" s="2"/>
      <c r="J123" s="6">
        <f t="shared" si="48"/>
        <v>0</v>
      </c>
      <c r="K123" s="2"/>
      <c r="L123" s="7">
        <f t="shared" si="49"/>
        <v>0</v>
      </c>
      <c r="M123" s="2"/>
      <c r="N123" s="6">
        <f t="shared" si="50"/>
        <v>0</v>
      </c>
      <c r="O123" s="11"/>
      <c r="P123" s="7"/>
      <c r="Q123" s="2"/>
      <c r="R123" s="6">
        <f t="shared" si="51"/>
        <v>0</v>
      </c>
      <c r="S123" s="2"/>
      <c r="T123" s="7">
        <v>1000</v>
      </c>
      <c r="U123" s="2"/>
      <c r="V123" s="6">
        <f t="shared" si="52"/>
        <v>9.1727719107709445E-4</v>
      </c>
      <c r="W123" s="2"/>
      <c r="X123" s="7">
        <f t="shared" si="53"/>
        <v>-1000</v>
      </c>
      <c r="Y123" s="2"/>
      <c r="Z123" s="6">
        <f t="shared" si="54"/>
        <v>-1</v>
      </c>
    </row>
    <row r="124" spans="1:26" s="24" customFormat="1" hidden="1" outlineLevel="2" x14ac:dyDescent="0.25">
      <c r="A124" s="28"/>
      <c r="B124" s="11" t="str">
        <f>CONCATENATE("          ", "6275", " - ", "SUBSCRIPTIONS")</f>
        <v xml:space="preserve">          6275 - SUBSCRIPTIONS</v>
      </c>
      <c r="C124" s="11"/>
      <c r="D124" s="7"/>
      <c r="E124" s="2"/>
      <c r="F124" s="6">
        <f t="shared" si="47"/>
        <v>0</v>
      </c>
      <c r="G124" s="2"/>
      <c r="H124" s="7"/>
      <c r="I124" s="2"/>
      <c r="J124" s="6">
        <f t="shared" si="48"/>
        <v>0</v>
      </c>
      <c r="K124" s="2"/>
      <c r="L124" s="7">
        <f t="shared" si="49"/>
        <v>0</v>
      </c>
      <c r="M124" s="2"/>
      <c r="N124" s="6">
        <f t="shared" si="50"/>
        <v>0</v>
      </c>
      <c r="O124" s="11"/>
      <c r="P124" s="7">
        <v>75.73</v>
      </c>
      <c r="Q124" s="2"/>
      <c r="R124" s="6">
        <f t="shared" si="51"/>
        <v>1.2085948151809087E-4</v>
      </c>
      <c r="S124" s="2"/>
      <c r="T124" s="7">
        <v>0</v>
      </c>
      <c r="U124" s="2"/>
      <c r="V124" s="6">
        <f t="shared" si="52"/>
        <v>0</v>
      </c>
      <c r="W124" s="2"/>
      <c r="X124" s="7">
        <f t="shared" si="53"/>
        <v>75.73</v>
      </c>
      <c r="Y124" s="2"/>
      <c r="Z124" s="6">
        <f t="shared" si="54"/>
        <v>0</v>
      </c>
    </row>
    <row r="125" spans="1:26" s="27" customFormat="1" outlineLevel="1" collapsed="1" x14ac:dyDescent="0.25">
      <c r="A125" s="29"/>
      <c r="B125" s="14" t="str">
        <f>CONCATENATE("     ","Supplies                                          ")</f>
        <v xml:space="preserve">     Supplies                                          </v>
      </c>
      <c r="C125" s="14"/>
      <c r="D125" s="1">
        <f>SUM(OSRRefD22_14x_0)</f>
        <v>206.87</v>
      </c>
      <c r="E125" s="1"/>
      <c r="F125" s="5">
        <f t="shared" ref="F125:F132" si="55">IF(D$12=0,0,D125/D$12)</f>
        <v>2.1408022187267167E-3</v>
      </c>
      <c r="G125" s="1"/>
      <c r="H125" s="1">
        <f>SUM(OSRRefH22_14x_0)</f>
        <v>450</v>
      </c>
      <c r="I125" s="1"/>
      <c r="J125" s="5">
        <f t="shared" ref="J125:J132" si="56">IF(H$12=0,0,H125/H$12)</f>
        <v>1.5580152962479529E-3</v>
      </c>
      <c r="K125" s="1"/>
      <c r="L125" s="1">
        <f t="shared" ref="L125:L132" si="57">+D125-H125</f>
        <v>-243.13</v>
      </c>
      <c r="M125" s="1"/>
      <c r="N125" s="5">
        <f t="shared" ref="N125:N132" si="58">IF(H125=0,0,L125/H125)</f>
        <v>-0.54028888888888893</v>
      </c>
      <c r="O125" s="14"/>
      <c r="P125" s="1">
        <f>SUM(OSRRefP22_14x_0)</f>
        <v>1306.6100000000001</v>
      </c>
      <c r="Q125" s="1"/>
      <c r="R125" s="5">
        <f t="shared" ref="R125:R132" si="59">IF(P$12=0,0,P125/P$12)</f>
        <v>2.0852529664116297E-3</v>
      </c>
      <c r="S125" s="1"/>
      <c r="T125" s="1">
        <f>SUM(OSRRefT22_14x_0)</f>
        <v>1800</v>
      </c>
      <c r="U125" s="1"/>
      <c r="V125" s="5">
        <f t="shared" ref="V125:V132" si="60">IF(T$12=0,0,T125/T$12)</f>
        <v>1.65109894393877E-3</v>
      </c>
      <c r="W125" s="1"/>
      <c r="X125" s="1">
        <f t="shared" ref="X125:X132" si="61">+P125-T125</f>
        <v>-493.38999999999987</v>
      </c>
      <c r="Y125" s="1"/>
      <c r="Z125" s="5">
        <f t="shared" ref="Z125:Z132" si="62">IF(T125=0,0,X125/T125)</f>
        <v>-0.27410555555555549</v>
      </c>
    </row>
    <row r="126" spans="1:26" s="24" customFormat="1" hidden="1" outlineLevel="2" x14ac:dyDescent="0.25">
      <c r="A126" s="28"/>
      <c r="B126" s="11" t="str">
        <f>CONCATENATE("          ", "6234", " - ", "EXPENDABLE SUPPLIES &amp; EQUIPMEN")</f>
        <v xml:space="preserve">          6234 - EXPENDABLE SUPPLIES &amp; EQUIPMEN</v>
      </c>
      <c r="C126" s="11"/>
      <c r="D126" s="7"/>
      <c r="E126" s="2"/>
      <c r="F126" s="6">
        <f t="shared" si="55"/>
        <v>0</v>
      </c>
      <c r="G126" s="2"/>
      <c r="H126" s="7">
        <v>50</v>
      </c>
      <c r="I126" s="2"/>
      <c r="J126" s="6">
        <f t="shared" si="56"/>
        <v>1.73112810694217E-4</v>
      </c>
      <c r="K126" s="2"/>
      <c r="L126" s="7">
        <f t="shared" si="57"/>
        <v>-50</v>
      </c>
      <c r="M126" s="2"/>
      <c r="N126" s="6">
        <f t="shared" si="58"/>
        <v>-1</v>
      </c>
      <c r="O126" s="11"/>
      <c r="P126" s="7"/>
      <c r="Q126" s="2"/>
      <c r="R126" s="6">
        <f t="shared" si="59"/>
        <v>0</v>
      </c>
      <c r="S126" s="2"/>
      <c r="T126" s="7">
        <v>200</v>
      </c>
      <c r="U126" s="2"/>
      <c r="V126" s="6">
        <f t="shared" si="60"/>
        <v>1.8345543821541888E-4</v>
      </c>
      <c r="W126" s="2"/>
      <c r="X126" s="7">
        <f t="shared" si="61"/>
        <v>-200</v>
      </c>
      <c r="Y126" s="2"/>
      <c r="Z126" s="6">
        <f t="shared" si="62"/>
        <v>-1</v>
      </c>
    </row>
    <row r="127" spans="1:26" s="24" customFormat="1" hidden="1" outlineLevel="2" x14ac:dyDescent="0.25">
      <c r="A127" s="28"/>
      <c r="B127" s="11" t="str">
        <f>CONCATENATE("          ", "6235", " - ", "COVID-19 EXPENSES")</f>
        <v xml:space="preserve">          6235 - COVID-19 EXPENSES</v>
      </c>
      <c r="C127" s="11"/>
      <c r="D127" s="7"/>
      <c r="E127" s="2"/>
      <c r="F127" s="6">
        <f t="shared" si="55"/>
        <v>0</v>
      </c>
      <c r="G127" s="2"/>
      <c r="H127" s="7">
        <v>100</v>
      </c>
      <c r="I127" s="2"/>
      <c r="J127" s="6">
        <f t="shared" si="56"/>
        <v>3.4622562138843401E-4</v>
      </c>
      <c r="K127" s="2"/>
      <c r="L127" s="7">
        <f t="shared" si="57"/>
        <v>-100</v>
      </c>
      <c r="M127" s="2"/>
      <c r="N127" s="6">
        <f t="shared" si="58"/>
        <v>-1</v>
      </c>
      <c r="O127" s="11"/>
      <c r="P127" s="7">
        <v>961.38</v>
      </c>
      <c r="Q127" s="2"/>
      <c r="R127" s="6">
        <f t="shared" si="59"/>
        <v>1.5342914081851603E-3</v>
      </c>
      <c r="S127" s="2"/>
      <c r="T127" s="7">
        <v>400</v>
      </c>
      <c r="U127" s="2"/>
      <c r="V127" s="6">
        <f t="shared" si="60"/>
        <v>3.6691087643083776E-4</v>
      </c>
      <c r="W127" s="2"/>
      <c r="X127" s="7">
        <f t="shared" si="61"/>
        <v>561.38</v>
      </c>
      <c r="Y127" s="2"/>
      <c r="Z127" s="6">
        <f t="shared" si="62"/>
        <v>1.4034500000000001</v>
      </c>
    </row>
    <row r="128" spans="1:26" s="24" customFormat="1" hidden="1" outlineLevel="2" x14ac:dyDescent="0.25">
      <c r="A128" s="28"/>
      <c r="B128" s="11" t="str">
        <f>CONCATENATE("          ", "6237", " - ", "JANITORIAL SUPPLIES")</f>
        <v xml:space="preserve">          6237 - JANITORIAL SUPPLIES</v>
      </c>
      <c r="C128" s="11"/>
      <c r="D128" s="7"/>
      <c r="E128" s="2"/>
      <c r="F128" s="6">
        <f t="shared" si="55"/>
        <v>0</v>
      </c>
      <c r="G128" s="2"/>
      <c r="H128" s="7">
        <v>50</v>
      </c>
      <c r="I128" s="2"/>
      <c r="J128" s="6">
        <f t="shared" si="56"/>
        <v>1.73112810694217E-4</v>
      </c>
      <c r="K128" s="2"/>
      <c r="L128" s="7">
        <f t="shared" si="57"/>
        <v>-50</v>
      </c>
      <c r="M128" s="2"/>
      <c r="N128" s="6">
        <f t="shared" si="58"/>
        <v>-1</v>
      </c>
      <c r="O128" s="11"/>
      <c r="P128" s="7"/>
      <c r="Q128" s="2"/>
      <c r="R128" s="6">
        <f t="shared" si="59"/>
        <v>0</v>
      </c>
      <c r="S128" s="2"/>
      <c r="T128" s="7">
        <v>200</v>
      </c>
      <c r="U128" s="2"/>
      <c r="V128" s="6">
        <f t="shared" si="60"/>
        <v>1.8345543821541888E-4</v>
      </c>
      <c r="W128" s="2"/>
      <c r="X128" s="7">
        <f t="shared" si="61"/>
        <v>-200</v>
      </c>
      <c r="Y128" s="2"/>
      <c r="Z128" s="6">
        <f t="shared" si="62"/>
        <v>-1</v>
      </c>
    </row>
    <row r="129" spans="1:26" s="24" customFormat="1" hidden="1" outlineLevel="2" x14ac:dyDescent="0.25">
      <c r="A129" s="28"/>
      <c r="B129" s="11" t="str">
        <f>CONCATENATE("          ", "6241", " - ", "OFFICE EXPENSE")</f>
        <v xml:space="preserve">          6241 - OFFICE EXPENSE</v>
      </c>
      <c r="C129" s="11"/>
      <c r="D129" s="7">
        <v>20.16</v>
      </c>
      <c r="E129" s="2"/>
      <c r="F129" s="6">
        <f t="shared" si="55"/>
        <v>2.0862654193227922E-4</v>
      </c>
      <c r="G129" s="2"/>
      <c r="H129" s="7">
        <v>100</v>
      </c>
      <c r="I129" s="2"/>
      <c r="J129" s="6">
        <f t="shared" si="56"/>
        <v>3.4622562138843401E-4</v>
      </c>
      <c r="K129" s="2"/>
      <c r="L129" s="7">
        <f t="shared" si="57"/>
        <v>-79.84</v>
      </c>
      <c r="M129" s="2"/>
      <c r="N129" s="6">
        <f t="shared" si="58"/>
        <v>-0.7984</v>
      </c>
      <c r="O129" s="11"/>
      <c r="P129" s="7">
        <v>158.52000000000001</v>
      </c>
      <c r="Q129" s="2"/>
      <c r="R129" s="6">
        <f t="shared" si="59"/>
        <v>2.5298620111247543E-4</v>
      </c>
      <c r="S129" s="2"/>
      <c r="T129" s="7">
        <v>400</v>
      </c>
      <c r="U129" s="2"/>
      <c r="V129" s="6">
        <f t="shared" si="60"/>
        <v>3.6691087643083776E-4</v>
      </c>
      <c r="W129" s="2"/>
      <c r="X129" s="7">
        <f t="shared" si="61"/>
        <v>-241.48</v>
      </c>
      <c r="Y129" s="2"/>
      <c r="Z129" s="6">
        <f t="shared" si="62"/>
        <v>-0.60370000000000001</v>
      </c>
    </row>
    <row r="130" spans="1:26" s="24" customFormat="1" hidden="1" outlineLevel="2" x14ac:dyDescent="0.25">
      <c r="A130" s="28"/>
      <c r="B130" s="11" t="str">
        <f>CONCATENATE("          ", "6243", " - ", "PAPER SUPPLIES")</f>
        <v xml:space="preserve">          6243 - PAPER SUPPLIES</v>
      </c>
      <c r="C130" s="11"/>
      <c r="D130" s="7"/>
      <c r="E130" s="2"/>
      <c r="F130" s="6">
        <f t="shared" si="55"/>
        <v>0</v>
      </c>
      <c r="G130" s="2"/>
      <c r="H130" s="7">
        <v>50</v>
      </c>
      <c r="I130" s="2"/>
      <c r="J130" s="6">
        <f t="shared" si="56"/>
        <v>1.73112810694217E-4</v>
      </c>
      <c r="K130" s="2"/>
      <c r="L130" s="7">
        <f t="shared" si="57"/>
        <v>-50</v>
      </c>
      <c r="M130" s="2"/>
      <c r="N130" s="6">
        <f t="shared" si="58"/>
        <v>-1</v>
      </c>
      <c r="O130" s="11"/>
      <c r="P130" s="7"/>
      <c r="Q130" s="2"/>
      <c r="R130" s="6">
        <f t="shared" si="59"/>
        <v>0</v>
      </c>
      <c r="S130" s="2"/>
      <c r="T130" s="7">
        <v>200</v>
      </c>
      <c r="U130" s="2"/>
      <c r="V130" s="6">
        <f t="shared" si="60"/>
        <v>1.8345543821541888E-4</v>
      </c>
      <c r="W130" s="2"/>
      <c r="X130" s="7">
        <f t="shared" si="61"/>
        <v>-200</v>
      </c>
      <c r="Y130" s="2"/>
      <c r="Z130" s="6">
        <f t="shared" si="62"/>
        <v>-1</v>
      </c>
    </row>
    <row r="131" spans="1:26" s="24" customFormat="1" hidden="1" outlineLevel="2" x14ac:dyDescent="0.25">
      <c r="A131" s="28"/>
      <c r="B131" s="11" t="str">
        <f>CONCATENATE("          ", "6245", " - ", "PRINTING")</f>
        <v xml:space="preserve">          6245 - PRINTING</v>
      </c>
      <c r="C131" s="11"/>
      <c r="D131" s="7"/>
      <c r="E131" s="2"/>
      <c r="F131" s="6">
        <f t="shared" si="55"/>
        <v>0</v>
      </c>
      <c r="G131" s="2"/>
      <c r="H131" s="7">
        <v>50</v>
      </c>
      <c r="I131" s="2"/>
      <c r="J131" s="6">
        <f t="shared" si="56"/>
        <v>1.73112810694217E-4</v>
      </c>
      <c r="K131" s="2"/>
      <c r="L131" s="7">
        <f t="shared" si="57"/>
        <v>-50</v>
      </c>
      <c r="M131" s="2"/>
      <c r="N131" s="6">
        <f t="shared" si="58"/>
        <v>-1</v>
      </c>
      <c r="O131" s="11"/>
      <c r="P131" s="7"/>
      <c r="Q131" s="2"/>
      <c r="R131" s="6">
        <f t="shared" si="59"/>
        <v>0</v>
      </c>
      <c r="S131" s="2"/>
      <c r="T131" s="7">
        <v>200</v>
      </c>
      <c r="U131" s="2"/>
      <c r="V131" s="6">
        <f t="shared" si="60"/>
        <v>1.8345543821541888E-4</v>
      </c>
      <c r="W131" s="2"/>
      <c r="X131" s="7">
        <f t="shared" si="61"/>
        <v>-200</v>
      </c>
      <c r="Y131" s="2"/>
      <c r="Z131" s="6">
        <f t="shared" si="62"/>
        <v>-1</v>
      </c>
    </row>
    <row r="132" spans="1:26" s="24" customFormat="1" hidden="1" outlineLevel="2" x14ac:dyDescent="0.25">
      <c r="A132" s="28"/>
      <c r="B132" s="11" t="str">
        <f>CONCATENATE("          ", "6247", " - ", "STORE SUPPLIES")</f>
        <v xml:space="preserve">          6247 - STORE SUPPLIES</v>
      </c>
      <c r="C132" s="11"/>
      <c r="D132" s="7">
        <v>186.71</v>
      </c>
      <c r="E132" s="2"/>
      <c r="F132" s="6">
        <f t="shared" si="55"/>
        <v>1.9321756767944373E-3</v>
      </c>
      <c r="G132" s="2"/>
      <c r="H132" s="7">
        <v>50</v>
      </c>
      <c r="I132" s="2"/>
      <c r="J132" s="6">
        <f t="shared" si="56"/>
        <v>1.73112810694217E-4</v>
      </c>
      <c r="K132" s="2"/>
      <c r="L132" s="7">
        <f t="shared" si="57"/>
        <v>136.71</v>
      </c>
      <c r="M132" s="2"/>
      <c r="N132" s="6">
        <f t="shared" si="58"/>
        <v>2.7342</v>
      </c>
      <c r="O132" s="11"/>
      <c r="P132" s="7">
        <v>186.71</v>
      </c>
      <c r="Q132" s="2"/>
      <c r="R132" s="6">
        <f t="shared" si="59"/>
        <v>2.9797535711399372E-4</v>
      </c>
      <c r="S132" s="2"/>
      <c r="T132" s="7">
        <v>200</v>
      </c>
      <c r="U132" s="2"/>
      <c r="V132" s="6">
        <f t="shared" si="60"/>
        <v>1.8345543821541888E-4</v>
      </c>
      <c r="W132" s="2"/>
      <c r="X132" s="7">
        <f t="shared" si="61"/>
        <v>-13.289999999999992</v>
      </c>
      <c r="Y132" s="2"/>
      <c r="Z132" s="6">
        <f t="shared" si="62"/>
        <v>-6.6449999999999954E-2</v>
      </c>
    </row>
    <row r="133" spans="1:26" s="27" customFormat="1" outlineLevel="1" collapsed="1" x14ac:dyDescent="0.25">
      <c r="A133" s="29"/>
      <c r="B133" s="14" t="str">
        <f>CONCATENATE("     ","Telephone/Data Lines                              ")</f>
        <v xml:space="preserve">     Telephone/Data Lines                              </v>
      </c>
      <c r="C133" s="14"/>
      <c r="D133" s="1">
        <f>SUM(OSRRefD22_15x_0)</f>
        <v>274.55</v>
      </c>
      <c r="E133" s="1"/>
      <c r="F133" s="5">
        <f t="shared" ref="F133:F137" si="63">IF(D$12=0,0,D133/D$12)</f>
        <v>2.8411913237850824E-3</v>
      </c>
      <c r="G133" s="1"/>
      <c r="H133" s="1">
        <f>SUM(OSRRefH22_15x_0)</f>
        <v>600</v>
      </c>
      <c r="I133" s="1"/>
      <c r="J133" s="5">
        <f t="shared" ref="J133:J137" si="64">IF(H$12=0,0,H133/H$12)</f>
        <v>2.0773537283306038E-3</v>
      </c>
      <c r="K133" s="1"/>
      <c r="L133" s="1">
        <f t="shared" ref="L133:L137" si="65">+D133-H133</f>
        <v>-325.45</v>
      </c>
      <c r="M133" s="1"/>
      <c r="N133" s="5">
        <f t="shared" ref="N133:N137" si="66">IF(H133=0,0,L133/H133)</f>
        <v>-0.54241666666666666</v>
      </c>
      <c r="O133" s="14"/>
      <c r="P133" s="1">
        <f>SUM(OSRRefP22_15x_0)</f>
        <v>2020.33</v>
      </c>
      <c r="Q133" s="1"/>
      <c r="R133" s="5">
        <f t="shared" ref="R133:R137" si="67">IF(P$12=0,0,P133/P$12)</f>
        <v>3.2242973233255578E-3</v>
      </c>
      <c r="S133" s="1"/>
      <c r="T133" s="1">
        <f>SUM(OSRRefT22_15x_0)</f>
        <v>2400</v>
      </c>
      <c r="U133" s="1"/>
      <c r="V133" s="5">
        <f t="shared" ref="V133:V137" si="68">IF(T$12=0,0,T133/T$12)</f>
        <v>2.2014652585850268E-3</v>
      </c>
      <c r="W133" s="1"/>
      <c r="X133" s="1">
        <f t="shared" ref="X133:X137" si="69">+P133-T133</f>
        <v>-379.67000000000007</v>
      </c>
      <c r="Y133" s="1"/>
      <c r="Z133" s="5">
        <f t="shared" ref="Z133:Z137" si="70">IF(T133=0,0,X133/T133)</f>
        <v>-0.15819583333333337</v>
      </c>
    </row>
    <row r="134" spans="1:26" s="24" customFormat="1" hidden="1" outlineLevel="2" x14ac:dyDescent="0.25">
      <c r="A134" s="28"/>
      <c r="B134" s="11" t="str">
        <f>CONCATENATE("          ", "6309", " - ", "TELEPHONE")</f>
        <v xml:space="preserve">          6309 - TELEPHONE</v>
      </c>
      <c r="C134" s="11"/>
      <c r="D134" s="7">
        <v>274.55</v>
      </c>
      <c r="E134" s="2"/>
      <c r="F134" s="6">
        <f t="shared" si="63"/>
        <v>2.8411913237850824E-3</v>
      </c>
      <c r="G134" s="2"/>
      <c r="H134" s="7">
        <v>600</v>
      </c>
      <c r="I134" s="2"/>
      <c r="J134" s="6">
        <f t="shared" si="64"/>
        <v>2.0773537283306038E-3</v>
      </c>
      <c r="K134" s="2"/>
      <c r="L134" s="7">
        <f t="shared" si="65"/>
        <v>-325.45</v>
      </c>
      <c r="M134" s="2"/>
      <c r="N134" s="6">
        <f t="shared" si="66"/>
        <v>-0.54241666666666666</v>
      </c>
      <c r="O134" s="11"/>
      <c r="P134" s="7">
        <v>2020.33</v>
      </c>
      <c r="Q134" s="2"/>
      <c r="R134" s="6">
        <f t="shared" si="67"/>
        <v>3.2242973233255578E-3</v>
      </c>
      <c r="S134" s="2"/>
      <c r="T134" s="7">
        <v>2400</v>
      </c>
      <c r="U134" s="2"/>
      <c r="V134" s="6">
        <f t="shared" si="68"/>
        <v>2.2014652585850268E-3</v>
      </c>
      <c r="W134" s="2"/>
      <c r="X134" s="7">
        <f t="shared" si="69"/>
        <v>-379.67000000000007</v>
      </c>
      <c r="Y134" s="2"/>
      <c r="Z134" s="6">
        <f t="shared" si="70"/>
        <v>-0.15819583333333337</v>
      </c>
    </row>
    <row r="135" spans="1:26" s="27" customFormat="1" outlineLevel="1" collapsed="1" x14ac:dyDescent="0.25">
      <c r="A135" s="29"/>
      <c r="B135" s="14" t="str">
        <f>CONCATENATE("     ","Travel                                            ")</f>
        <v xml:space="preserve">     Travel                                            </v>
      </c>
      <c r="C135" s="14"/>
      <c r="D135" s="1">
        <f>SUM(OSRRefD22_16x_0)</f>
        <v>0</v>
      </c>
      <c r="E135" s="1"/>
      <c r="F135" s="5">
        <f t="shared" si="63"/>
        <v>0</v>
      </c>
      <c r="G135" s="1"/>
      <c r="H135" s="1">
        <f>SUM(OSRRefH22_16x_0)</f>
        <v>25</v>
      </c>
      <c r="I135" s="1"/>
      <c r="J135" s="5">
        <f t="shared" si="64"/>
        <v>8.6556405347108502E-5</v>
      </c>
      <c r="K135" s="1"/>
      <c r="L135" s="1">
        <f t="shared" si="65"/>
        <v>-25</v>
      </c>
      <c r="M135" s="1"/>
      <c r="N135" s="5">
        <f t="shared" si="66"/>
        <v>-1</v>
      </c>
      <c r="O135" s="14"/>
      <c r="P135" s="1">
        <f>SUM(OSRRefP22_16x_0)</f>
        <v>0</v>
      </c>
      <c r="Q135" s="1"/>
      <c r="R135" s="5">
        <f t="shared" si="67"/>
        <v>0</v>
      </c>
      <c r="S135" s="1"/>
      <c r="T135" s="1">
        <f>SUM(OSRRefT22_16x_0)</f>
        <v>100</v>
      </c>
      <c r="U135" s="1"/>
      <c r="V135" s="5">
        <f t="shared" si="68"/>
        <v>9.1727719107709439E-5</v>
      </c>
      <c r="W135" s="1"/>
      <c r="X135" s="1">
        <f t="shared" si="69"/>
        <v>-100</v>
      </c>
      <c r="Y135" s="1"/>
      <c r="Z135" s="5">
        <f t="shared" si="70"/>
        <v>-1</v>
      </c>
    </row>
    <row r="136" spans="1:26" s="24" customFormat="1" hidden="1" outlineLevel="2" x14ac:dyDescent="0.25">
      <c r="A136" s="28"/>
      <c r="B136" s="11" t="str">
        <f>CONCATENATE("          ", "6294", " - ", "TRAVEL OPERATIONAL")</f>
        <v xml:space="preserve">          6294 - TRAVEL OPERATIONAL</v>
      </c>
      <c r="C136" s="11"/>
      <c r="D136" s="7"/>
      <c r="E136" s="2"/>
      <c r="F136" s="6">
        <f t="shared" si="63"/>
        <v>0</v>
      </c>
      <c r="G136" s="2"/>
      <c r="H136" s="7">
        <v>25</v>
      </c>
      <c r="I136" s="2"/>
      <c r="J136" s="6">
        <f t="shared" si="64"/>
        <v>8.6556405347108502E-5</v>
      </c>
      <c r="K136" s="2"/>
      <c r="L136" s="7">
        <f t="shared" si="65"/>
        <v>-25</v>
      </c>
      <c r="M136" s="2"/>
      <c r="N136" s="6">
        <f t="shared" si="66"/>
        <v>-1</v>
      </c>
      <c r="O136" s="11"/>
      <c r="P136" s="7"/>
      <c r="Q136" s="2"/>
      <c r="R136" s="6">
        <f t="shared" si="67"/>
        <v>0</v>
      </c>
      <c r="S136" s="2"/>
      <c r="T136" s="7">
        <v>100</v>
      </c>
      <c r="U136" s="2"/>
      <c r="V136" s="6">
        <f t="shared" si="68"/>
        <v>9.1727719107709439E-5</v>
      </c>
      <c r="W136" s="2"/>
      <c r="X136" s="7">
        <f t="shared" si="69"/>
        <v>-100</v>
      </c>
      <c r="Y136" s="2"/>
      <c r="Z136" s="6">
        <f t="shared" si="70"/>
        <v>-1</v>
      </c>
    </row>
    <row r="137" spans="1:26" s="24" customFormat="1" hidden="1" outlineLevel="2" x14ac:dyDescent="0.25">
      <c r="A137" s="28"/>
      <c r="B137" s="11" t="str">
        <f>CONCATENATE("          ", "6298", " - ", "VEHICLE MILEAGE")</f>
        <v xml:space="preserve">          6298 - VEHICLE MILEAGE</v>
      </c>
      <c r="C137" s="11"/>
      <c r="D137" s="7"/>
      <c r="E137" s="2"/>
      <c r="F137" s="6">
        <f t="shared" si="63"/>
        <v>0</v>
      </c>
      <c r="G137" s="2"/>
      <c r="H137" s="7">
        <v>0</v>
      </c>
      <c r="I137" s="2"/>
      <c r="J137" s="6">
        <f t="shared" si="64"/>
        <v>0</v>
      </c>
      <c r="K137" s="2"/>
      <c r="L137" s="7">
        <f t="shared" si="65"/>
        <v>0</v>
      </c>
      <c r="M137" s="2"/>
      <c r="N137" s="6">
        <f t="shared" si="66"/>
        <v>0</v>
      </c>
      <c r="O137" s="11"/>
      <c r="P137" s="7"/>
      <c r="Q137" s="2"/>
      <c r="R137" s="6">
        <f t="shared" si="67"/>
        <v>0</v>
      </c>
      <c r="S137" s="2"/>
      <c r="T137" s="7">
        <v>0</v>
      </c>
      <c r="U137" s="2"/>
      <c r="V137" s="6">
        <f t="shared" si="68"/>
        <v>0</v>
      </c>
      <c r="W137" s="2"/>
      <c r="X137" s="7">
        <f t="shared" si="69"/>
        <v>0</v>
      </c>
      <c r="Y137" s="2"/>
      <c r="Z137" s="6">
        <f t="shared" si="70"/>
        <v>0</v>
      </c>
    </row>
    <row r="138" spans="1:26" s="63" customFormat="1" x14ac:dyDescent="0.25">
      <c r="A138" s="36"/>
      <c r="B138" s="36"/>
      <c r="C138" s="36"/>
      <c r="D138" s="1"/>
      <c r="E138" s="1"/>
      <c r="F138" s="5"/>
      <c r="G138" s="1"/>
      <c r="H138" s="1"/>
      <c r="I138" s="1"/>
      <c r="J138" s="5"/>
      <c r="K138" s="1"/>
      <c r="L138" s="1"/>
      <c r="M138" s="1"/>
      <c r="N138" s="5"/>
      <c r="O138" s="36"/>
      <c r="P138" s="1"/>
      <c r="Q138" s="1"/>
      <c r="R138" s="5"/>
      <c r="S138" s="1"/>
      <c r="T138" s="1"/>
      <c r="U138" s="1"/>
      <c r="V138" s="5"/>
      <c r="W138" s="1"/>
      <c r="X138" s="1"/>
      <c r="Y138" s="1"/>
      <c r="Z138" s="5"/>
    </row>
    <row r="139" spans="1:26" s="23" customFormat="1" collapsed="1" x14ac:dyDescent="0.25">
      <c r="A139" s="10"/>
      <c r="B139" s="25" t="s">
        <v>0</v>
      </c>
      <c r="C139" s="10"/>
      <c r="D139" s="4">
        <f>SUM(OSRRefD25x_0)</f>
        <v>20979.200000000001</v>
      </c>
      <c r="E139" s="4"/>
      <c r="F139" s="12">
        <f t="shared" ref="F139:F142" si="71">IF(D$12=0,0,D139/D$12)</f>
        <v>0.21710406490603534</v>
      </c>
      <c r="G139" s="4"/>
      <c r="H139" s="4">
        <f>SUM(OSRRefH25x_0)</f>
        <v>8075</v>
      </c>
      <c r="I139" s="4"/>
      <c r="J139" s="12">
        <f t="shared" ref="J139:J142" si="72">IF(H$12=0,0,H139/H$12)</f>
        <v>2.7957718927116043E-2</v>
      </c>
      <c r="K139" s="4"/>
      <c r="L139" s="4">
        <f t="shared" ref="L139:L142" si="73">+D139-H139</f>
        <v>12904.2</v>
      </c>
      <c r="M139" s="4"/>
      <c r="N139" s="12">
        <f t="shared" ref="N139:N142" si="74">IF(H139=0,0,L139/H139)</f>
        <v>1.5980433436532508</v>
      </c>
      <c r="O139" s="10"/>
      <c r="P139" s="4">
        <f>SUM(OSRRefP25x_0)</f>
        <v>192987.51</v>
      </c>
      <c r="Q139" s="4"/>
      <c r="R139" s="12">
        <f t="shared" ref="R139:R142" si="75">IF(P$12=0,0,P139/P$12)</f>
        <v>0.30799379899732438</v>
      </c>
      <c r="S139" s="4"/>
      <c r="T139" s="4">
        <f>SUM(OSRRefT25x_0)</f>
        <v>32300</v>
      </c>
      <c r="U139" s="4"/>
      <c r="V139" s="12">
        <f t="shared" ref="V139:V142" si="76">IF(T$12=0,0,T139/T$12)</f>
        <v>2.9628053271790147E-2</v>
      </c>
      <c r="W139" s="4"/>
      <c r="X139" s="4">
        <f t="shared" ref="X139:X142" si="77">+P139-T139</f>
        <v>160687.51</v>
      </c>
      <c r="Y139" s="4"/>
      <c r="Z139" s="12">
        <f t="shared" ref="Z139:Z142" si="78">IF(T139=0,0,X139/T139)</f>
        <v>4.9748455108359133</v>
      </c>
    </row>
    <row r="140" spans="1:26" s="24" customFormat="1" hidden="1" outlineLevel="1" x14ac:dyDescent="0.25">
      <c r="A140" s="51"/>
      <c r="B140" s="11" t="str">
        <f>CONCATENATE("          ", "9150", " - ", "MISC. INCOME")</f>
        <v xml:space="preserve">          9150 - MISC. INCOME</v>
      </c>
      <c r="C140" s="11"/>
      <c r="D140" s="2">
        <f>--20979.2</f>
        <v>20979.200000000001</v>
      </c>
      <c r="E140" s="2"/>
      <c r="F140" s="22">
        <f t="shared" si="71"/>
        <v>0.21710406490603534</v>
      </c>
      <c r="G140" s="2"/>
      <c r="H140" s="2">
        <v>8075</v>
      </c>
      <c r="I140" s="2"/>
      <c r="J140" s="22">
        <f t="shared" si="72"/>
        <v>2.7957718927116043E-2</v>
      </c>
      <c r="K140" s="2"/>
      <c r="L140" s="2">
        <f t="shared" si="73"/>
        <v>12904.2</v>
      </c>
      <c r="M140" s="2"/>
      <c r="N140" s="22">
        <f t="shared" si="74"/>
        <v>1.5980433436532508</v>
      </c>
      <c r="O140" s="11"/>
      <c r="P140" s="2">
        <f>--32323.61</f>
        <v>32323.61</v>
      </c>
      <c r="Q140" s="2"/>
      <c r="R140" s="22">
        <f t="shared" si="75"/>
        <v>5.1586091976666804E-2</v>
      </c>
      <c r="S140" s="2"/>
      <c r="T140" s="2">
        <v>32300</v>
      </c>
      <c r="U140" s="2"/>
      <c r="V140" s="22">
        <f t="shared" si="76"/>
        <v>2.9628053271790147E-2</v>
      </c>
      <c r="W140" s="2"/>
      <c r="X140" s="2">
        <f t="shared" si="77"/>
        <v>23.610000000000582</v>
      </c>
      <c r="Y140" s="2"/>
      <c r="Z140" s="22">
        <f t="shared" si="78"/>
        <v>7.3095975232199939E-4</v>
      </c>
    </row>
    <row r="141" spans="1:26" s="24" customFormat="1" hidden="1" outlineLevel="1" x14ac:dyDescent="0.25">
      <c r="A141" s="51"/>
      <c r="B141" s="11" t="str">
        <f>CONCATENATE("          ", "9151", " - ", "MISC. INCOME")</f>
        <v xml:space="preserve">          9151 - MISC. INCOME</v>
      </c>
      <c r="C141" s="11"/>
      <c r="D141" s="2">
        <f t="shared" ref="D141:D142" si="79">0</f>
        <v>0</v>
      </c>
      <c r="E141" s="2"/>
      <c r="F141" s="22">
        <f t="shared" si="71"/>
        <v>0</v>
      </c>
      <c r="G141" s="2"/>
      <c r="H141" s="2">
        <v>0</v>
      </c>
      <c r="I141" s="2"/>
      <c r="J141" s="22">
        <f t="shared" si="72"/>
        <v>0</v>
      </c>
      <c r="K141" s="2"/>
      <c r="L141" s="2">
        <f t="shared" si="73"/>
        <v>0</v>
      </c>
      <c r="M141" s="2"/>
      <c r="N141" s="22">
        <f t="shared" si="74"/>
        <v>0</v>
      </c>
      <c r="O141" s="11"/>
      <c r="P141" s="2">
        <f>0</f>
        <v>0</v>
      </c>
      <c r="Q141" s="2"/>
      <c r="R141" s="22">
        <f t="shared" si="75"/>
        <v>0</v>
      </c>
      <c r="S141" s="2"/>
      <c r="T141" s="2">
        <v>0</v>
      </c>
      <c r="U141" s="2"/>
      <c r="V141" s="22">
        <f t="shared" si="76"/>
        <v>0</v>
      </c>
      <c r="W141" s="2"/>
      <c r="X141" s="2">
        <f t="shared" si="77"/>
        <v>0</v>
      </c>
      <c r="Y141" s="2"/>
      <c r="Z141" s="22">
        <f t="shared" si="78"/>
        <v>0</v>
      </c>
    </row>
    <row r="142" spans="1:26" s="24" customFormat="1" hidden="1" outlineLevel="1" x14ac:dyDescent="0.25">
      <c r="A142" s="51"/>
      <c r="B142" s="11" t="str">
        <f>CONCATENATE("          ", "9163", " - ", "MISC. INCOME")</f>
        <v xml:space="preserve">          9163 - MISC. INCOME</v>
      </c>
      <c r="C142" s="11"/>
      <c r="D142" s="2">
        <f t="shared" si="79"/>
        <v>0</v>
      </c>
      <c r="E142" s="2"/>
      <c r="F142" s="22">
        <f t="shared" si="71"/>
        <v>0</v>
      </c>
      <c r="G142" s="2"/>
      <c r="H142" s="2"/>
      <c r="I142" s="2"/>
      <c r="J142" s="22">
        <f t="shared" si="72"/>
        <v>0</v>
      </c>
      <c r="K142" s="2"/>
      <c r="L142" s="2">
        <f t="shared" si="73"/>
        <v>0</v>
      </c>
      <c r="M142" s="2"/>
      <c r="N142" s="22">
        <f t="shared" si="74"/>
        <v>0</v>
      </c>
      <c r="O142" s="11"/>
      <c r="P142" s="2">
        <f>--160663.9</f>
        <v>160663.9</v>
      </c>
      <c r="Q142" s="2"/>
      <c r="R142" s="22">
        <f t="shared" si="75"/>
        <v>0.25640770702065757</v>
      </c>
      <c r="S142" s="2"/>
      <c r="T142" s="2"/>
      <c r="U142" s="2"/>
      <c r="V142" s="22">
        <f t="shared" si="76"/>
        <v>0</v>
      </c>
      <c r="W142" s="2"/>
      <c r="X142" s="2">
        <f t="shared" si="77"/>
        <v>160663.9</v>
      </c>
      <c r="Y142" s="2"/>
      <c r="Z142" s="22">
        <f t="shared" si="78"/>
        <v>0</v>
      </c>
    </row>
    <row r="143" spans="1:26" x14ac:dyDescent="0.2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10"/>
      <c r="B144" s="26" t="s">
        <v>3</v>
      </c>
      <c r="C144" s="26"/>
      <c r="D144" s="20">
        <f>+D73-D75+D139</f>
        <v>11648.599999999966</v>
      </c>
      <c r="E144" s="13"/>
      <c r="F144" s="19">
        <f>IF(D$12=0,0,D144/D$12)</f>
        <v>0.1205459889063661</v>
      </c>
      <c r="G144" s="13"/>
      <c r="H144" s="20">
        <f>+H73-H75+H139</f>
        <v>57792.55602115384</v>
      </c>
      <c r="I144" s="13"/>
      <c r="J144" s="19">
        <f>IF(H$12=0,0,H144/H$12)</f>
        <v>0.20009263620049869</v>
      </c>
      <c r="K144" s="15"/>
      <c r="L144" s="20">
        <f>+D144-H144</f>
        <v>-46143.956021153877</v>
      </c>
      <c r="M144" s="15"/>
      <c r="N144" s="19">
        <f>IF(H144=0,0,L144/H144)</f>
        <v>-0.79844116955588162</v>
      </c>
      <c r="O144" s="25"/>
      <c r="P144" s="20">
        <f>+P73-P75+P139</f>
        <v>235442.04999999993</v>
      </c>
      <c r="Q144" s="13"/>
      <c r="R144" s="19">
        <f>IF(P$12=0,0,P144/P$12)</f>
        <v>0.37574810630604005</v>
      </c>
      <c r="S144" s="13"/>
      <c r="T144" s="20">
        <f>+T73-T75+T139</f>
        <v>213185.57135115383</v>
      </c>
      <c r="U144" s="13"/>
      <c r="V144" s="19">
        <f>IF(T$12=0,0,T144/T$12)</f>
        <v>0.19555026206715187</v>
      </c>
      <c r="W144" s="15"/>
      <c r="X144" s="20">
        <f>+P144-T144</f>
        <v>22256.478648846096</v>
      </c>
      <c r="Y144" s="15"/>
      <c r="Z144" s="19">
        <f>IF(T144=0,0,X144/T144)</f>
        <v>0.10439955437784199</v>
      </c>
    </row>
    <row r="145" spans="1:26" x14ac:dyDescent="0.25">
      <c r="A145" s="9"/>
      <c r="B145" s="10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x14ac:dyDescent="0.25">
      <c r="A146" s="52"/>
      <c r="B146" s="10" t="s">
        <v>14</v>
      </c>
      <c r="C146" s="10"/>
      <c r="D146" s="4">
        <v>37555.699999999997</v>
      </c>
      <c r="E146" s="4"/>
      <c r="F146" s="12">
        <f>IF(D$12=0,0,D146/D$12)</f>
        <v>0.38864661809752471</v>
      </c>
      <c r="G146" s="4"/>
      <c r="H146" s="4">
        <v>62631.000000000007</v>
      </c>
      <c r="I146" s="4"/>
      <c r="J146" s="12">
        <f>IF(H$12=0,0,H146/H$12)</f>
        <v>0.2168445689317901</v>
      </c>
      <c r="K146" s="4"/>
      <c r="L146" s="4">
        <f>+D146-H146</f>
        <v>-25075.30000000001</v>
      </c>
      <c r="M146" s="4"/>
      <c r="N146" s="12">
        <f>IF(H146=0,0,L146/H146)</f>
        <v>-0.40036563363190764</v>
      </c>
      <c r="O146" s="10"/>
      <c r="P146" s="4">
        <v>135734.06999999998</v>
      </c>
      <c r="Q146" s="4"/>
      <c r="R146" s="12">
        <f>IF(P$12=0,0,P146/P$12)</f>
        <v>0.21662154132497355</v>
      </c>
      <c r="S146" s="4"/>
      <c r="T146" s="4">
        <v>178484</v>
      </c>
      <c r="U146" s="4"/>
      <c r="V146" s="12">
        <f>IF(T$12=0,0,T146/T$12)</f>
        <v>0.16371930217220412</v>
      </c>
      <c r="W146" s="4"/>
      <c r="X146" s="4">
        <f>+P146-T146</f>
        <v>-42749.930000000022</v>
      </c>
      <c r="Y146" s="4"/>
      <c r="Z146" s="12">
        <f>IF(T146=0,0,X146/T146)</f>
        <v>-0.23951687546222644</v>
      </c>
    </row>
    <row r="147" spans="1:26" x14ac:dyDescent="0.25">
      <c r="A147" s="9"/>
      <c r="B147" s="10"/>
      <c r="C147" s="10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O147" s="10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ht="15.75" thickBot="1" x14ac:dyDescent="0.3">
      <c r="A148" s="10"/>
      <c r="B148" s="26" t="s">
        <v>4</v>
      </c>
      <c r="C148" s="26"/>
      <c r="D148" s="34">
        <f>+D144-D146</f>
        <v>-25907.100000000031</v>
      </c>
      <c r="E148" s="13"/>
      <c r="F148" s="35">
        <f>IF(D$12=0,0,D148/D$12)</f>
        <v>-0.26810062919115862</v>
      </c>
      <c r="G148" s="13"/>
      <c r="H148" s="34">
        <f>+H144-H146</f>
        <v>-4838.4439788461677</v>
      </c>
      <c r="I148" s="13"/>
      <c r="J148" s="35">
        <f>IF(H$12=0,0,H148/H$12)</f>
        <v>-1.6751932731291413E-2</v>
      </c>
      <c r="K148" s="15"/>
      <c r="L148" s="34">
        <f>D148-H148</f>
        <v>-21068.656021153864</v>
      </c>
      <c r="M148" s="15"/>
      <c r="N148" s="35">
        <f>IF(H148=0,0,L148/H148)</f>
        <v>4.3544280172027836</v>
      </c>
      <c r="O148" s="25"/>
      <c r="P148" s="34">
        <f>+P144-P146</f>
        <v>99707.979999999952</v>
      </c>
      <c r="Q148" s="13"/>
      <c r="R148" s="35">
        <f>IF(P$12=0,0,P148/P$12)</f>
        <v>0.1591265649810665</v>
      </c>
      <c r="S148" s="13"/>
      <c r="T148" s="34">
        <f>+T144-T146</f>
        <v>34701.571351153834</v>
      </c>
      <c r="U148" s="13"/>
      <c r="V148" s="35">
        <f>IF(T$12=0,0,T148/T$12)</f>
        <v>3.1830959894947761E-2</v>
      </c>
      <c r="W148" s="15"/>
      <c r="X148" s="34">
        <f>P148-T148</f>
        <v>65006.408648846118</v>
      </c>
      <c r="Y148" s="15"/>
      <c r="Z148" s="35">
        <f>IF(T148=0,0,X148/T148)</f>
        <v>1.8732987042871949</v>
      </c>
    </row>
    <row r="149" spans="1:26" ht="15.75" thickTop="1" x14ac:dyDescent="0.25">
      <c r="A149" s="9"/>
      <c r="B149" s="9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x14ac:dyDescent="0.25">
      <c r="A150" s="9"/>
      <c r="B150" s="9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ht="15.75" thickBot="1" x14ac:dyDescent="0.3">
      <c r="A151" s="10"/>
      <c r="B151" s="26" t="s">
        <v>5</v>
      </c>
      <c r="C151" s="26"/>
      <c r="D151" s="30">
        <f>SUM(D148:D150)</f>
        <v>-25907.100000000031</v>
      </c>
      <c r="E151" s="13"/>
      <c r="F151" s="32">
        <f>IF(D$12=0,0,D151/D$12)</f>
        <v>-0.26810062919115862</v>
      </c>
      <c r="G151" s="13"/>
      <c r="H151" s="30">
        <f>SUM(H148:H150)</f>
        <v>-4838.4439788461677</v>
      </c>
      <c r="I151" s="13"/>
      <c r="J151" s="32">
        <f>IF(H$12=0,0,H151/H$12)</f>
        <v>-1.6751932731291413E-2</v>
      </c>
      <c r="K151" s="15"/>
      <c r="L151" s="30">
        <f>+D151-H151</f>
        <v>-21068.656021153864</v>
      </c>
      <c r="M151" s="15"/>
      <c r="N151" s="32">
        <f>IF(H151=0,0,L151/H151)</f>
        <v>4.3544280172027836</v>
      </c>
      <c r="O151" s="25"/>
      <c r="P151" s="30">
        <f>SUM(P148:P150)</f>
        <v>99707.979999999952</v>
      </c>
      <c r="Q151" s="13"/>
      <c r="R151" s="32">
        <f>IF(P$12=0,0,P151/P$12)</f>
        <v>0.1591265649810665</v>
      </c>
      <c r="S151" s="13"/>
      <c r="T151" s="30">
        <f>SUM(T148:T150)</f>
        <v>34701.571351153834</v>
      </c>
      <c r="U151" s="13"/>
      <c r="V151" s="32">
        <f>IF(T$12=0,0,T151/T$12)</f>
        <v>3.1830959894947761E-2</v>
      </c>
      <c r="W151" s="15"/>
      <c r="X151" s="30">
        <f>+P151-T151</f>
        <v>65006.408648846118</v>
      </c>
      <c r="Y151" s="15"/>
      <c r="Z151" s="32">
        <f>IF(T151=0,0,X151/T151)</f>
        <v>1.8732987042871949</v>
      </c>
    </row>
    <row r="152" spans="1:26" ht="15.75" thickTop="1" x14ac:dyDescent="0.25">
      <c r="A152" s="9"/>
      <c r="C152" s="9"/>
      <c r="D152" s="17"/>
      <c r="E152" s="17"/>
      <c r="G152" s="17"/>
      <c r="H152" s="17"/>
      <c r="I152" s="17"/>
      <c r="J152" s="42"/>
      <c r="K152" s="17"/>
      <c r="L152" s="17"/>
      <c r="M152" s="17"/>
      <c r="P152" s="17"/>
      <c r="Q152" s="17"/>
      <c r="R152" s="42"/>
      <c r="S152" s="17"/>
      <c r="T152" s="17"/>
      <c r="U152" s="17"/>
      <c r="V152" s="42"/>
      <c r="W152" s="17"/>
      <c r="X152" s="17"/>
    </row>
    <row r="153" spans="1:26" x14ac:dyDescent="0.25">
      <c r="A153" s="9"/>
      <c r="B153" s="60">
        <v>44151.568345254629</v>
      </c>
      <c r="D153" s="17"/>
      <c r="E153" s="17"/>
      <c r="G153" s="17"/>
      <c r="H153" s="17"/>
      <c r="I153" s="17"/>
      <c r="J153" s="42"/>
      <c r="K153" s="17"/>
      <c r="L153" s="17"/>
      <c r="M153" s="17"/>
      <c r="P153" s="17"/>
      <c r="Q153" s="17"/>
      <c r="R153" s="42"/>
      <c r="S153" s="17"/>
      <c r="T153" s="17"/>
      <c r="U153" s="17"/>
      <c r="V153" s="42"/>
      <c r="W153" s="17"/>
      <c r="X153" s="17"/>
    </row>
    <row r="154" spans="1:26" x14ac:dyDescent="0.25">
      <c r="A154" s="9"/>
      <c r="B154" s="58" t="s">
        <v>314</v>
      </c>
      <c r="D154" s="17"/>
      <c r="E154" s="17"/>
      <c r="G154" s="17"/>
      <c r="H154" s="17"/>
      <c r="I154" s="17"/>
      <c r="J154" s="42"/>
      <c r="K154" s="17"/>
      <c r="L154" s="17"/>
      <c r="M154" s="17"/>
      <c r="P154" s="17"/>
      <c r="Q154" s="17"/>
      <c r="R154" s="42"/>
      <c r="S154" s="17"/>
      <c r="T154" s="17"/>
      <c r="U154" s="17"/>
      <c r="V154" s="42"/>
      <c r="W154" s="17"/>
      <c r="X154" s="17"/>
    </row>
    <row r="155" spans="1:26" x14ac:dyDescent="0.25">
      <c r="A155" s="9"/>
      <c r="B155" s="53"/>
      <c r="D155" s="17"/>
      <c r="E155" s="17"/>
      <c r="G155" s="17"/>
      <c r="H155" s="17"/>
      <c r="I155" s="17"/>
      <c r="J155" s="42"/>
      <c r="K155" s="17"/>
      <c r="L155" s="17"/>
      <c r="M155" s="17"/>
      <c r="P155" s="17"/>
      <c r="Q155" s="17"/>
      <c r="R155" s="42"/>
      <c r="S155" s="17"/>
      <c r="T155" s="17"/>
      <c r="U155" s="17"/>
      <c r="V155" s="42"/>
      <c r="W155" s="17"/>
      <c r="X155" s="17"/>
    </row>
    <row r="156" spans="1:26" x14ac:dyDescent="0.25">
      <c r="D156" s="17"/>
      <c r="E156" s="17"/>
      <c r="G156" s="17"/>
      <c r="H156" s="17"/>
      <c r="I156" s="17"/>
      <c r="J156" s="42"/>
      <c r="K156" s="17"/>
      <c r="L156" s="17"/>
      <c r="M156" s="17"/>
      <c r="P156" s="17"/>
      <c r="Q156" s="17"/>
      <c r="R156" s="42"/>
      <c r="S156" s="17"/>
      <c r="T156" s="17"/>
      <c r="U156" s="17"/>
      <c r="V156" s="42"/>
      <c r="W156" s="17"/>
      <c r="X156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","326", " - ", "2nd Street Store")</f>
        <v>Department 326 - 2nd Street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18777.980000000003</v>
      </c>
      <c r="E12" s="4"/>
      <c r="F12" s="12"/>
      <c r="G12" s="4"/>
      <c r="H12" s="4">
        <f>SUM(OSRRefH13x_0)</f>
        <v>38883</v>
      </c>
      <c r="I12" s="4"/>
      <c r="J12" s="12"/>
      <c r="K12" s="4"/>
      <c r="L12" s="4">
        <f t="shared" ref="L12:L31" si="0">+D12-H12</f>
        <v>-20105.019999999997</v>
      </c>
      <c r="M12" s="4"/>
      <c r="N12" s="12">
        <f t="shared" ref="N12:N31" si="1">IF(H12=0,0,L12/H12)</f>
        <v>-0.51706452691407545</v>
      </c>
      <c r="O12" s="10"/>
      <c r="P12" s="4">
        <f>SUM(OSRRefP13x_0)</f>
        <v>88421.860000000015</v>
      </c>
      <c r="Q12" s="4"/>
      <c r="R12" s="12"/>
      <c r="S12" s="4"/>
      <c r="T12" s="4">
        <f>SUM(OSRRefT13x_0)</f>
        <v>184745</v>
      </c>
      <c r="U12" s="4"/>
      <c r="V12" s="12"/>
      <c r="W12" s="4"/>
      <c r="X12" s="4">
        <f t="shared" ref="X12:X31" si="2">+P12-T12</f>
        <v>-96323.139999999985</v>
      </c>
      <c r="Y12" s="4"/>
      <c r="Z12" s="12">
        <f t="shared" ref="Z12:Z31" si="3">IF(T12=0,0,X12/T12)</f>
        <v>-0.5213842864488889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-1856.95</f>
        <v>-1856.95</v>
      </c>
      <c r="E13" s="2"/>
      <c r="F13" s="22"/>
      <c r="G13" s="2"/>
      <c r="H13" s="2">
        <v>38883</v>
      </c>
      <c r="I13" s="2"/>
      <c r="J13" s="22"/>
      <c r="K13" s="2"/>
      <c r="L13" s="2">
        <f t="shared" si="0"/>
        <v>-40739.949999999997</v>
      </c>
      <c r="M13" s="2"/>
      <c r="N13" s="22">
        <f t="shared" si="1"/>
        <v>-1.047757374688167</v>
      </c>
      <c r="O13" s="11"/>
      <c r="P13" s="2">
        <f>-2502.95</f>
        <v>-2502.9499999999998</v>
      </c>
      <c r="Q13" s="2"/>
      <c r="R13" s="22"/>
      <c r="S13" s="2"/>
      <c r="T13" s="2">
        <v>184745</v>
      </c>
      <c r="U13" s="2"/>
      <c r="V13" s="22"/>
      <c r="W13" s="2"/>
      <c r="X13" s="2">
        <f t="shared" si="2"/>
        <v>-187247.95</v>
      </c>
      <c r="Y13" s="2"/>
      <c r="Z13" s="22">
        <f t="shared" si="3"/>
        <v>-1.0135481339143144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--20.8</f>
        <v>20.8</v>
      </c>
      <c r="E14" s="2"/>
      <c r="F14" s="22"/>
      <c r="G14" s="2"/>
      <c r="H14" s="2"/>
      <c r="I14" s="2"/>
      <c r="J14" s="22"/>
      <c r="K14" s="2"/>
      <c r="L14" s="2">
        <f t="shared" si="0"/>
        <v>20.8</v>
      </c>
      <c r="M14" s="2"/>
      <c r="N14" s="22">
        <f t="shared" si="1"/>
        <v>0</v>
      </c>
      <c r="O14" s="11"/>
      <c r="P14" s="2">
        <f>--39.33</f>
        <v>39.33</v>
      </c>
      <c r="Q14" s="2"/>
      <c r="R14" s="22"/>
      <c r="S14" s="2"/>
      <c r="T14" s="2"/>
      <c r="U14" s="2"/>
      <c r="V14" s="22"/>
      <c r="W14" s="2"/>
      <c r="X14" s="2">
        <f t="shared" si="2"/>
        <v>39.33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--6.34</f>
        <v>6.34</v>
      </c>
      <c r="E15" s="2"/>
      <c r="F15" s="22"/>
      <c r="G15" s="2"/>
      <c r="H15" s="2"/>
      <c r="I15" s="2"/>
      <c r="J15" s="22"/>
      <c r="K15" s="2"/>
      <c r="L15" s="2">
        <f t="shared" si="0"/>
        <v>6.34</v>
      </c>
      <c r="M15" s="2"/>
      <c r="N15" s="22">
        <f t="shared" si="1"/>
        <v>0</v>
      </c>
      <c r="O15" s="11"/>
      <c r="P15" s="2">
        <f>--17.46</f>
        <v>17.46</v>
      </c>
      <c r="Q15" s="2"/>
      <c r="R15" s="22"/>
      <c r="S15" s="2"/>
      <c r="T15" s="2"/>
      <c r="U15" s="2"/>
      <c r="V15" s="22"/>
      <c r="W15" s="2"/>
      <c r="X15" s="2">
        <f t="shared" si="2"/>
        <v>17.46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"4040", " - ", "TAXABLE SALES-LOGO CLOTHING")</f>
        <v xml:space="preserve">          4040 - TAXABLE SALES-LOGO CLOTHING</v>
      </c>
      <c r="C16" s="11"/>
      <c r="D16" s="2">
        <f>--17665.29</f>
        <v>17665.29</v>
      </c>
      <c r="E16" s="2"/>
      <c r="F16" s="22"/>
      <c r="G16" s="2"/>
      <c r="H16" s="2"/>
      <c r="I16" s="2"/>
      <c r="J16" s="22"/>
      <c r="K16" s="2"/>
      <c r="L16" s="2">
        <f t="shared" si="0"/>
        <v>17665.29</v>
      </c>
      <c r="M16" s="2"/>
      <c r="N16" s="22">
        <f t="shared" si="1"/>
        <v>0</v>
      </c>
      <c r="O16" s="11"/>
      <c r="P16" s="2">
        <f>--74700.19</f>
        <v>74700.19</v>
      </c>
      <c r="Q16" s="2"/>
      <c r="R16" s="22"/>
      <c r="S16" s="2"/>
      <c r="T16" s="2"/>
      <c r="U16" s="2"/>
      <c r="V16" s="22"/>
      <c r="W16" s="2"/>
      <c r="X16" s="2">
        <f t="shared" si="2"/>
        <v>74700.19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"4041", " - ", "TAXABLE SALES-LOGO GIFTS")</f>
        <v xml:space="preserve">          4041 - TAXABLE SALES-LOGO GIFTS</v>
      </c>
      <c r="C17" s="11"/>
      <c r="D17" s="2">
        <f>--2498.25</f>
        <v>2498.25</v>
      </c>
      <c r="E17" s="2"/>
      <c r="F17" s="22"/>
      <c r="G17" s="2"/>
      <c r="H17" s="2"/>
      <c r="I17" s="2"/>
      <c r="J17" s="22"/>
      <c r="K17" s="2"/>
      <c r="L17" s="2">
        <f t="shared" si="0"/>
        <v>2498.25</v>
      </c>
      <c r="M17" s="2"/>
      <c r="N17" s="22">
        <f t="shared" si="1"/>
        <v>0</v>
      </c>
      <c r="O17" s="11"/>
      <c r="P17" s="2">
        <f>--12023.6</f>
        <v>12023.6</v>
      </c>
      <c r="Q17" s="2"/>
      <c r="R17" s="22"/>
      <c r="S17" s="2"/>
      <c r="T17" s="2"/>
      <c r="U17" s="2"/>
      <c r="V17" s="22"/>
      <c r="W17" s="2"/>
      <c r="X17" s="2">
        <f t="shared" si="2"/>
        <v>12023.6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--305.46</f>
        <v>305.45999999999998</v>
      </c>
      <c r="E18" s="2"/>
      <c r="F18" s="22"/>
      <c r="G18" s="2"/>
      <c r="H18" s="2"/>
      <c r="I18" s="2"/>
      <c r="J18" s="22"/>
      <c r="K18" s="2"/>
      <c r="L18" s="2">
        <f t="shared" si="0"/>
        <v>305.45999999999998</v>
      </c>
      <c r="M18" s="2"/>
      <c r="N18" s="22">
        <f t="shared" si="1"/>
        <v>0</v>
      </c>
      <c r="O18" s="11"/>
      <c r="P18" s="2">
        <f>--4593.02</f>
        <v>4593.0200000000004</v>
      </c>
      <c r="Q18" s="2"/>
      <c r="R18" s="22"/>
      <c r="S18" s="2"/>
      <c r="T18" s="2"/>
      <c r="U18" s="2"/>
      <c r="V18" s="22"/>
      <c r="W18" s="2"/>
      <c r="X18" s="2">
        <f t="shared" si="2"/>
        <v>4593.0200000000004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"4043", " - ", "TAXABLE SALES-CARDS")</f>
        <v xml:space="preserve">          4043 - TAXABLE SALES-CARDS</v>
      </c>
      <c r="C19" s="11"/>
      <c r="D19" s="2">
        <f>--189.81</f>
        <v>189.81</v>
      </c>
      <c r="E19" s="2"/>
      <c r="F19" s="22"/>
      <c r="G19" s="2"/>
      <c r="H19" s="2"/>
      <c r="I19" s="2"/>
      <c r="J19" s="22"/>
      <c r="K19" s="2"/>
      <c r="L19" s="2">
        <f t="shared" si="0"/>
        <v>189.81</v>
      </c>
      <c r="M19" s="2"/>
      <c r="N19" s="22">
        <f t="shared" si="1"/>
        <v>0</v>
      </c>
      <c r="O19" s="11"/>
      <c r="P19" s="2">
        <f>--817.22</f>
        <v>817.22</v>
      </c>
      <c r="Q19" s="2"/>
      <c r="R19" s="22"/>
      <c r="S19" s="2"/>
      <c r="T19" s="2"/>
      <c r="U19" s="2"/>
      <c r="V19" s="22"/>
      <c r="W19" s="2"/>
      <c r="X19" s="2">
        <f t="shared" si="2"/>
        <v>817.22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"4044", " - ", "TAXABLE SALES-ACCESSORIES")</f>
        <v xml:space="preserve">          4044 - TAXABLE SALES-ACCESSORIES</v>
      </c>
      <c r="C20" s="11"/>
      <c r="D20" s="2">
        <f>--214.55</f>
        <v>214.55</v>
      </c>
      <c r="E20" s="2"/>
      <c r="F20" s="22"/>
      <c r="G20" s="2"/>
      <c r="H20" s="2"/>
      <c r="I20" s="2"/>
      <c r="J20" s="22"/>
      <c r="K20" s="2"/>
      <c r="L20" s="2">
        <f t="shared" si="0"/>
        <v>214.55</v>
      </c>
      <c r="M20" s="2"/>
      <c r="N20" s="22">
        <f t="shared" si="1"/>
        <v>0</v>
      </c>
      <c r="O20" s="11"/>
      <c r="P20" s="2">
        <f>--997.02</f>
        <v>997.02</v>
      </c>
      <c r="Q20" s="2"/>
      <c r="R20" s="22"/>
      <c r="S20" s="2"/>
      <c r="T20" s="2"/>
      <c r="U20" s="2"/>
      <c r="V20" s="22"/>
      <c r="W20" s="2"/>
      <c r="X20" s="2">
        <f t="shared" si="2"/>
        <v>997.02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--236.62</f>
        <v>236.62</v>
      </c>
      <c r="E21" s="2"/>
      <c r="F21" s="22"/>
      <c r="G21" s="2"/>
      <c r="H21" s="2"/>
      <c r="I21" s="2"/>
      <c r="J21" s="22"/>
      <c r="K21" s="2"/>
      <c r="L21" s="2">
        <f t="shared" si="0"/>
        <v>236.62</v>
      </c>
      <c r="M21" s="2"/>
      <c r="N21" s="22">
        <f t="shared" si="1"/>
        <v>0</v>
      </c>
      <c r="O21" s="11"/>
      <c r="P21" s="2">
        <f>--271.52</f>
        <v>271.52</v>
      </c>
      <c r="Q21" s="2"/>
      <c r="R21" s="22"/>
      <c r="S21" s="2"/>
      <c r="T21" s="2"/>
      <c r="U21" s="2"/>
      <c r="V21" s="22"/>
      <c r="W21" s="2"/>
      <c r="X21" s="2">
        <f t="shared" si="2"/>
        <v>271.52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"4131", " - ", "NON-TAXABLE SALES-FOOD")</f>
        <v xml:space="preserve">          4131 - NON-TAXABLE SALES-FOOD</v>
      </c>
      <c r="C22" s="11"/>
      <c r="D22" s="2">
        <f>--7.5</f>
        <v>7.5</v>
      </c>
      <c r="E22" s="2"/>
      <c r="F22" s="22"/>
      <c r="G22" s="2"/>
      <c r="H22" s="2"/>
      <c r="I22" s="2"/>
      <c r="J22" s="22"/>
      <c r="K22" s="2"/>
      <c r="L22" s="2">
        <f t="shared" si="0"/>
        <v>7.5</v>
      </c>
      <c r="M22" s="2"/>
      <c r="N22" s="22">
        <f t="shared" si="1"/>
        <v>0</v>
      </c>
      <c r="O22" s="11"/>
      <c r="P22" s="2">
        <f>--30</f>
        <v>30</v>
      </c>
      <c r="Q22" s="2"/>
      <c r="R22" s="22"/>
      <c r="S22" s="2"/>
      <c r="T22" s="2"/>
      <c r="U22" s="2"/>
      <c r="V22" s="22"/>
      <c r="W22" s="2"/>
      <c r="X22" s="2">
        <f t="shared" si="2"/>
        <v>30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"4137", " - ", "NON-TAXABLE SALES-WATER")</f>
        <v xml:space="preserve">          4137 - NON-TAXABLE SALES-WATER</v>
      </c>
      <c r="C23" s="11"/>
      <c r="D23" s="2">
        <f>0</f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--9</f>
        <v>9</v>
      </c>
      <c r="Q23" s="2"/>
      <c r="R23" s="22"/>
      <c r="S23" s="2"/>
      <c r="T23" s="2"/>
      <c r="U23" s="2"/>
      <c r="V23" s="22"/>
      <c r="W23" s="2"/>
      <c r="X23" s="2">
        <f t="shared" si="2"/>
        <v>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"4140", " - ", "NON-TAXABLE SALES-LOGO CLOTHIN")</f>
        <v xml:space="preserve">          4140 - NON-TAXABLE SALES-LOGO CLOTHIN</v>
      </c>
      <c r="C24" s="11"/>
      <c r="D24" s="2">
        <f>--49.9</f>
        <v>49.9</v>
      </c>
      <c r="E24" s="2"/>
      <c r="F24" s="22"/>
      <c r="G24" s="2"/>
      <c r="H24" s="2"/>
      <c r="I24" s="2"/>
      <c r="J24" s="22"/>
      <c r="K24" s="2"/>
      <c r="L24" s="2">
        <f t="shared" si="0"/>
        <v>49.9</v>
      </c>
      <c r="M24" s="2"/>
      <c r="N24" s="22">
        <f t="shared" si="1"/>
        <v>0</v>
      </c>
      <c r="O24" s="11"/>
      <c r="P24" s="2">
        <f>--140.83</f>
        <v>140.83000000000001</v>
      </c>
      <c r="Q24" s="2"/>
      <c r="R24" s="22"/>
      <c r="S24" s="2"/>
      <c r="T24" s="2"/>
      <c r="U24" s="2"/>
      <c r="V24" s="22"/>
      <c r="W24" s="2"/>
      <c r="X24" s="2">
        <f t="shared" si="2"/>
        <v>140.83000000000001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"4145", " - ", "NON-TAXABLE SALES-SPECIAL ORDE")</f>
        <v xml:space="preserve">          4145 - NON-TAXABLE SALES-SPECIAL ORDE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--7</f>
        <v>7</v>
      </c>
      <c r="Q25" s="2"/>
      <c r="R25" s="22"/>
      <c r="S25" s="2"/>
      <c r="T25" s="2"/>
      <c r="U25" s="2"/>
      <c r="V25" s="22"/>
      <c r="W25" s="2"/>
      <c r="X25" s="2">
        <f t="shared" si="2"/>
        <v>7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"4226", " - ", "SALES RETURN TAXABLE-WRITING I")</f>
        <v xml:space="preserve">          4226 - SALES RETURN TAXABLE-WRITING I</v>
      </c>
      <c r="C26" s="11"/>
      <c r="D26" s="2">
        <f>-5.36</f>
        <v>-5.36</v>
      </c>
      <c r="E26" s="2"/>
      <c r="F26" s="22"/>
      <c r="G26" s="2"/>
      <c r="H26" s="2"/>
      <c r="I26" s="2"/>
      <c r="J26" s="22"/>
      <c r="K26" s="2"/>
      <c r="L26" s="2">
        <f t="shared" si="0"/>
        <v>-5.36</v>
      </c>
      <c r="M26" s="2"/>
      <c r="N26" s="22">
        <f t="shared" si="1"/>
        <v>0</v>
      </c>
      <c r="O26" s="11"/>
      <c r="P26" s="2">
        <f>-27.85</f>
        <v>-27.85</v>
      </c>
      <c r="Q26" s="2"/>
      <c r="R26" s="22"/>
      <c r="S26" s="2"/>
      <c r="T26" s="2"/>
      <c r="U26" s="2"/>
      <c r="V26" s="22"/>
      <c r="W26" s="2"/>
      <c r="X26" s="2">
        <f t="shared" si="2"/>
        <v>-27.85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"4227", " - ", "SALES RETURN TAXABLE-SCHOOL SU")</f>
        <v xml:space="preserve">          4227 - SALES RETURN TAXABLE-SCHOOL SU</v>
      </c>
      <c r="C27" s="11"/>
      <c r="D27" s="2">
        <f>0</f>
        <v>0</v>
      </c>
      <c r="E27" s="2"/>
      <c r="F27" s="22"/>
      <c r="G27" s="2"/>
      <c r="H27" s="2"/>
      <c r="I27" s="2"/>
      <c r="J27" s="22"/>
      <c r="K27" s="2"/>
      <c r="L27" s="2">
        <f t="shared" si="0"/>
        <v>0</v>
      </c>
      <c r="M27" s="2"/>
      <c r="N27" s="22">
        <f t="shared" si="1"/>
        <v>0</v>
      </c>
      <c r="O27" s="11"/>
      <c r="P27" s="2">
        <f>-30</f>
        <v>-30</v>
      </c>
      <c r="Q27" s="2"/>
      <c r="R27" s="22"/>
      <c r="S27" s="2"/>
      <c r="T27" s="2"/>
      <c r="U27" s="2"/>
      <c r="V27" s="22"/>
      <c r="W27" s="2"/>
      <c r="X27" s="2">
        <f t="shared" si="2"/>
        <v>-30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>-517.35</f>
        <v>-517.35</v>
      </c>
      <c r="E28" s="2"/>
      <c r="F28" s="22"/>
      <c r="G28" s="2"/>
      <c r="H28" s="2"/>
      <c r="I28" s="2"/>
      <c r="J28" s="22"/>
      <c r="K28" s="2"/>
      <c r="L28" s="2">
        <f t="shared" si="0"/>
        <v>-517.35</v>
      </c>
      <c r="M28" s="2"/>
      <c r="N28" s="22">
        <f t="shared" si="1"/>
        <v>0</v>
      </c>
      <c r="O28" s="11"/>
      <c r="P28" s="2">
        <f>-2421.23</f>
        <v>-2421.23</v>
      </c>
      <c r="Q28" s="2"/>
      <c r="R28" s="22"/>
      <c r="S28" s="2"/>
      <c r="T28" s="2"/>
      <c r="U28" s="2"/>
      <c r="V28" s="22"/>
      <c r="W28" s="2"/>
      <c r="X28" s="2">
        <f t="shared" si="2"/>
        <v>-2421.23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>-28.9</f>
        <v>-28.9</v>
      </c>
      <c r="E29" s="2"/>
      <c r="F29" s="22"/>
      <c r="G29" s="2"/>
      <c r="H29" s="2"/>
      <c r="I29" s="2"/>
      <c r="J29" s="22"/>
      <c r="K29" s="2"/>
      <c r="L29" s="2">
        <f t="shared" si="0"/>
        <v>-28.9</v>
      </c>
      <c r="M29" s="2"/>
      <c r="N29" s="22">
        <f t="shared" si="1"/>
        <v>0</v>
      </c>
      <c r="O29" s="11"/>
      <c r="P29" s="2">
        <f>-123.5</f>
        <v>-123.5</v>
      </c>
      <c r="Q29" s="2"/>
      <c r="R29" s="22"/>
      <c r="S29" s="2"/>
      <c r="T29" s="2"/>
      <c r="U29" s="2"/>
      <c r="V29" s="22"/>
      <c r="W29" s="2"/>
      <c r="X29" s="2">
        <f t="shared" si="2"/>
        <v>-123.5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>-7.98</f>
        <v>-7.98</v>
      </c>
      <c r="E30" s="2"/>
      <c r="F30" s="22"/>
      <c r="G30" s="2"/>
      <c r="H30" s="2"/>
      <c r="I30" s="2"/>
      <c r="J30" s="22"/>
      <c r="K30" s="2"/>
      <c r="L30" s="2">
        <f t="shared" si="0"/>
        <v>-7.98</v>
      </c>
      <c r="M30" s="2"/>
      <c r="N30" s="22">
        <f t="shared" si="1"/>
        <v>0</v>
      </c>
      <c r="O30" s="11"/>
      <c r="P30" s="2">
        <f>-111.8</f>
        <v>-111.8</v>
      </c>
      <c r="Q30" s="2"/>
      <c r="R30" s="22"/>
      <c r="S30" s="2"/>
      <c r="T30" s="2"/>
      <c r="U30" s="2"/>
      <c r="V30" s="22"/>
      <c r="W30" s="2"/>
      <c r="X30" s="2">
        <f t="shared" si="2"/>
        <v>-111.8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"4245", " - ", "SALES RETURN TAXABLE-SPECIAL O")</f>
        <v xml:space="preserve">          4245 - SALES RETURN TAXABLE-SPECIAL O</v>
      </c>
      <c r="C31" s="11"/>
      <c r="D31" s="2">
        <f>0</f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-7</f>
        <v>-7</v>
      </c>
      <c r="Q31" s="2"/>
      <c r="R31" s="22"/>
      <c r="S31" s="2"/>
      <c r="T31" s="2"/>
      <c r="U31" s="2"/>
      <c r="V31" s="22"/>
      <c r="W31" s="2"/>
      <c r="X31" s="2">
        <f t="shared" si="2"/>
        <v>-7</v>
      </c>
      <c r="Y31" s="2"/>
      <c r="Z31" s="22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5" t="s">
        <v>8</v>
      </c>
      <c r="C33" s="10"/>
      <c r="D33" s="4">
        <f>SUM(OSRRefD16x_0)</f>
        <v>7350</v>
      </c>
      <c r="E33" s="4"/>
      <c r="F33" s="12">
        <f t="shared" ref="F33:F38" si="4">IF(D$12=0,0,D33/D$12)</f>
        <v>0.39141590309500801</v>
      </c>
      <c r="G33" s="4"/>
      <c r="H33" s="4">
        <f>SUM(OSRRefH16x_0)</f>
        <v>16720</v>
      </c>
      <c r="I33" s="4"/>
      <c r="J33" s="12">
        <f t="shared" ref="J33:J38" si="5">IF(H$12=0,0,H33/H$12)</f>
        <v>0.43000797263585627</v>
      </c>
      <c r="K33" s="4"/>
      <c r="L33" s="4">
        <f t="shared" ref="L33:L38" si="6">+D33-H33</f>
        <v>-9370</v>
      </c>
      <c r="M33" s="4"/>
      <c r="N33" s="12">
        <f t="shared" ref="N33:N38" si="7">IF(H33=0,0,L33/H33)</f>
        <v>-0.56040669856459335</v>
      </c>
      <c r="O33" s="10"/>
      <c r="P33" s="4">
        <f>SUM(OSRRefP16x_0)</f>
        <v>35356</v>
      </c>
      <c r="Q33" s="4"/>
      <c r="R33" s="12">
        <f t="shared" ref="R33:R38" si="8">IF(P$12=0,0,P33/P$12)</f>
        <v>0.39985587274459045</v>
      </c>
      <c r="S33" s="4"/>
      <c r="T33" s="4">
        <f>SUM(OSRRefT16x_0)</f>
        <v>79440</v>
      </c>
      <c r="U33" s="4"/>
      <c r="V33" s="12">
        <f t="shared" ref="V33:V38" si="9">IF(T$12=0,0,T33/T$12)</f>
        <v>0.42999810549676581</v>
      </c>
      <c r="W33" s="4"/>
      <c r="X33" s="4">
        <f t="shared" ref="X33:X38" si="10">+P33-T33</f>
        <v>-44084</v>
      </c>
      <c r="Y33" s="4"/>
      <c r="Z33" s="12">
        <f t="shared" ref="Z33:Z38" si="11">IF(T33=0,0,X33/T33)</f>
        <v>-0.55493454179254786</v>
      </c>
    </row>
    <row r="34" spans="1:26" s="24" customFormat="1" hidden="1" outlineLevel="1" x14ac:dyDescent="0.25">
      <c r="A34" s="51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22">
        <f t="shared" si="4"/>
        <v>0</v>
      </c>
      <c r="G34" s="2"/>
      <c r="H34" s="2">
        <v>16720</v>
      </c>
      <c r="I34" s="2"/>
      <c r="J34" s="22">
        <f t="shared" si="5"/>
        <v>0.43000797263585627</v>
      </c>
      <c r="K34" s="2"/>
      <c r="L34" s="2">
        <f t="shared" si="6"/>
        <v>-16720</v>
      </c>
      <c r="M34" s="2"/>
      <c r="N34" s="22">
        <f t="shared" si="7"/>
        <v>-1</v>
      </c>
      <c r="O34" s="11"/>
      <c r="P34" s="2"/>
      <c r="Q34" s="2"/>
      <c r="R34" s="22">
        <f t="shared" si="8"/>
        <v>0</v>
      </c>
      <c r="S34" s="2"/>
      <c r="T34" s="2">
        <v>79440</v>
      </c>
      <c r="U34" s="2"/>
      <c r="V34" s="22">
        <f t="shared" si="9"/>
        <v>0.42999810549676581</v>
      </c>
      <c r="W34" s="2"/>
      <c r="X34" s="2">
        <f t="shared" si="10"/>
        <v>-79440</v>
      </c>
      <c r="Y34" s="2"/>
      <c r="Z34" s="22">
        <f t="shared" si="11"/>
        <v>-1</v>
      </c>
    </row>
    <row r="35" spans="1:26" s="24" customFormat="1" hidden="1" outlineLevel="1" x14ac:dyDescent="0.25">
      <c r="A35" s="51"/>
      <c r="B35" s="11" t="str">
        <f>CONCATENATE("          ", "5041", " - ", "PURCHASES @ COST-LOGO GIFTS")</f>
        <v xml:space="preserve">          5041 - PURCHASES @ COST-LOGO GIFTS</v>
      </c>
      <c r="C35" s="11"/>
      <c r="D35" s="2">
        <v>207.6</v>
      </c>
      <c r="E35" s="2"/>
      <c r="F35" s="22">
        <f t="shared" si="4"/>
        <v>1.1055502242520226E-2</v>
      </c>
      <c r="G35" s="2"/>
      <c r="H35" s="2"/>
      <c r="I35" s="2"/>
      <c r="J35" s="22">
        <f t="shared" si="5"/>
        <v>0</v>
      </c>
      <c r="K35" s="2"/>
      <c r="L35" s="2">
        <f t="shared" si="6"/>
        <v>207.6</v>
      </c>
      <c r="M35" s="2"/>
      <c r="N35" s="22">
        <f t="shared" si="7"/>
        <v>0</v>
      </c>
      <c r="O35" s="11"/>
      <c r="P35" s="2">
        <v>207.6</v>
      </c>
      <c r="Q35" s="2"/>
      <c r="R35" s="22">
        <f t="shared" si="8"/>
        <v>2.347835704881123E-3</v>
      </c>
      <c r="S35" s="2"/>
      <c r="T35" s="2"/>
      <c r="U35" s="2"/>
      <c r="V35" s="22">
        <f t="shared" si="9"/>
        <v>0</v>
      </c>
      <c r="W35" s="2"/>
      <c r="X35" s="2">
        <f t="shared" si="10"/>
        <v>207.6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"5042", " - ", "PURCHASES @ COST-EVERYDAY GIFT")</f>
        <v xml:space="preserve">          5042 - PURCHASES @ COST-EVERYDAY GIFT</v>
      </c>
      <c r="C36" s="11"/>
      <c r="D36" s="2">
        <v>7946.04</v>
      </c>
      <c r="E36" s="2"/>
      <c r="F36" s="22">
        <f t="shared" si="4"/>
        <v>0.42315733641211667</v>
      </c>
      <c r="G36" s="2"/>
      <c r="H36" s="2"/>
      <c r="I36" s="2"/>
      <c r="J36" s="22">
        <f t="shared" si="5"/>
        <v>0</v>
      </c>
      <c r="K36" s="2"/>
      <c r="L36" s="2">
        <f t="shared" si="6"/>
        <v>7946.04</v>
      </c>
      <c r="M36" s="2"/>
      <c r="N36" s="22">
        <f t="shared" si="7"/>
        <v>0</v>
      </c>
      <c r="O36" s="11"/>
      <c r="P36" s="2">
        <v>7946.04</v>
      </c>
      <c r="Q36" s="2"/>
      <c r="R36" s="22">
        <f t="shared" si="8"/>
        <v>8.9865108017406534E-2</v>
      </c>
      <c r="S36" s="2"/>
      <c r="T36" s="2"/>
      <c r="U36" s="2"/>
      <c r="V36" s="22">
        <f t="shared" si="9"/>
        <v>0</v>
      </c>
      <c r="W36" s="2"/>
      <c r="X36" s="2">
        <f t="shared" si="10"/>
        <v>7946.04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"5200", " - ", "PURCHASES OFFSET")</f>
        <v xml:space="preserve">          5200 - PURCHASES OFFSET</v>
      </c>
      <c r="C37" s="11"/>
      <c r="D37" s="2">
        <v>-8153.64</v>
      </c>
      <c r="E37" s="2"/>
      <c r="F37" s="22">
        <f t="shared" si="4"/>
        <v>-0.43421283865463689</v>
      </c>
      <c r="G37" s="2"/>
      <c r="H37" s="2"/>
      <c r="I37" s="2"/>
      <c r="J37" s="22">
        <f t="shared" si="5"/>
        <v>0</v>
      </c>
      <c r="K37" s="2"/>
      <c r="L37" s="2">
        <f t="shared" si="6"/>
        <v>-8153.64</v>
      </c>
      <c r="M37" s="2"/>
      <c r="N37" s="22">
        <f t="shared" si="7"/>
        <v>0</v>
      </c>
      <c r="O37" s="11"/>
      <c r="P37" s="2">
        <v>-8153.64</v>
      </c>
      <c r="Q37" s="2"/>
      <c r="R37" s="22">
        <f t="shared" si="8"/>
        <v>-9.2212943722287666E-2</v>
      </c>
      <c r="S37" s="2"/>
      <c r="T37" s="2"/>
      <c r="U37" s="2"/>
      <c r="V37" s="22">
        <f t="shared" si="9"/>
        <v>0</v>
      </c>
      <c r="W37" s="2"/>
      <c r="X37" s="2">
        <f t="shared" si="10"/>
        <v>-8153.64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"5300", " - ", "COG$ OFFSET")</f>
        <v xml:space="preserve">          5300 - COG$ OFFSET</v>
      </c>
      <c r="C38" s="11"/>
      <c r="D38" s="2">
        <v>7350</v>
      </c>
      <c r="E38" s="2"/>
      <c r="F38" s="22">
        <f t="shared" si="4"/>
        <v>0.39141590309500801</v>
      </c>
      <c r="G38" s="2"/>
      <c r="H38" s="2"/>
      <c r="I38" s="2"/>
      <c r="J38" s="22">
        <f t="shared" si="5"/>
        <v>0</v>
      </c>
      <c r="K38" s="2"/>
      <c r="L38" s="2">
        <f t="shared" si="6"/>
        <v>7350</v>
      </c>
      <c r="M38" s="2"/>
      <c r="N38" s="22">
        <f t="shared" si="7"/>
        <v>0</v>
      </c>
      <c r="O38" s="11"/>
      <c r="P38" s="2">
        <v>35356</v>
      </c>
      <c r="Q38" s="2"/>
      <c r="R38" s="22">
        <f t="shared" si="8"/>
        <v>0.39985587274459045</v>
      </c>
      <c r="S38" s="2"/>
      <c r="T38" s="2"/>
      <c r="U38" s="2"/>
      <c r="V38" s="22">
        <f t="shared" si="9"/>
        <v>0</v>
      </c>
      <c r="W38" s="2"/>
      <c r="X38" s="2">
        <f t="shared" si="10"/>
        <v>35356</v>
      </c>
      <c r="Y38" s="2"/>
      <c r="Z38" s="22">
        <f t="shared" si="11"/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10"/>
      <c r="B40" s="26" t="s">
        <v>6</v>
      </c>
      <c r="C40" s="26"/>
      <c r="D40" s="20">
        <f>D12-D33</f>
        <v>11427.980000000003</v>
      </c>
      <c r="E40" s="13"/>
      <c r="F40" s="19">
        <f>IF(D$12=0,0,D40/D$12)</f>
        <v>0.60858409690499193</v>
      </c>
      <c r="G40" s="13"/>
      <c r="H40" s="20">
        <f>H12-H33</f>
        <v>22163</v>
      </c>
      <c r="I40" s="13"/>
      <c r="J40" s="19">
        <f>IF(H$12=0,0,H40/H$12)</f>
        <v>0.56999202736414367</v>
      </c>
      <c r="K40" s="15"/>
      <c r="L40" s="20">
        <f>+D40-H40</f>
        <v>-10735.019999999997</v>
      </c>
      <c r="M40" s="15"/>
      <c r="N40" s="19">
        <f>IF(H40=0,0,L40/H40)</f>
        <v>-0.48436673735505109</v>
      </c>
      <c r="O40" s="25"/>
      <c r="P40" s="20">
        <f>P12-P33</f>
        <v>53065.860000000015</v>
      </c>
      <c r="Q40" s="13"/>
      <c r="R40" s="19">
        <f>IF(P$12=0,0,P40/P$12)</f>
        <v>0.60014412725540955</v>
      </c>
      <c r="S40" s="13"/>
      <c r="T40" s="20">
        <f>T12-T33</f>
        <v>105305</v>
      </c>
      <c r="U40" s="13"/>
      <c r="V40" s="19">
        <f>IF(T$12=0,0,T40/T$12)</f>
        <v>0.57000189450323424</v>
      </c>
      <c r="W40" s="15"/>
      <c r="X40" s="20">
        <f>+P40-T40</f>
        <v>-52239.139999999985</v>
      </c>
      <c r="Y40" s="15"/>
      <c r="Z40" s="19">
        <f>IF(T40=0,0,X40/T40)</f>
        <v>-0.4960746403304685</v>
      </c>
    </row>
    <row r="41" spans="1:26" x14ac:dyDescent="0.25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5" t="s">
        <v>9</v>
      </c>
      <c r="C42" s="10"/>
      <c r="D42" s="21">
        <f>SUM(OSRRefD22x_0)</f>
        <v>22743.91</v>
      </c>
      <c r="E42" s="21"/>
      <c r="F42" s="31">
        <f t="shared" ref="F42:F52" si="12">IF(D$12=0,0,D42/D$12)</f>
        <v>1.2112010983076984</v>
      </c>
      <c r="G42" s="21"/>
      <c r="H42" s="21">
        <f>SUM(OSRRefH22x_0)</f>
        <v>25718.494067307689</v>
      </c>
      <c r="I42" s="21"/>
      <c r="J42" s="31">
        <f t="shared" ref="J42:J52" si="13">IF(H$12=0,0,H42/H$12)</f>
        <v>0.66143286442166727</v>
      </c>
      <c r="K42" s="4"/>
      <c r="L42" s="21">
        <f t="shared" ref="L42:L52" si="14">+D42-H42</f>
        <v>-2974.5840673076891</v>
      </c>
      <c r="M42" s="4"/>
      <c r="N42" s="31">
        <f t="shared" ref="N42:N52" si="15">IF(H42=0,0,L42/H42)</f>
        <v>-0.11565934068779168</v>
      </c>
      <c r="O42" s="10"/>
      <c r="P42" s="21">
        <f>SUM(OSRRefP22x_0)</f>
        <v>85841.960000000021</v>
      </c>
      <c r="Q42" s="21"/>
      <c r="R42" s="31">
        <f t="shared" ref="R42:R52" si="16">IF(P$12=0,0,P42/P$12)</f>
        <v>0.97082282593919655</v>
      </c>
      <c r="S42" s="21"/>
      <c r="T42" s="21">
        <f>SUM(OSRRefT22x_0)</f>
        <v>103108.13579230767</v>
      </c>
      <c r="U42" s="21"/>
      <c r="V42" s="31">
        <f t="shared" ref="V42:V52" si="17">IF(T$12=0,0,T42/T$12)</f>
        <v>0.55811056208453635</v>
      </c>
      <c r="W42" s="4"/>
      <c r="X42" s="21">
        <f t="shared" ref="X42:X52" si="18">+P42-T42</f>
        <v>-17266.175792307651</v>
      </c>
      <c r="Y42" s="4"/>
      <c r="Z42" s="31">
        <f t="shared" ref="Z42:Z52" si="19">IF(T42=0,0,X42/T42)</f>
        <v>-0.16745696796504186</v>
      </c>
    </row>
    <row r="43" spans="1:26" s="27" customFormat="1" outlineLevel="1" collapsed="1" x14ac:dyDescent="0.25">
      <c r="A43" s="29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5855.8200000000006</v>
      </c>
      <c r="E43" s="1"/>
      <c r="F43" s="5">
        <f t="shared" si="12"/>
        <v>0.31184504403562041</v>
      </c>
      <c r="G43" s="1"/>
      <c r="H43" s="1">
        <f>SUM(OSRRefH22_0x_0)</f>
        <v>2374.3979134615388</v>
      </c>
      <c r="I43" s="1"/>
      <c r="J43" s="5">
        <f t="shared" si="13"/>
        <v>6.1065193361148545E-2</v>
      </c>
      <c r="K43" s="1"/>
      <c r="L43" s="1">
        <f t="shared" si="14"/>
        <v>3481.4220865384618</v>
      </c>
      <c r="M43" s="1"/>
      <c r="N43" s="5">
        <f t="shared" si="15"/>
        <v>1.4662336362412975</v>
      </c>
      <c r="O43" s="14"/>
      <c r="P43" s="1">
        <f>SUM(OSRRefP22_0x_0)</f>
        <v>20833.32</v>
      </c>
      <c r="Q43" s="1"/>
      <c r="R43" s="5">
        <f t="shared" si="16"/>
        <v>0.23561277720237955</v>
      </c>
      <c r="S43" s="1"/>
      <c r="T43" s="1">
        <f>SUM(OSRRefT22_0x_0)</f>
        <v>9905.7896384615415</v>
      </c>
      <c r="U43" s="1"/>
      <c r="V43" s="5">
        <f t="shared" si="17"/>
        <v>5.3618715734994403E-2</v>
      </c>
      <c r="W43" s="1"/>
      <c r="X43" s="1">
        <f t="shared" si="18"/>
        <v>10927.530361538458</v>
      </c>
      <c r="Y43" s="1"/>
      <c r="Z43" s="5">
        <f t="shared" si="19"/>
        <v>1.10314581273862</v>
      </c>
    </row>
    <row r="44" spans="1:26" s="24" customFormat="1" hidden="1" outlineLevel="2" x14ac:dyDescent="0.25">
      <c r="A44" s="28"/>
      <c r="B44" s="11" t="str">
        <f>CONCATENATE("          ", "6111", " - ", "F.I.C.A.")</f>
        <v xml:space="preserve">          6111 - F.I.C.A.</v>
      </c>
      <c r="C44" s="11"/>
      <c r="D44" s="7">
        <v>998.37</v>
      </c>
      <c r="E44" s="2"/>
      <c r="F44" s="6">
        <f t="shared" si="12"/>
        <v>5.3167060567750092E-2</v>
      </c>
      <c r="G44" s="2"/>
      <c r="H44" s="7">
        <v>350.34550961538497</v>
      </c>
      <c r="I44" s="2"/>
      <c r="J44" s="6">
        <f t="shared" si="13"/>
        <v>9.0102489420925587E-3</v>
      </c>
      <c r="K44" s="2"/>
      <c r="L44" s="7">
        <f t="shared" si="14"/>
        <v>648.02449038461509</v>
      </c>
      <c r="M44" s="2"/>
      <c r="N44" s="6">
        <f t="shared" si="15"/>
        <v>1.8496726020436995</v>
      </c>
      <c r="O44" s="11"/>
      <c r="P44" s="7">
        <v>3208.38</v>
      </c>
      <c r="Q44" s="2"/>
      <c r="R44" s="6">
        <f t="shared" si="16"/>
        <v>3.6284918684135345E-2</v>
      </c>
      <c r="S44" s="2"/>
      <c r="T44" s="7">
        <v>2153.200984615386</v>
      </c>
      <c r="U44" s="2"/>
      <c r="V44" s="6">
        <f t="shared" si="17"/>
        <v>1.1654989226314033E-2</v>
      </c>
      <c r="W44" s="2"/>
      <c r="X44" s="7">
        <f t="shared" si="18"/>
        <v>1055.1790153846141</v>
      </c>
      <c r="Y44" s="2"/>
      <c r="Z44" s="6">
        <f t="shared" si="19"/>
        <v>0.49005133423394504</v>
      </c>
    </row>
    <row r="45" spans="1:26" s="24" customFormat="1" hidden="1" outlineLevel="2" x14ac:dyDescent="0.25">
      <c r="A45" s="28"/>
      <c r="B45" s="11" t="str">
        <f>CONCATENATE("          ", "6112", " - ", "COMPENSATION INSURANCE")</f>
        <v xml:space="preserve">          6112 - COMPENSATION INSURANCE</v>
      </c>
      <c r="C45" s="11"/>
      <c r="D45" s="7">
        <v>215.57</v>
      </c>
      <c r="E45" s="2"/>
      <c r="F45" s="6">
        <f t="shared" si="12"/>
        <v>1.1479935541522568E-2</v>
      </c>
      <c r="G45" s="2"/>
      <c r="H45" s="7">
        <v>204.47836538461499</v>
      </c>
      <c r="I45" s="2"/>
      <c r="J45" s="6">
        <f t="shared" si="13"/>
        <v>5.2588114441945062E-3</v>
      </c>
      <c r="K45" s="2"/>
      <c r="L45" s="7">
        <f t="shared" si="14"/>
        <v>11.091634615385004</v>
      </c>
      <c r="M45" s="2"/>
      <c r="N45" s="6">
        <f t="shared" si="15"/>
        <v>5.4243560655045917E-2</v>
      </c>
      <c r="O45" s="11"/>
      <c r="P45" s="7">
        <v>1073.5899999999999</v>
      </c>
      <c r="Q45" s="2"/>
      <c r="R45" s="6">
        <f t="shared" si="16"/>
        <v>1.214168080155744E-2</v>
      </c>
      <c r="S45" s="2"/>
      <c r="T45" s="7">
        <v>736.12211538461395</v>
      </c>
      <c r="U45" s="2"/>
      <c r="V45" s="6">
        <f t="shared" si="17"/>
        <v>3.9845306524377601E-3</v>
      </c>
      <c r="W45" s="2"/>
      <c r="X45" s="7">
        <f t="shared" si="18"/>
        <v>337.46788461538597</v>
      </c>
      <c r="Y45" s="2"/>
      <c r="Z45" s="6">
        <f t="shared" si="19"/>
        <v>0.45844008427740757</v>
      </c>
    </row>
    <row r="46" spans="1:26" s="24" customFormat="1" hidden="1" outlineLevel="2" x14ac:dyDescent="0.25">
      <c r="A46" s="28"/>
      <c r="B46" s="11" t="str">
        <f>CONCATENATE("          ", "6113", " - ", "GROUP INSURANCE")</f>
        <v xml:space="preserve">          6113 - GROUP INSURANCE</v>
      </c>
      <c r="C46" s="11"/>
      <c r="D46" s="7">
        <v>2714.98</v>
      </c>
      <c r="E46" s="2"/>
      <c r="F46" s="6">
        <f t="shared" si="12"/>
        <v>0.14458317667821563</v>
      </c>
      <c r="G46" s="2"/>
      <c r="H46" s="7">
        <v>990</v>
      </c>
      <c r="I46" s="2"/>
      <c r="J46" s="6">
        <f t="shared" si="13"/>
        <v>2.546099837975465E-2</v>
      </c>
      <c r="K46" s="2"/>
      <c r="L46" s="7">
        <f t="shared" si="14"/>
        <v>1724.98</v>
      </c>
      <c r="M46" s="2"/>
      <c r="N46" s="6">
        <f t="shared" si="15"/>
        <v>1.7424040404040404</v>
      </c>
      <c r="O46" s="11"/>
      <c r="P46" s="7">
        <v>10157.41</v>
      </c>
      <c r="Q46" s="2"/>
      <c r="R46" s="6">
        <f t="shared" si="16"/>
        <v>0.11487442132522431</v>
      </c>
      <c r="S46" s="2"/>
      <c r="T46" s="7">
        <v>3960</v>
      </c>
      <c r="U46" s="2"/>
      <c r="V46" s="6">
        <f t="shared" si="17"/>
        <v>2.1434950878237571E-2</v>
      </c>
      <c r="W46" s="2"/>
      <c r="X46" s="7">
        <f t="shared" si="18"/>
        <v>6197.41</v>
      </c>
      <c r="Y46" s="2"/>
      <c r="Z46" s="6">
        <f t="shared" si="19"/>
        <v>1.5650025252525253</v>
      </c>
    </row>
    <row r="47" spans="1:26" s="24" customFormat="1" hidden="1" outlineLevel="2" x14ac:dyDescent="0.25">
      <c r="A47" s="28"/>
      <c r="B47" s="11" t="str">
        <f>CONCATENATE("          ", "6114", " - ", "STATE UNEMPLOYMENT INSURANCE")</f>
        <v xml:space="preserve">          6114 - STATE UNEMPLOYMENT INSURANCE</v>
      </c>
      <c r="C47" s="11"/>
      <c r="D47" s="7">
        <v>30.3</v>
      </c>
      <c r="E47" s="2"/>
      <c r="F47" s="6">
        <f t="shared" si="12"/>
        <v>1.6135920903100332E-3</v>
      </c>
      <c r="G47" s="2"/>
      <c r="H47" s="7">
        <v>28.737500000000001</v>
      </c>
      <c r="I47" s="2"/>
      <c r="J47" s="6">
        <f t="shared" si="13"/>
        <v>7.3907620296787804E-4</v>
      </c>
      <c r="K47" s="2"/>
      <c r="L47" s="7">
        <f t="shared" si="14"/>
        <v>1.5625</v>
      </c>
      <c r="M47" s="2"/>
      <c r="N47" s="6">
        <f t="shared" si="15"/>
        <v>5.4371465854719442E-2</v>
      </c>
      <c r="O47" s="11"/>
      <c r="P47" s="7">
        <v>124.54</v>
      </c>
      <c r="Q47" s="2"/>
      <c r="R47" s="6">
        <f t="shared" si="16"/>
        <v>1.408475234517799E-3</v>
      </c>
      <c r="S47" s="2"/>
      <c r="T47" s="7">
        <v>103.455</v>
      </c>
      <c r="U47" s="2"/>
      <c r="V47" s="6">
        <f t="shared" si="17"/>
        <v>5.5998809169395655E-4</v>
      </c>
      <c r="W47" s="2"/>
      <c r="X47" s="7">
        <f t="shared" si="18"/>
        <v>21.085000000000008</v>
      </c>
      <c r="Y47" s="2"/>
      <c r="Z47" s="6">
        <f t="shared" si="19"/>
        <v>0.20380841911942399</v>
      </c>
    </row>
    <row r="48" spans="1:26" s="24" customFormat="1" hidden="1" outlineLevel="2" x14ac:dyDescent="0.25">
      <c r="A48" s="28"/>
      <c r="B48" s="11" t="str">
        <f>CONCATENATE("          ", "6115", " - ", "P.E.R.S.")</f>
        <v xml:space="preserve">          6115 - P.E.R.S.</v>
      </c>
      <c r="C48" s="11"/>
      <c r="D48" s="7">
        <v>253.48</v>
      </c>
      <c r="E48" s="2"/>
      <c r="F48" s="6">
        <f t="shared" si="12"/>
        <v>1.3498789539662943E-2</v>
      </c>
      <c r="G48" s="2"/>
      <c r="H48" s="7">
        <v>251.79807692307702</v>
      </c>
      <c r="I48" s="2"/>
      <c r="J48" s="6">
        <f t="shared" si="13"/>
        <v>6.4757883116806064E-3</v>
      </c>
      <c r="K48" s="2"/>
      <c r="L48" s="7">
        <f t="shared" si="14"/>
        <v>1.6819230769229705</v>
      </c>
      <c r="M48" s="2"/>
      <c r="N48" s="6">
        <f t="shared" si="15"/>
        <v>6.6796502081181066E-3</v>
      </c>
      <c r="O48" s="11"/>
      <c r="P48" s="7">
        <v>1520.9</v>
      </c>
      <c r="Q48" s="2"/>
      <c r="R48" s="6">
        <f t="shared" si="16"/>
        <v>1.7200497704979289E-2</v>
      </c>
      <c r="S48" s="2"/>
      <c r="T48" s="7">
        <v>906.473076923078</v>
      </c>
      <c r="U48" s="2"/>
      <c r="V48" s="6">
        <f t="shared" si="17"/>
        <v>4.906617645528041E-3</v>
      </c>
      <c r="W48" s="2"/>
      <c r="X48" s="7">
        <f t="shared" si="18"/>
        <v>614.42692307692209</v>
      </c>
      <c r="Y48" s="2"/>
      <c r="Z48" s="6">
        <f t="shared" si="19"/>
        <v>0.67782148054802238</v>
      </c>
    </row>
    <row r="49" spans="1:26" s="24" customFormat="1" hidden="1" outlineLevel="2" x14ac:dyDescent="0.25">
      <c r="A49" s="28"/>
      <c r="B49" s="11" t="str">
        <f>CONCATENATE("          ", "6116", " - ", "EDUCATIONAL BENEFITS")</f>
        <v xml:space="preserve">          6116 - EDUCATIONAL BENEFITS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4" customFormat="1" hidden="1" outlineLevel="2" x14ac:dyDescent="0.25">
      <c r="A50" s="28"/>
      <c r="B50" s="11" t="str">
        <f>CONCATENATE("          ", "6118", " - ", "VACATION")</f>
        <v xml:space="preserve">          6118 - VACATION</v>
      </c>
      <c r="C50" s="11"/>
      <c r="D50" s="7">
        <v>748.14</v>
      </c>
      <c r="E50" s="2"/>
      <c r="F50" s="6">
        <f t="shared" si="12"/>
        <v>3.9841346087278816E-2</v>
      </c>
      <c r="G50" s="2"/>
      <c r="H50" s="7">
        <v>146.394230769231</v>
      </c>
      <c r="I50" s="2"/>
      <c r="J50" s="6">
        <f t="shared" si="13"/>
        <v>3.7649932044654735E-3</v>
      </c>
      <c r="K50" s="2"/>
      <c r="L50" s="7">
        <f t="shared" si="14"/>
        <v>601.74576923076893</v>
      </c>
      <c r="M50" s="2"/>
      <c r="N50" s="6">
        <f t="shared" si="15"/>
        <v>4.1104472906403853</v>
      </c>
      <c r="O50" s="11"/>
      <c r="P50" s="7">
        <v>2148.17</v>
      </c>
      <c r="Q50" s="2"/>
      <c r="R50" s="6">
        <f t="shared" si="16"/>
        <v>2.4294557929453189E-2</v>
      </c>
      <c r="S50" s="2"/>
      <c r="T50" s="7">
        <v>527.01923076923197</v>
      </c>
      <c r="U50" s="2"/>
      <c r="V50" s="6">
        <f t="shared" si="17"/>
        <v>2.8526846776325853E-3</v>
      </c>
      <c r="W50" s="2"/>
      <c r="X50" s="7">
        <f t="shared" si="18"/>
        <v>1621.1507692307682</v>
      </c>
      <c r="Y50" s="2"/>
      <c r="Z50" s="6">
        <f t="shared" si="19"/>
        <v>3.0760751687648149</v>
      </c>
    </row>
    <row r="51" spans="1:26" s="24" customFormat="1" hidden="1" outlineLevel="2" x14ac:dyDescent="0.25">
      <c r="A51" s="28"/>
      <c r="B51" s="11" t="str">
        <f>CONCATENATE("          ", "6119", " - ", "SICK LEAVE")</f>
        <v xml:space="preserve">          6119 - SICK LEAVE</v>
      </c>
      <c r="C51" s="11"/>
      <c r="D51" s="7">
        <v>670.05</v>
      </c>
      <c r="E51" s="2"/>
      <c r="F51" s="6">
        <f t="shared" si="12"/>
        <v>3.5682751818885729E-2</v>
      </c>
      <c r="G51" s="2"/>
      <c r="H51" s="7">
        <v>227.644230769231</v>
      </c>
      <c r="I51" s="2"/>
      <c r="J51" s="6">
        <f t="shared" si="13"/>
        <v>5.8545953442180644E-3</v>
      </c>
      <c r="K51" s="2"/>
      <c r="L51" s="7">
        <f t="shared" si="14"/>
        <v>442.40576923076895</v>
      </c>
      <c r="M51" s="2"/>
      <c r="N51" s="6">
        <f t="shared" si="15"/>
        <v>1.9434086589229114</v>
      </c>
      <c r="O51" s="11"/>
      <c r="P51" s="7">
        <v>1786.8</v>
      </c>
      <c r="Q51" s="2"/>
      <c r="R51" s="6">
        <f t="shared" si="16"/>
        <v>2.0207672627560645E-2</v>
      </c>
      <c r="S51" s="2"/>
      <c r="T51" s="7">
        <v>819.51923076923197</v>
      </c>
      <c r="U51" s="2"/>
      <c r="V51" s="6">
        <f t="shared" si="17"/>
        <v>4.4359480947751334E-3</v>
      </c>
      <c r="W51" s="2"/>
      <c r="X51" s="7">
        <f t="shared" si="18"/>
        <v>967.28076923076799</v>
      </c>
      <c r="Y51" s="2"/>
      <c r="Z51" s="6">
        <f t="shared" si="19"/>
        <v>1.1803027103132668</v>
      </c>
    </row>
    <row r="52" spans="1:26" s="24" customFormat="1" hidden="1" outlineLevel="2" x14ac:dyDescent="0.25">
      <c r="A52" s="28"/>
      <c r="B52" s="11" t="str">
        <f>CONCATENATE("          ", "6156", " - ", "EMPLOYEE MEALS")</f>
        <v xml:space="preserve">          6156 - EMPLOYEE MEALS</v>
      </c>
      <c r="C52" s="11"/>
      <c r="D52" s="7">
        <v>224.93</v>
      </c>
      <c r="E52" s="2"/>
      <c r="F52" s="6">
        <f t="shared" si="12"/>
        <v>1.1978391711994579E-2</v>
      </c>
      <c r="G52" s="2"/>
      <c r="H52" s="7">
        <v>175</v>
      </c>
      <c r="I52" s="2"/>
      <c r="J52" s="6">
        <f t="shared" si="13"/>
        <v>4.500681531774812E-3</v>
      </c>
      <c r="K52" s="2"/>
      <c r="L52" s="7">
        <f t="shared" si="14"/>
        <v>49.930000000000007</v>
      </c>
      <c r="M52" s="2"/>
      <c r="N52" s="6">
        <f t="shared" si="15"/>
        <v>0.28531428571428574</v>
      </c>
      <c r="O52" s="11"/>
      <c r="P52" s="7">
        <v>813.53</v>
      </c>
      <c r="Q52" s="2"/>
      <c r="R52" s="6">
        <f t="shared" si="16"/>
        <v>9.2005528949515407E-3</v>
      </c>
      <c r="S52" s="2"/>
      <c r="T52" s="7">
        <v>700</v>
      </c>
      <c r="U52" s="2"/>
      <c r="V52" s="6">
        <f t="shared" si="17"/>
        <v>3.7890064683753283E-3</v>
      </c>
      <c r="W52" s="2"/>
      <c r="X52" s="7">
        <f t="shared" si="18"/>
        <v>113.52999999999997</v>
      </c>
      <c r="Y52" s="2"/>
      <c r="Z52" s="6">
        <f t="shared" si="19"/>
        <v>0.16218571428571424</v>
      </c>
    </row>
    <row r="53" spans="1:26" s="27" customFormat="1" outlineLevel="1" collapsed="1" x14ac:dyDescent="0.25">
      <c r="A53" s="29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8728.8100000000013</v>
      </c>
      <c r="E53" s="1"/>
      <c r="F53" s="5">
        <f t="shared" ref="F53:F63" si="20">IF(D$12=0,0,D53/D$12)</f>
        <v>0.46484286382241324</v>
      </c>
      <c r="G53" s="1"/>
      <c r="H53" s="1">
        <f>SUM(OSRRefH22_1x_0)</f>
        <v>10760.096153846149</v>
      </c>
      <c r="I53" s="1"/>
      <c r="J53" s="5">
        <f t="shared" ref="J53:J63" si="21">IF(H$12=0,0,H53/H$12)</f>
        <v>0.27673009165563739</v>
      </c>
      <c r="K53" s="1"/>
      <c r="L53" s="1">
        <f t="shared" ref="L53:L63" si="22">+D53-H53</f>
        <v>-2031.2861538461475</v>
      </c>
      <c r="M53" s="1"/>
      <c r="N53" s="5">
        <f t="shared" ref="N53:N63" si="23">IF(H53=0,0,L53/H53)</f>
        <v>-0.18877955408605462</v>
      </c>
      <c r="O53" s="14"/>
      <c r="P53" s="1">
        <f>SUM(OSRRefP22_1x_0)</f>
        <v>31663.289999999994</v>
      </c>
      <c r="Q53" s="1"/>
      <c r="R53" s="5">
        <f t="shared" ref="R53:R63" si="24">IF(P$12=0,0,P53/P$12)</f>
        <v>0.35809346240850382</v>
      </c>
      <c r="S53" s="1"/>
      <c r="T53" s="1">
        <f>SUM(OSRRefT22_1x_0)</f>
        <v>38736.346153846142</v>
      </c>
      <c r="U53" s="1"/>
      <c r="V53" s="5">
        <f t="shared" ref="V53:V63" si="25">IF(T$12=0,0,T53/T$12)</f>
        <v>0.20967466591164113</v>
      </c>
      <c r="W53" s="1"/>
      <c r="X53" s="1">
        <f t="shared" ref="X53:X63" si="26">+P53-T53</f>
        <v>-7073.0561538461479</v>
      </c>
      <c r="Y53" s="1"/>
      <c r="Z53" s="5">
        <f t="shared" ref="Z53:Z63" si="27">IF(T53=0,0,X53/T53)</f>
        <v>-0.18259482001102115</v>
      </c>
    </row>
    <row r="54" spans="1:26" s="24" customFormat="1" hidden="1" outlineLevel="2" x14ac:dyDescent="0.25">
      <c r="A54" s="28"/>
      <c r="B54" s="11" t="str">
        <f>CONCATENATE("          ", "6001", " - ", "ADMINISTRATIVE SALARIES")</f>
        <v xml:space="preserve">          6001 - ADMINISTRATIVE SALARIES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8"/>
      <c r="B55" s="11" t="str">
        <f>CONCATENATE("          ", "6002", " - ", "STAFF SALARIES")</f>
        <v xml:space="preserve">          6002 - STAFF SALARIES</v>
      </c>
      <c r="C55" s="11"/>
      <c r="D55" s="7">
        <v>4216.3100000000004</v>
      </c>
      <c r="E55" s="2"/>
      <c r="F55" s="6">
        <f t="shared" si="20"/>
        <v>0.22453480086782496</v>
      </c>
      <c r="G55" s="2"/>
      <c r="H55" s="7">
        <v>2635.0961538461497</v>
      </c>
      <c r="I55" s="2"/>
      <c r="J55" s="6">
        <f t="shared" si="21"/>
        <v>6.7769877680378302E-2</v>
      </c>
      <c r="K55" s="2"/>
      <c r="L55" s="7">
        <f t="shared" si="22"/>
        <v>1581.2138461538507</v>
      </c>
      <c r="M55" s="2"/>
      <c r="N55" s="6">
        <f t="shared" si="23"/>
        <v>0.60005925925926196</v>
      </c>
      <c r="O55" s="11"/>
      <c r="P55" s="7">
        <v>19441.169999999998</v>
      </c>
      <c r="Q55" s="2"/>
      <c r="R55" s="6">
        <f t="shared" si="24"/>
        <v>0.2198683673924072</v>
      </c>
      <c r="S55" s="2"/>
      <c r="T55" s="7">
        <v>9486.3461538461397</v>
      </c>
      <c r="U55" s="2"/>
      <c r="V55" s="6">
        <f t="shared" si="25"/>
        <v>5.1348324197386344E-2</v>
      </c>
      <c r="W55" s="2"/>
      <c r="X55" s="7">
        <f t="shared" si="26"/>
        <v>9954.8238461538585</v>
      </c>
      <c r="Y55" s="2"/>
      <c r="Z55" s="6">
        <f t="shared" si="27"/>
        <v>1.0493844189016632</v>
      </c>
    </row>
    <row r="56" spans="1:26" s="24" customFormat="1" hidden="1" outlineLevel="2" x14ac:dyDescent="0.25">
      <c r="A56" s="28"/>
      <c r="B56" s="11" t="str">
        <f>CONCATENATE("          ", "6003", " - ", "STAFF HOURLY-9 MONTH")</f>
        <v xml:space="preserve">          6003 - STAFF HOURLY-9 MONTH</v>
      </c>
      <c r="C56" s="11"/>
      <c r="D56" s="7"/>
      <c r="E56" s="2"/>
      <c r="F56" s="6">
        <f t="shared" si="20"/>
        <v>0</v>
      </c>
      <c r="G56" s="2"/>
      <c r="H56" s="7">
        <v>0</v>
      </c>
      <c r="I56" s="2"/>
      <c r="J56" s="6">
        <f t="shared" si="21"/>
        <v>0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/>
      <c r="Q56" s="2"/>
      <c r="R56" s="6">
        <f t="shared" si="24"/>
        <v>0</v>
      </c>
      <c r="S56" s="2"/>
      <c r="T56" s="7">
        <v>0</v>
      </c>
      <c r="U56" s="2"/>
      <c r="V56" s="6">
        <f t="shared" si="25"/>
        <v>0</v>
      </c>
      <c r="W56" s="2"/>
      <c r="X56" s="7">
        <f t="shared" si="26"/>
        <v>0</v>
      </c>
      <c r="Y56" s="2"/>
      <c r="Z56" s="6">
        <f t="shared" si="27"/>
        <v>0</v>
      </c>
    </row>
    <row r="57" spans="1:26" s="24" customFormat="1" hidden="1" outlineLevel="2" x14ac:dyDescent="0.25">
      <c r="A57" s="28"/>
      <c r="B57" s="11" t="str">
        <f>CONCATENATE("          ", "6004", " - ", "STAFF HOURLY")</f>
        <v xml:space="preserve">          6004 - STAFF HOURLY</v>
      </c>
      <c r="C57" s="11"/>
      <c r="D57" s="7">
        <v>2219.5</v>
      </c>
      <c r="E57" s="2"/>
      <c r="F57" s="6">
        <f t="shared" si="20"/>
        <v>0.11819695196181909</v>
      </c>
      <c r="G57" s="2"/>
      <c r="H57" s="7">
        <v>1650</v>
      </c>
      <c r="I57" s="2"/>
      <c r="J57" s="6">
        <f t="shared" si="21"/>
        <v>4.2434997299591083E-2</v>
      </c>
      <c r="K57" s="2"/>
      <c r="L57" s="7">
        <f t="shared" si="22"/>
        <v>569.5</v>
      </c>
      <c r="M57" s="2"/>
      <c r="N57" s="6">
        <f t="shared" si="23"/>
        <v>0.34515151515151515</v>
      </c>
      <c r="O57" s="11"/>
      <c r="P57" s="7">
        <v>1850.44</v>
      </c>
      <c r="Q57" s="2"/>
      <c r="R57" s="6">
        <f t="shared" si="24"/>
        <v>2.0927404150964477E-2</v>
      </c>
      <c r="S57" s="2"/>
      <c r="T57" s="7">
        <v>5940</v>
      </c>
      <c r="U57" s="2"/>
      <c r="V57" s="6">
        <f t="shared" si="25"/>
        <v>3.2152426317356354E-2</v>
      </c>
      <c r="W57" s="2"/>
      <c r="X57" s="7">
        <f t="shared" si="26"/>
        <v>-4089.56</v>
      </c>
      <c r="Y57" s="2"/>
      <c r="Z57" s="6">
        <f t="shared" si="27"/>
        <v>-0.68847811447811447</v>
      </c>
    </row>
    <row r="58" spans="1:26" s="24" customFormat="1" hidden="1" outlineLevel="2" x14ac:dyDescent="0.25">
      <c r="A58" s="28"/>
      <c r="B58" s="11" t="str">
        <f>CONCATENATE("          ", "6005", " - ", "TEMPORARY WAGES-HOURLY")</f>
        <v xml:space="preserve">          6005 - TEMPORARY WAGES-HOURLY</v>
      </c>
      <c r="C58" s="11"/>
      <c r="D58" s="7">
        <v>1116.81</v>
      </c>
      <c r="E58" s="2"/>
      <c r="F58" s="6">
        <f t="shared" si="20"/>
        <v>5.9474448263338218E-2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1116.81</v>
      </c>
      <c r="M58" s="2"/>
      <c r="N58" s="6">
        <f t="shared" si="23"/>
        <v>0</v>
      </c>
      <c r="O58" s="11"/>
      <c r="P58" s="7">
        <v>4746.58</v>
      </c>
      <c r="Q58" s="2"/>
      <c r="R58" s="6">
        <f t="shared" si="24"/>
        <v>5.368106936452139E-2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4746.58</v>
      </c>
      <c r="Y58" s="2"/>
      <c r="Z58" s="6">
        <f t="shared" si="27"/>
        <v>0</v>
      </c>
    </row>
    <row r="59" spans="1:26" s="24" customFormat="1" hidden="1" outlineLevel="2" x14ac:dyDescent="0.25">
      <c r="A59" s="28"/>
      <c r="B59" s="11" t="str">
        <f>CONCATENATE("          ", "6006", " - ", "TEMPORARY PART TIME")</f>
        <v xml:space="preserve">          6006 - TEMPORARY PART TIME</v>
      </c>
      <c r="C59" s="11"/>
      <c r="D59" s="7"/>
      <c r="E59" s="2"/>
      <c r="F59" s="6">
        <f t="shared" si="20"/>
        <v>0</v>
      </c>
      <c r="G59" s="2"/>
      <c r="H59" s="7">
        <v>0</v>
      </c>
      <c r="I59" s="2"/>
      <c r="J59" s="6">
        <f t="shared" si="21"/>
        <v>0</v>
      </c>
      <c r="K59" s="2"/>
      <c r="L59" s="7">
        <f t="shared" si="22"/>
        <v>0</v>
      </c>
      <c r="M59" s="2"/>
      <c r="N59" s="6">
        <f t="shared" si="23"/>
        <v>0</v>
      </c>
      <c r="O59" s="11"/>
      <c r="P59" s="7"/>
      <c r="Q59" s="2"/>
      <c r="R59" s="6">
        <f t="shared" si="24"/>
        <v>0</v>
      </c>
      <c r="S59" s="2"/>
      <c r="T59" s="7">
        <v>0</v>
      </c>
      <c r="U59" s="2"/>
      <c r="V59" s="6">
        <f t="shared" si="25"/>
        <v>0</v>
      </c>
      <c r="W59" s="2"/>
      <c r="X59" s="7">
        <f t="shared" si="26"/>
        <v>0</v>
      </c>
      <c r="Y59" s="2"/>
      <c r="Z59" s="6">
        <f t="shared" si="27"/>
        <v>0</v>
      </c>
    </row>
    <row r="60" spans="1:26" s="24" customFormat="1" hidden="1" outlineLevel="2" x14ac:dyDescent="0.25">
      <c r="A60" s="28"/>
      <c r="B60" s="11" t="str">
        <f>CONCATENATE("          ", "6007", " - ", "STUDENT HOURLY")</f>
        <v xml:space="preserve">          6007 - STUDENT HOURLY</v>
      </c>
      <c r="C60" s="11"/>
      <c r="D60" s="7">
        <v>646.44000000000005</v>
      </c>
      <c r="E60" s="2"/>
      <c r="F60" s="6">
        <f t="shared" si="20"/>
        <v>3.442542808118871E-2</v>
      </c>
      <c r="G60" s="2"/>
      <c r="H60" s="7">
        <v>0</v>
      </c>
      <c r="I60" s="2"/>
      <c r="J60" s="6">
        <f t="shared" si="21"/>
        <v>0</v>
      </c>
      <c r="K60" s="2"/>
      <c r="L60" s="7">
        <f t="shared" si="22"/>
        <v>646.44000000000005</v>
      </c>
      <c r="M60" s="2"/>
      <c r="N60" s="6">
        <f t="shared" si="23"/>
        <v>0</v>
      </c>
      <c r="O60" s="11"/>
      <c r="P60" s="7">
        <v>4630.21</v>
      </c>
      <c r="Q60" s="2"/>
      <c r="R60" s="6">
        <f t="shared" si="24"/>
        <v>5.2364992095845976E-2</v>
      </c>
      <c r="S60" s="2"/>
      <c r="T60" s="7">
        <v>11655</v>
      </c>
      <c r="U60" s="2"/>
      <c r="V60" s="6">
        <f t="shared" si="25"/>
        <v>6.3086957698449214E-2</v>
      </c>
      <c r="W60" s="2"/>
      <c r="X60" s="7">
        <f t="shared" si="26"/>
        <v>-7024.79</v>
      </c>
      <c r="Y60" s="2"/>
      <c r="Z60" s="6">
        <f t="shared" si="27"/>
        <v>-0.6027275847275847</v>
      </c>
    </row>
    <row r="61" spans="1:26" s="24" customFormat="1" hidden="1" outlineLevel="2" x14ac:dyDescent="0.25">
      <c r="A61" s="28"/>
      <c r="B61" s="11" t="str">
        <f>CONCATENATE("          ", "6008", " - ", "STUDENT HOURLY-FICA EXEMPT")</f>
        <v xml:space="preserve">          6008 - STUDENT HOURLY-FICA EXEMPT</v>
      </c>
      <c r="C61" s="11"/>
      <c r="D61" s="7">
        <v>529.75</v>
      </c>
      <c r="E61" s="2"/>
      <c r="F61" s="6">
        <f t="shared" si="20"/>
        <v>2.8211234648242246E-2</v>
      </c>
      <c r="G61" s="2"/>
      <c r="H61" s="7">
        <v>6475</v>
      </c>
      <c r="I61" s="2"/>
      <c r="J61" s="6">
        <f t="shared" si="21"/>
        <v>0.16652521667566803</v>
      </c>
      <c r="K61" s="2"/>
      <c r="L61" s="7">
        <f t="shared" si="22"/>
        <v>-5945.25</v>
      </c>
      <c r="M61" s="2"/>
      <c r="N61" s="6">
        <f t="shared" si="23"/>
        <v>-0.91818532818532816</v>
      </c>
      <c r="O61" s="11"/>
      <c r="P61" s="7">
        <v>994.89</v>
      </c>
      <c r="Q61" s="2"/>
      <c r="R61" s="6">
        <f t="shared" si="24"/>
        <v>1.1251629404764837E-2</v>
      </c>
      <c r="S61" s="2"/>
      <c r="T61" s="7">
        <v>11655</v>
      </c>
      <c r="U61" s="2"/>
      <c r="V61" s="6">
        <f t="shared" si="25"/>
        <v>6.3086957698449214E-2</v>
      </c>
      <c r="W61" s="2"/>
      <c r="X61" s="7">
        <f t="shared" si="26"/>
        <v>-10660.11</v>
      </c>
      <c r="Y61" s="2"/>
      <c r="Z61" s="6">
        <f t="shared" si="27"/>
        <v>-0.91463835263835269</v>
      </c>
    </row>
    <row r="62" spans="1:26" s="24" customFormat="1" hidden="1" outlineLevel="2" x14ac:dyDescent="0.25">
      <c r="A62" s="28"/>
      <c r="B62" s="11" t="str">
        <f>CONCATENATE("          ", "6009", " - ", "TEMPORARY-SEASONAL")</f>
        <v xml:space="preserve">          6009 - TEMPORARY-SEASONAL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25">
      <c r="A63" s="28"/>
      <c r="B63" s="11" t="str">
        <f>CONCATENATE("          ", "6010", " - ", "GRATUITY")</f>
        <v xml:space="preserve">          6010 - GRATUITY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7" customFormat="1" outlineLevel="1" collapsed="1" x14ac:dyDescent="0.25">
      <c r="A64" s="29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936</v>
      </c>
      <c r="E64" s="1"/>
      <c r="F64" s="5">
        <f t="shared" ref="F64:F78" si="28">IF(D$12=0,0,D64/D$12)</f>
        <v>4.9845617047201023E-2</v>
      </c>
      <c r="G64" s="1"/>
      <c r="H64" s="1">
        <f>SUM(OSRRefH22_2x_0)</f>
        <v>50</v>
      </c>
      <c r="I64" s="1"/>
      <c r="J64" s="5">
        <f t="shared" ref="J64:J78" si="29">IF(H$12=0,0,H64/H$12)</f>
        <v>1.2859090090785177E-3</v>
      </c>
      <c r="K64" s="1"/>
      <c r="L64" s="1">
        <f t="shared" ref="L64:L78" si="30">+D64-H64</f>
        <v>886</v>
      </c>
      <c r="M64" s="1"/>
      <c r="N64" s="5">
        <f t="shared" ref="N64:N78" si="31">IF(H64=0,0,L64/H64)</f>
        <v>17.72</v>
      </c>
      <c r="O64" s="14"/>
      <c r="P64" s="1">
        <f>SUM(OSRRefP22_2x_0)</f>
        <v>936</v>
      </c>
      <c r="Q64" s="1"/>
      <c r="R64" s="5">
        <f t="shared" ref="R64:R78" si="32">IF(P$12=0,0,P64/P$12)</f>
        <v>1.0585617628943791E-2</v>
      </c>
      <c r="S64" s="1"/>
      <c r="T64" s="1">
        <f>SUM(OSRRefT22_2x_0)</f>
        <v>200</v>
      </c>
      <c r="U64" s="1"/>
      <c r="V64" s="5">
        <f t="shared" ref="V64:V78" si="33">IF(T$12=0,0,T64/T$12)</f>
        <v>1.0825732766786651E-3</v>
      </c>
      <c r="W64" s="1"/>
      <c r="X64" s="1">
        <f t="shared" ref="X64:X78" si="34">+P64-T64</f>
        <v>736</v>
      </c>
      <c r="Y64" s="1"/>
      <c r="Z64" s="5">
        <f t="shared" ref="Z64:Z78" si="35">IF(T64=0,0,X64/T64)</f>
        <v>3.68</v>
      </c>
    </row>
    <row r="65" spans="1:26" s="24" customFormat="1" hidden="1" outlineLevel="2" x14ac:dyDescent="0.25">
      <c r="A65" s="28"/>
      <c r="B65" s="11" t="str">
        <f>CONCATENATE("          ", "6362", " - ", "ADVERTISING EXPENSE")</f>
        <v xml:space="preserve">          6362 - ADVERTISING EXPENSE</v>
      </c>
      <c r="C65" s="11"/>
      <c r="D65" s="7">
        <v>936</v>
      </c>
      <c r="E65" s="2"/>
      <c r="F65" s="6">
        <f t="shared" si="28"/>
        <v>4.9845617047201023E-2</v>
      </c>
      <c r="G65" s="2"/>
      <c r="H65" s="7">
        <v>50</v>
      </c>
      <c r="I65" s="2"/>
      <c r="J65" s="6">
        <f t="shared" si="29"/>
        <v>1.2859090090785177E-3</v>
      </c>
      <c r="K65" s="2"/>
      <c r="L65" s="7">
        <f t="shared" si="30"/>
        <v>886</v>
      </c>
      <c r="M65" s="2"/>
      <c r="N65" s="6">
        <f t="shared" si="31"/>
        <v>17.72</v>
      </c>
      <c r="O65" s="11"/>
      <c r="P65" s="7">
        <v>936</v>
      </c>
      <c r="Q65" s="2"/>
      <c r="R65" s="6">
        <f t="shared" si="32"/>
        <v>1.0585617628943791E-2</v>
      </c>
      <c r="S65" s="2"/>
      <c r="T65" s="7">
        <v>200</v>
      </c>
      <c r="U65" s="2"/>
      <c r="V65" s="6">
        <f t="shared" si="33"/>
        <v>1.0825732766786651E-3</v>
      </c>
      <c r="W65" s="2"/>
      <c r="X65" s="7">
        <f t="shared" si="34"/>
        <v>736</v>
      </c>
      <c r="Y65" s="2"/>
      <c r="Z65" s="6">
        <f t="shared" si="35"/>
        <v>3.68</v>
      </c>
    </row>
    <row r="66" spans="1:26" s="27" customFormat="1" outlineLevel="1" collapsed="1" x14ac:dyDescent="0.25">
      <c r="A66" s="29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SUM(OSRRefD22_3x_0)</f>
        <v>-1.23</v>
      </c>
      <c r="E66" s="1"/>
      <c r="F66" s="5">
        <f t="shared" si="28"/>
        <v>-6.5502253171001345E-5</v>
      </c>
      <c r="G66" s="1"/>
      <c r="H66" s="1">
        <f>SUM(OSRRefH22_3x_0)</f>
        <v>10</v>
      </c>
      <c r="I66" s="1"/>
      <c r="J66" s="5">
        <f t="shared" si="29"/>
        <v>2.571818018157035E-4</v>
      </c>
      <c r="K66" s="1"/>
      <c r="L66" s="1">
        <f t="shared" si="30"/>
        <v>-11.23</v>
      </c>
      <c r="M66" s="1"/>
      <c r="N66" s="5">
        <f t="shared" si="31"/>
        <v>-1.123</v>
      </c>
      <c r="O66" s="14"/>
      <c r="P66" s="1">
        <f>SUM(OSRRefP22_3x_0)</f>
        <v>-0.53</v>
      </c>
      <c r="Q66" s="1"/>
      <c r="R66" s="5">
        <f t="shared" si="32"/>
        <v>-5.9939928881839842E-6</v>
      </c>
      <c r="S66" s="1"/>
      <c r="T66" s="1">
        <f>SUM(OSRRefT22_3x_0)</f>
        <v>40</v>
      </c>
      <c r="U66" s="1"/>
      <c r="V66" s="5">
        <f t="shared" si="33"/>
        <v>2.1651465533573303E-4</v>
      </c>
      <c r="W66" s="1"/>
      <c r="X66" s="1">
        <f t="shared" si="34"/>
        <v>-40.53</v>
      </c>
      <c r="Y66" s="1"/>
      <c r="Z66" s="5">
        <f t="shared" si="35"/>
        <v>-1.01325</v>
      </c>
    </row>
    <row r="67" spans="1:26" s="24" customFormat="1" hidden="1" outlineLevel="2" x14ac:dyDescent="0.25">
      <c r="A67" s="28"/>
      <c r="B67" s="11" t="str">
        <f>CONCATENATE("          ", "6272", " - ", "CASH (OVER/SHORT)")</f>
        <v xml:space="preserve">          6272 - CASH (OVER/SHORT)</v>
      </c>
      <c r="C67" s="11"/>
      <c r="D67" s="7">
        <v>-1.23</v>
      </c>
      <c r="E67" s="2"/>
      <c r="F67" s="6">
        <f t="shared" si="28"/>
        <v>-6.5502253171001345E-5</v>
      </c>
      <c r="G67" s="2"/>
      <c r="H67" s="7">
        <v>10</v>
      </c>
      <c r="I67" s="2"/>
      <c r="J67" s="6">
        <f t="shared" si="29"/>
        <v>2.571818018157035E-4</v>
      </c>
      <c r="K67" s="2"/>
      <c r="L67" s="7">
        <f t="shared" si="30"/>
        <v>-11.23</v>
      </c>
      <c r="M67" s="2"/>
      <c r="N67" s="6">
        <f t="shared" si="31"/>
        <v>-1.123</v>
      </c>
      <c r="O67" s="11"/>
      <c r="P67" s="7">
        <v>-0.53</v>
      </c>
      <c r="Q67" s="2"/>
      <c r="R67" s="6">
        <f t="shared" si="32"/>
        <v>-5.9939928881839842E-6</v>
      </c>
      <c r="S67" s="2"/>
      <c r="T67" s="7">
        <v>40</v>
      </c>
      <c r="U67" s="2"/>
      <c r="V67" s="6">
        <f t="shared" si="33"/>
        <v>2.1651465533573303E-4</v>
      </c>
      <c r="W67" s="2"/>
      <c r="X67" s="7">
        <f t="shared" si="34"/>
        <v>-40.53</v>
      </c>
      <c r="Y67" s="2"/>
      <c r="Z67" s="6">
        <f t="shared" si="35"/>
        <v>-1.01325</v>
      </c>
    </row>
    <row r="68" spans="1:26" s="27" customFormat="1" outlineLevel="1" collapsed="1" x14ac:dyDescent="0.25">
      <c r="A68" s="29"/>
      <c r="B68" s="14" t="str">
        <f>CONCATENATE("     ","Bank/card Fees                                    ")</f>
        <v xml:space="preserve">     Bank/card Fees                                    </v>
      </c>
      <c r="C68" s="14"/>
      <c r="D68" s="1">
        <f>SUM(OSRRefD22_4x_0)</f>
        <v>291.5</v>
      </c>
      <c r="E68" s="1"/>
      <c r="F68" s="5">
        <f t="shared" si="28"/>
        <v>1.5523501462883652E-2</v>
      </c>
      <c r="G68" s="1"/>
      <c r="H68" s="1">
        <f>SUM(OSRRefH22_4x_0)</f>
        <v>550</v>
      </c>
      <c r="I68" s="1"/>
      <c r="J68" s="5">
        <f t="shared" si="29"/>
        <v>1.4144999099863694E-2</v>
      </c>
      <c r="K68" s="1"/>
      <c r="L68" s="1">
        <f t="shared" si="30"/>
        <v>-258.5</v>
      </c>
      <c r="M68" s="1"/>
      <c r="N68" s="5">
        <f t="shared" si="31"/>
        <v>-0.47</v>
      </c>
      <c r="O68" s="14"/>
      <c r="P68" s="1">
        <f>SUM(OSRRefP22_4x_0)</f>
        <v>1357.67</v>
      </c>
      <c r="Q68" s="1"/>
      <c r="R68" s="5">
        <f t="shared" si="32"/>
        <v>1.5354460989624057E-2</v>
      </c>
      <c r="S68" s="1"/>
      <c r="T68" s="1">
        <f>SUM(OSRRefT22_4x_0)</f>
        <v>2246</v>
      </c>
      <c r="U68" s="1"/>
      <c r="V68" s="5">
        <f t="shared" si="33"/>
        <v>1.215729789710141E-2</v>
      </c>
      <c r="W68" s="1"/>
      <c r="X68" s="1">
        <f t="shared" si="34"/>
        <v>-888.32999999999993</v>
      </c>
      <c r="Y68" s="1"/>
      <c r="Z68" s="5">
        <f t="shared" si="35"/>
        <v>-0.39551647373107746</v>
      </c>
    </row>
    <row r="69" spans="1:26" s="24" customFormat="1" hidden="1" outlineLevel="2" x14ac:dyDescent="0.25">
      <c r="A69" s="28"/>
      <c r="B69" s="11" t="str">
        <f>CONCATENATE("          ", "6381", " - ", "BANK/CREDIT CARD FEES")</f>
        <v xml:space="preserve">          6381 - BANK/CREDIT CARD FEES</v>
      </c>
      <c r="C69" s="11"/>
      <c r="D69" s="7">
        <v>291.5</v>
      </c>
      <c r="E69" s="2"/>
      <c r="F69" s="6">
        <f t="shared" si="28"/>
        <v>1.5523501462883652E-2</v>
      </c>
      <c r="G69" s="2"/>
      <c r="H69" s="7">
        <v>550</v>
      </c>
      <c r="I69" s="2"/>
      <c r="J69" s="6">
        <f t="shared" si="29"/>
        <v>1.4144999099863694E-2</v>
      </c>
      <c r="K69" s="2"/>
      <c r="L69" s="7">
        <f t="shared" si="30"/>
        <v>-258.5</v>
      </c>
      <c r="M69" s="2"/>
      <c r="N69" s="6">
        <f t="shared" si="31"/>
        <v>-0.47</v>
      </c>
      <c r="O69" s="11"/>
      <c r="P69" s="7">
        <v>1357.67</v>
      </c>
      <c r="Q69" s="2"/>
      <c r="R69" s="6">
        <f t="shared" si="32"/>
        <v>1.5354460989624057E-2</v>
      </c>
      <c r="S69" s="2"/>
      <c r="T69" s="7">
        <v>2246</v>
      </c>
      <c r="U69" s="2"/>
      <c r="V69" s="6">
        <f t="shared" si="33"/>
        <v>1.215729789710141E-2</v>
      </c>
      <c r="W69" s="2"/>
      <c r="X69" s="7">
        <f t="shared" si="34"/>
        <v>-888.32999999999993</v>
      </c>
      <c r="Y69" s="2"/>
      <c r="Z69" s="6">
        <f t="shared" si="35"/>
        <v>-0.39551647373107746</v>
      </c>
    </row>
    <row r="70" spans="1:26" s="27" customFormat="1" outlineLevel="1" collapsed="1" x14ac:dyDescent="0.25">
      <c r="A70" s="29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SUM(OSRRefD22_5x_0)</f>
        <v>-830.95</v>
      </c>
      <c r="E70" s="1"/>
      <c r="F70" s="5">
        <f t="shared" si="28"/>
        <v>-4.4251298595482574E-2</v>
      </c>
      <c r="G70" s="1"/>
      <c r="H70" s="1">
        <f>SUM(OSRRefH22_5x_0)</f>
        <v>3888</v>
      </c>
      <c r="I70" s="1"/>
      <c r="J70" s="5">
        <f t="shared" si="29"/>
        <v>9.9992284545945526E-2</v>
      </c>
      <c r="K70" s="1"/>
      <c r="L70" s="1">
        <f t="shared" si="30"/>
        <v>-4718.95</v>
      </c>
      <c r="M70" s="1"/>
      <c r="N70" s="5">
        <f t="shared" si="31"/>
        <v>-1.21372170781893</v>
      </c>
      <c r="O70" s="14"/>
      <c r="P70" s="1">
        <f>SUM(OSRRefP22_5x_0)</f>
        <v>0</v>
      </c>
      <c r="Q70" s="1"/>
      <c r="R70" s="5">
        <f t="shared" si="32"/>
        <v>0</v>
      </c>
      <c r="S70" s="1"/>
      <c r="T70" s="1">
        <f>SUM(OSRRefT22_5x_0)</f>
        <v>18475</v>
      </c>
      <c r="U70" s="1"/>
      <c r="V70" s="5">
        <f t="shared" si="33"/>
        <v>0.1000027064331917</v>
      </c>
      <c r="W70" s="1"/>
      <c r="X70" s="1">
        <f t="shared" si="34"/>
        <v>-18475</v>
      </c>
      <c r="Y70" s="1"/>
      <c r="Z70" s="5">
        <f t="shared" si="35"/>
        <v>-1</v>
      </c>
    </row>
    <row r="71" spans="1:26" s="24" customFormat="1" hidden="1" outlineLevel="2" x14ac:dyDescent="0.25">
      <c r="A71" s="28"/>
      <c r="B71" s="11" t="str">
        <f>CONCATENATE("          ", "6382", " - ", "DISCOUNTS/MARK DOWNS")</f>
        <v xml:space="preserve">          6382 - DISCOUNTS/MARK DOWNS</v>
      </c>
      <c r="C71" s="11"/>
      <c r="D71" s="7">
        <v>-830.95</v>
      </c>
      <c r="E71" s="2"/>
      <c r="F71" s="6">
        <f t="shared" si="28"/>
        <v>-4.4251298595482574E-2</v>
      </c>
      <c r="G71" s="2"/>
      <c r="H71" s="7">
        <v>3888</v>
      </c>
      <c r="I71" s="2"/>
      <c r="J71" s="6">
        <f t="shared" si="29"/>
        <v>9.9992284545945526E-2</v>
      </c>
      <c r="K71" s="2"/>
      <c r="L71" s="7">
        <f t="shared" si="30"/>
        <v>-4718.95</v>
      </c>
      <c r="M71" s="2"/>
      <c r="N71" s="6">
        <f t="shared" si="31"/>
        <v>-1.21372170781893</v>
      </c>
      <c r="O71" s="11"/>
      <c r="P71" s="7">
        <v>0</v>
      </c>
      <c r="Q71" s="2"/>
      <c r="R71" s="6">
        <f t="shared" si="32"/>
        <v>0</v>
      </c>
      <c r="S71" s="2"/>
      <c r="T71" s="7">
        <v>18475</v>
      </c>
      <c r="U71" s="2"/>
      <c r="V71" s="6">
        <f t="shared" si="33"/>
        <v>0.1000027064331917</v>
      </c>
      <c r="W71" s="2"/>
      <c r="X71" s="7">
        <f t="shared" si="34"/>
        <v>-18475</v>
      </c>
      <c r="Y71" s="2"/>
      <c r="Z71" s="6">
        <f t="shared" si="35"/>
        <v>-1</v>
      </c>
    </row>
    <row r="72" spans="1:26" s="27" customFormat="1" outlineLevel="1" collapsed="1" x14ac:dyDescent="0.25">
      <c r="A72" s="29"/>
      <c r="B72" s="14" t="str">
        <f>CONCATENATE("     ","Donations                                         ")</f>
        <v xml:space="preserve">     Donations                                         </v>
      </c>
      <c r="C72" s="14"/>
      <c r="D72" s="1">
        <f>SUM(OSRRefD22_6x_0)</f>
        <v>0</v>
      </c>
      <c r="E72" s="1"/>
      <c r="F72" s="5">
        <f t="shared" si="28"/>
        <v>0</v>
      </c>
      <c r="G72" s="1"/>
      <c r="H72" s="1">
        <f>SUM(OSRRefH22_6x_0)</f>
        <v>0</v>
      </c>
      <c r="I72" s="1"/>
      <c r="J72" s="5">
        <f t="shared" si="29"/>
        <v>0</v>
      </c>
      <c r="K72" s="1"/>
      <c r="L72" s="1">
        <f t="shared" si="30"/>
        <v>0</v>
      </c>
      <c r="M72" s="1"/>
      <c r="N72" s="5">
        <f t="shared" si="31"/>
        <v>0</v>
      </c>
      <c r="O72" s="14"/>
      <c r="P72" s="1">
        <f>SUM(OSRRefP22_6x_0)</f>
        <v>0</v>
      </c>
      <c r="Q72" s="1"/>
      <c r="R72" s="5">
        <f t="shared" si="32"/>
        <v>0</v>
      </c>
      <c r="S72" s="1"/>
      <c r="T72" s="1">
        <f>SUM(OSRRefT22_6x_0)</f>
        <v>0</v>
      </c>
      <c r="U72" s="1"/>
      <c r="V72" s="5">
        <f t="shared" si="33"/>
        <v>0</v>
      </c>
      <c r="W72" s="1"/>
      <c r="X72" s="1">
        <f t="shared" si="34"/>
        <v>0</v>
      </c>
      <c r="Y72" s="1"/>
      <c r="Z72" s="5">
        <f t="shared" si="35"/>
        <v>0</v>
      </c>
    </row>
    <row r="73" spans="1:26" s="24" customFormat="1" hidden="1" outlineLevel="2" x14ac:dyDescent="0.25">
      <c r="A73" s="28"/>
      <c r="B73" s="11" t="str">
        <f>CONCATENATE("          ", "6395", " - ", "DONATION-OFF CAMPUS")</f>
        <v xml:space="preserve">          6395 - DONATION-OFF CAMPUS</v>
      </c>
      <c r="C73" s="11"/>
      <c r="D73" s="7"/>
      <c r="E73" s="2"/>
      <c r="F73" s="6">
        <f t="shared" si="28"/>
        <v>0</v>
      </c>
      <c r="G73" s="2"/>
      <c r="H73" s="7"/>
      <c r="I73" s="2"/>
      <c r="J73" s="6">
        <f t="shared" si="29"/>
        <v>0</v>
      </c>
      <c r="K73" s="2"/>
      <c r="L73" s="7">
        <f t="shared" si="30"/>
        <v>0</v>
      </c>
      <c r="M73" s="2"/>
      <c r="N73" s="6">
        <f t="shared" si="31"/>
        <v>0</v>
      </c>
      <c r="O73" s="11"/>
      <c r="P73" s="7"/>
      <c r="Q73" s="2"/>
      <c r="R73" s="6">
        <f t="shared" si="32"/>
        <v>0</v>
      </c>
      <c r="S73" s="2"/>
      <c r="T73" s="7">
        <v>0</v>
      </c>
      <c r="U73" s="2"/>
      <c r="V73" s="6">
        <f t="shared" si="33"/>
        <v>0</v>
      </c>
      <c r="W73" s="2"/>
      <c r="X73" s="7">
        <f t="shared" si="34"/>
        <v>0</v>
      </c>
      <c r="Y73" s="2"/>
      <c r="Z73" s="6">
        <f t="shared" si="35"/>
        <v>0</v>
      </c>
    </row>
    <row r="74" spans="1:26" s="27" customFormat="1" outlineLevel="1" collapsed="1" x14ac:dyDescent="0.25">
      <c r="A74" s="29"/>
      <c r="B74" s="14" t="str">
        <f>CONCATENATE("     ","Employees' Appreciation                           ")</f>
        <v xml:space="preserve">     Employees' Appreciation                           </v>
      </c>
      <c r="C74" s="14"/>
      <c r="D74" s="1">
        <f>SUM(OSRRefD22_7x_0)</f>
        <v>0</v>
      </c>
      <c r="E74" s="1"/>
      <c r="F74" s="5">
        <f t="shared" si="28"/>
        <v>0</v>
      </c>
      <c r="G74" s="1"/>
      <c r="H74" s="1">
        <f>SUM(OSRRefH22_7x_0)</f>
        <v>50</v>
      </c>
      <c r="I74" s="1"/>
      <c r="J74" s="5">
        <f t="shared" si="29"/>
        <v>1.2859090090785177E-3</v>
      </c>
      <c r="K74" s="1"/>
      <c r="L74" s="1">
        <f t="shared" si="30"/>
        <v>-50</v>
      </c>
      <c r="M74" s="1"/>
      <c r="N74" s="5">
        <f t="shared" si="31"/>
        <v>-1</v>
      </c>
      <c r="O74" s="14"/>
      <c r="P74" s="1">
        <f>SUM(OSRRefP22_7x_0)</f>
        <v>0</v>
      </c>
      <c r="Q74" s="1"/>
      <c r="R74" s="5">
        <f t="shared" si="32"/>
        <v>0</v>
      </c>
      <c r="S74" s="1"/>
      <c r="T74" s="1">
        <f>SUM(OSRRefT22_7x_0)</f>
        <v>200</v>
      </c>
      <c r="U74" s="1"/>
      <c r="V74" s="5">
        <f t="shared" si="33"/>
        <v>1.0825732766786651E-3</v>
      </c>
      <c r="W74" s="1"/>
      <c r="X74" s="1">
        <f t="shared" si="34"/>
        <v>-200</v>
      </c>
      <c r="Y74" s="1"/>
      <c r="Z74" s="5">
        <f t="shared" si="35"/>
        <v>-1</v>
      </c>
    </row>
    <row r="75" spans="1:26" s="24" customFormat="1" hidden="1" outlineLevel="2" x14ac:dyDescent="0.25">
      <c r="A75" s="28"/>
      <c r="B75" s="11" t="str">
        <f>CONCATENATE("          ", "6277", " - ", "EMPLOYEE APPRECIATION")</f>
        <v xml:space="preserve">          6277 - EMPLOYEE APPRECIATION</v>
      </c>
      <c r="C75" s="11"/>
      <c r="D75" s="7"/>
      <c r="E75" s="2"/>
      <c r="F75" s="6">
        <f t="shared" si="28"/>
        <v>0</v>
      </c>
      <c r="G75" s="2"/>
      <c r="H75" s="7">
        <v>50</v>
      </c>
      <c r="I75" s="2"/>
      <c r="J75" s="6">
        <f t="shared" si="29"/>
        <v>1.2859090090785177E-3</v>
      </c>
      <c r="K75" s="2"/>
      <c r="L75" s="7">
        <f t="shared" si="30"/>
        <v>-50</v>
      </c>
      <c r="M75" s="2"/>
      <c r="N75" s="6">
        <f t="shared" si="31"/>
        <v>-1</v>
      </c>
      <c r="O75" s="11"/>
      <c r="P75" s="7"/>
      <c r="Q75" s="2"/>
      <c r="R75" s="6">
        <f t="shared" si="32"/>
        <v>0</v>
      </c>
      <c r="S75" s="2"/>
      <c r="T75" s="7">
        <v>200</v>
      </c>
      <c r="U75" s="2"/>
      <c r="V75" s="6">
        <f t="shared" si="33"/>
        <v>1.0825732766786651E-3</v>
      </c>
      <c r="W75" s="2"/>
      <c r="X75" s="7">
        <f t="shared" si="34"/>
        <v>-200</v>
      </c>
      <c r="Y75" s="2"/>
      <c r="Z75" s="6">
        <f t="shared" si="35"/>
        <v>-1</v>
      </c>
    </row>
    <row r="76" spans="1:26" s="27" customFormat="1" outlineLevel="1" collapsed="1" x14ac:dyDescent="0.25">
      <c r="A76" s="29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SUM(OSRRefD22_8x_0)</f>
        <v>0</v>
      </c>
      <c r="E76" s="1"/>
      <c r="F76" s="5">
        <f t="shared" si="28"/>
        <v>0</v>
      </c>
      <c r="G76" s="1"/>
      <c r="H76" s="1">
        <f>SUM(OSRRefH22_8x_0)</f>
        <v>50</v>
      </c>
      <c r="I76" s="1"/>
      <c r="J76" s="5">
        <f t="shared" si="29"/>
        <v>1.2859090090785177E-3</v>
      </c>
      <c r="K76" s="1"/>
      <c r="L76" s="1">
        <f t="shared" si="30"/>
        <v>-50</v>
      </c>
      <c r="M76" s="1"/>
      <c r="N76" s="5">
        <f t="shared" si="31"/>
        <v>-1</v>
      </c>
      <c r="O76" s="14"/>
      <c r="P76" s="1">
        <f>SUM(OSRRefP22_8x_0)</f>
        <v>0</v>
      </c>
      <c r="Q76" s="1"/>
      <c r="R76" s="5">
        <f t="shared" si="32"/>
        <v>0</v>
      </c>
      <c r="S76" s="1"/>
      <c r="T76" s="1">
        <f>SUM(OSRRefT22_8x_0)</f>
        <v>200</v>
      </c>
      <c r="U76" s="1"/>
      <c r="V76" s="5">
        <f t="shared" si="33"/>
        <v>1.0825732766786651E-3</v>
      </c>
      <c r="W76" s="1"/>
      <c r="X76" s="1">
        <f t="shared" si="34"/>
        <v>-200</v>
      </c>
      <c r="Y76" s="1"/>
      <c r="Z76" s="5">
        <f t="shared" si="35"/>
        <v>-1</v>
      </c>
    </row>
    <row r="77" spans="1:26" s="24" customFormat="1" hidden="1" outlineLevel="2" x14ac:dyDescent="0.25">
      <c r="A77" s="28"/>
      <c r="B77" s="11" t="str">
        <f>CONCATENATE("          ", "6276", " - ", "PROPERTY TAX")</f>
        <v xml:space="preserve">          6276 - PROPERTY TAX</v>
      </c>
      <c r="C77" s="11"/>
      <c r="D77" s="7"/>
      <c r="E77" s="2"/>
      <c r="F77" s="6">
        <f t="shared" si="28"/>
        <v>0</v>
      </c>
      <c r="G77" s="2"/>
      <c r="H77" s="7"/>
      <c r="I77" s="2"/>
      <c r="J77" s="6">
        <f t="shared" si="29"/>
        <v>0</v>
      </c>
      <c r="K77" s="2"/>
      <c r="L77" s="7">
        <f t="shared" si="30"/>
        <v>0</v>
      </c>
      <c r="M77" s="2"/>
      <c r="N77" s="6">
        <f t="shared" si="31"/>
        <v>0</v>
      </c>
      <c r="O77" s="11"/>
      <c r="P77" s="7"/>
      <c r="Q77" s="2"/>
      <c r="R77" s="6">
        <f t="shared" si="32"/>
        <v>0</v>
      </c>
      <c r="S77" s="2"/>
      <c r="T77" s="7">
        <v>150</v>
      </c>
      <c r="U77" s="2"/>
      <c r="V77" s="6">
        <f t="shared" si="33"/>
        <v>8.1192995750899893E-4</v>
      </c>
      <c r="W77" s="2"/>
      <c r="X77" s="7">
        <f t="shared" si="34"/>
        <v>-150</v>
      </c>
      <c r="Y77" s="2"/>
      <c r="Z77" s="6">
        <f t="shared" si="35"/>
        <v>-1</v>
      </c>
    </row>
    <row r="78" spans="1:26" s="24" customFormat="1" hidden="1" outlineLevel="2" x14ac:dyDescent="0.25">
      <c r="A78" s="28"/>
      <c r="B78" s="11" t="str">
        <f>CONCATENATE("          ", "6279", " - ", "GENERAL EXPENSE")</f>
        <v xml:space="preserve">          6279 - GENERAL EXPENSE</v>
      </c>
      <c r="C78" s="11"/>
      <c r="D78" s="7"/>
      <c r="E78" s="2"/>
      <c r="F78" s="6">
        <f t="shared" si="28"/>
        <v>0</v>
      </c>
      <c r="G78" s="2"/>
      <c r="H78" s="7">
        <v>50</v>
      </c>
      <c r="I78" s="2"/>
      <c r="J78" s="6">
        <f t="shared" si="29"/>
        <v>1.2859090090785177E-3</v>
      </c>
      <c r="K78" s="2"/>
      <c r="L78" s="7">
        <f t="shared" si="30"/>
        <v>-50</v>
      </c>
      <c r="M78" s="2"/>
      <c r="N78" s="6">
        <f t="shared" si="31"/>
        <v>-1</v>
      </c>
      <c r="O78" s="11"/>
      <c r="P78" s="7"/>
      <c r="Q78" s="2"/>
      <c r="R78" s="6">
        <f t="shared" si="32"/>
        <v>0</v>
      </c>
      <c r="S78" s="2"/>
      <c r="T78" s="7">
        <v>50</v>
      </c>
      <c r="U78" s="2"/>
      <c r="V78" s="6">
        <f t="shared" si="33"/>
        <v>2.7064331916966627E-4</v>
      </c>
      <c r="W78" s="2"/>
      <c r="X78" s="7">
        <f t="shared" si="34"/>
        <v>-50</v>
      </c>
      <c r="Y78" s="2"/>
      <c r="Z78" s="6">
        <f t="shared" si="35"/>
        <v>-1</v>
      </c>
    </row>
    <row r="79" spans="1:26" s="27" customFormat="1" outlineLevel="1" collapsed="1" x14ac:dyDescent="0.25">
      <c r="A79" s="29"/>
      <c r="B79" s="14" t="str">
        <f>CONCATENATE("     ","Insurance                                         ")</f>
        <v xml:space="preserve">     Insurance                                         </v>
      </c>
      <c r="C79" s="14"/>
      <c r="D79" s="1">
        <f>SUM(OSRRefD22_9x_0)</f>
        <v>161.18</v>
      </c>
      <c r="E79" s="1"/>
      <c r="F79" s="5">
        <f t="shared" ref="F79:F89" si="36">IF(D$12=0,0,D79/D$12)</f>
        <v>8.5834578586195098E-3</v>
      </c>
      <c r="G79" s="1"/>
      <c r="H79" s="1">
        <f>SUM(OSRRefH22_9x_0)</f>
        <v>176</v>
      </c>
      <c r="I79" s="1"/>
      <c r="J79" s="5">
        <f t="shared" ref="J79:J89" si="37">IF(H$12=0,0,H79/H$12)</f>
        <v>4.5263997119563823E-3</v>
      </c>
      <c r="K79" s="1"/>
      <c r="L79" s="1">
        <f t="shared" ref="L79:L89" si="38">+D79-H79</f>
        <v>-14.819999999999993</v>
      </c>
      <c r="M79" s="1"/>
      <c r="N79" s="5">
        <f t="shared" ref="N79:N89" si="39">IF(H79=0,0,L79/H79)</f>
        <v>-8.4204545454545421E-2</v>
      </c>
      <c r="O79" s="14"/>
      <c r="P79" s="1">
        <f>SUM(OSRRefP22_9x_0)</f>
        <v>644.72</v>
      </c>
      <c r="Q79" s="1"/>
      <c r="R79" s="5">
        <f t="shared" ref="R79:R89" si="40">IF(P$12=0,0,P79/P$12)</f>
        <v>7.2914096129622239E-3</v>
      </c>
      <c r="S79" s="1"/>
      <c r="T79" s="1">
        <f>SUM(OSRRefT22_9x_0)</f>
        <v>704</v>
      </c>
      <c r="U79" s="1"/>
      <c r="V79" s="5">
        <f t="shared" ref="V79:V89" si="41">IF(T$12=0,0,T79/T$12)</f>
        <v>3.8106579339089014E-3</v>
      </c>
      <c r="W79" s="1"/>
      <c r="X79" s="1">
        <f t="shared" ref="X79:X89" si="42">+P79-T79</f>
        <v>-59.279999999999973</v>
      </c>
      <c r="Y79" s="1"/>
      <c r="Z79" s="5">
        <f t="shared" ref="Z79:Z89" si="43">IF(T79=0,0,X79/T79)</f>
        <v>-8.4204545454545421E-2</v>
      </c>
    </row>
    <row r="80" spans="1:26" s="24" customFormat="1" hidden="1" outlineLevel="2" x14ac:dyDescent="0.25">
      <c r="A80" s="28"/>
      <c r="B80" s="11" t="str">
        <f>CONCATENATE("          ", "6314", " - ", "LIABILITY INSURANCE")</f>
        <v xml:space="preserve">          6314 - LIABILITY INSURANCE</v>
      </c>
      <c r="C80" s="11"/>
      <c r="D80" s="7">
        <v>161.18</v>
      </c>
      <c r="E80" s="2"/>
      <c r="F80" s="6">
        <f t="shared" si="36"/>
        <v>8.5834578586195098E-3</v>
      </c>
      <c r="G80" s="2"/>
      <c r="H80" s="7">
        <v>176</v>
      </c>
      <c r="I80" s="2"/>
      <c r="J80" s="6">
        <f t="shared" si="37"/>
        <v>4.5263997119563823E-3</v>
      </c>
      <c r="K80" s="2"/>
      <c r="L80" s="7">
        <f t="shared" si="38"/>
        <v>-14.819999999999993</v>
      </c>
      <c r="M80" s="2"/>
      <c r="N80" s="6">
        <f t="shared" si="39"/>
        <v>-8.4204545454545421E-2</v>
      </c>
      <c r="O80" s="11"/>
      <c r="P80" s="7">
        <v>644.72</v>
      </c>
      <c r="Q80" s="2"/>
      <c r="R80" s="6">
        <f t="shared" si="40"/>
        <v>7.2914096129622239E-3</v>
      </c>
      <c r="S80" s="2"/>
      <c r="T80" s="7">
        <v>704</v>
      </c>
      <c r="U80" s="2"/>
      <c r="V80" s="6">
        <f t="shared" si="41"/>
        <v>3.8106579339089014E-3</v>
      </c>
      <c r="W80" s="2"/>
      <c r="X80" s="7">
        <f t="shared" si="42"/>
        <v>-59.279999999999973</v>
      </c>
      <c r="Y80" s="2"/>
      <c r="Z80" s="6">
        <f t="shared" si="43"/>
        <v>-8.4204545454545421E-2</v>
      </c>
    </row>
    <row r="81" spans="1:26" s="27" customFormat="1" outlineLevel="1" collapsed="1" x14ac:dyDescent="0.25">
      <c r="A81" s="29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SUM(OSRRefD22_10x_0)</f>
        <v>100</v>
      </c>
      <c r="E81" s="1"/>
      <c r="F81" s="5">
        <f t="shared" si="36"/>
        <v>5.3253864366667762E-3</v>
      </c>
      <c r="G81" s="1"/>
      <c r="H81" s="1">
        <f>SUM(OSRRefH22_10x_0)</f>
        <v>100</v>
      </c>
      <c r="I81" s="1"/>
      <c r="J81" s="5">
        <f t="shared" si="37"/>
        <v>2.5718180181570354E-3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SUM(OSRRefP22_10x_0)</f>
        <v>400</v>
      </c>
      <c r="Q81" s="1"/>
      <c r="R81" s="5">
        <f t="shared" si="40"/>
        <v>4.5237682174973466E-3</v>
      </c>
      <c r="S81" s="1"/>
      <c r="T81" s="1">
        <f>SUM(OSRRefT22_10x_0)</f>
        <v>400</v>
      </c>
      <c r="U81" s="1"/>
      <c r="V81" s="5">
        <f t="shared" si="41"/>
        <v>2.1651465533573302E-3</v>
      </c>
      <c r="W81" s="1"/>
      <c r="X81" s="1">
        <f t="shared" si="42"/>
        <v>0</v>
      </c>
      <c r="Y81" s="1"/>
      <c r="Z81" s="5">
        <f t="shared" si="43"/>
        <v>0</v>
      </c>
    </row>
    <row r="82" spans="1:26" s="24" customFormat="1" hidden="1" outlineLevel="2" x14ac:dyDescent="0.25">
      <c r="A82" s="28"/>
      <c r="B82" s="11" t="str">
        <f>CONCATENATE("          ", "6408", " - ", "INVENTORY ADJUSTMENT")</f>
        <v xml:space="preserve">          6408 - INVENTORY ADJUSTMENT</v>
      </c>
      <c r="C82" s="11"/>
      <c r="D82" s="7">
        <v>100</v>
      </c>
      <c r="E82" s="2"/>
      <c r="F82" s="6">
        <f t="shared" si="36"/>
        <v>5.3253864366667762E-3</v>
      </c>
      <c r="G82" s="2"/>
      <c r="H82" s="7">
        <v>100</v>
      </c>
      <c r="I82" s="2"/>
      <c r="J82" s="6">
        <f t="shared" si="37"/>
        <v>2.5718180181570354E-3</v>
      </c>
      <c r="K82" s="2"/>
      <c r="L82" s="7">
        <f t="shared" si="38"/>
        <v>0</v>
      </c>
      <c r="M82" s="2"/>
      <c r="N82" s="6">
        <f t="shared" si="39"/>
        <v>0</v>
      </c>
      <c r="O82" s="11"/>
      <c r="P82" s="7">
        <v>400</v>
      </c>
      <c r="Q82" s="2"/>
      <c r="R82" s="6">
        <f t="shared" si="40"/>
        <v>4.5237682174973466E-3</v>
      </c>
      <c r="S82" s="2"/>
      <c r="T82" s="7">
        <v>400</v>
      </c>
      <c r="U82" s="2"/>
      <c r="V82" s="6">
        <f t="shared" si="41"/>
        <v>2.1651465533573302E-3</v>
      </c>
      <c r="W82" s="2"/>
      <c r="X82" s="7">
        <f t="shared" si="42"/>
        <v>0</v>
      </c>
      <c r="Y82" s="2"/>
      <c r="Z82" s="6">
        <f t="shared" si="43"/>
        <v>0</v>
      </c>
    </row>
    <row r="83" spans="1:26" s="27" customFormat="1" outlineLevel="1" collapsed="1" x14ac:dyDescent="0.25">
      <c r="A83" s="29"/>
      <c r="B83" s="14" t="str">
        <f>CONCATENATE("     ","Professional Services                             ")</f>
        <v xml:space="preserve">     Professional Services                             </v>
      </c>
      <c r="C83" s="14"/>
      <c r="D83" s="1">
        <f>SUM(OSRRefD22_11x_0)</f>
        <v>0</v>
      </c>
      <c r="E83" s="1"/>
      <c r="F83" s="5">
        <f t="shared" si="36"/>
        <v>0</v>
      </c>
      <c r="G83" s="1"/>
      <c r="H83" s="1">
        <f>SUM(OSRRefH22_11x_0)</f>
        <v>0</v>
      </c>
      <c r="I83" s="1"/>
      <c r="J83" s="5">
        <f t="shared" si="37"/>
        <v>0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SUM(OSRRefP22_11x_0)</f>
        <v>0</v>
      </c>
      <c r="Q83" s="1"/>
      <c r="R83" s="5">
        <f t="shared" si="40"/>
        <v>0</v>
      </c>
      <c r="S83" s="1"/>
      <c r="T83" s="1">
        <f>SUM(OSRRefT22_11x_0)</f>
        <v>750</v>
      </c>
      <c r="U83" s="1"/>
      <c r="V83" s="5">
        <f t="shared" si="41"/>
        <v>4.0596497875449947E-3</v>
      </c>
      <c r="W83" s="1"/>
      <c r="X83" s="1">
        <f t="shared" si="42"/>
        <v>-750</v>
      </c>
      <c r="Y83" s="1"/>
      <c r="Z83" s="5">
        <f t="shared" si="43"/>
        <v>-1</v>
      </c>
    </row>
    <row r="84" spans="1:26" s="24" customFormat="1" hidden="1" outlineLevel="2" x14ac:dyDescent="0.25">
      <c r="A84" s="28"/>
      <c r="B84" s="11" t="str">
        <f>CONCATENATE("          ", "6336", " - ", "PROFESSIONAL SERVICES")</f>
        <v xml:space="preserve">          6336 - PROFESSIONAL SERVICES</v>
      </c>
      <c r="C84" s="11"/>
      <c r="D84" s="7"/>
      <c r="E84" s="2"/>
      <c r="F84" s="6">
        <f t="shared" si="36"/>
        <v>0</v>
      </c>
      <c r="G84" s="2"/>
      <c r="H84" s="7">
        <v>0</v>
      </c>
      <c r="I84" s="2"/>
      <c r="J84" s="6">
        <f t="shared" si="37"/>
        <v>0</v>
      </c>
      <c r="K84" s="2"/>
      <c r="L84" s="7">
        <f t="shared" si="38"/>
        <v>0</v>
      </c>
      <c r="M84" s="2"/>
      <c r="N84" s="6">
        <f t="shared" si="39"/>
        <v>0</v>
      </c>
      <c r="O84" s="11"/>
      <c r="P84" s="7"/>
      <c r="Q84" s="2"/>
      <c r="R84" s="6">
        <f t="shared" si="40"/>
        <v>0</v>
      </c>
      <c r="S84" s="2"/>
      <c r="T84" s="7">
        <v>750</v>
      </c>
      <c r="U84" s="2"/>
      <c r="V84" s="6">
        <f t="shared" si="41"/>
        <v>4.0596497875449947E-3</v>
      </c>
      <c r="W84" s="2"/>
      <c r="X84" s="7">
        <f t="shared" si="42"/>
        <v>-750</v>
      </c>
      <c r="Y84" s="2"/>
      <c r="Z84" s="6">
        <f t="shared" si="43"/>
        <v>-1</v>
      </c>
    </row>
    <row r="85" spans="1:26" s="27" customFormat="1" outlineLevel="1" collapsed="1" x14ac:dyDescent="0.25">
      <c r="A85" s="29"/>
      <c r="B85" s="14" t="str">
        <f>CONCATENATE("     ","Rent                                              ")</f>
        <v xml:space="preserve">     Rent                                              </v>
      </c>
      <c r="C85" s="14"/>
      <c r="D85" s="1">
        <f>SUM(OSRRefD22_12x_0)</f>
        <v>6900</v>
      </c>
      <c r="E85" s="1"/>
      <c r="F85" s="5">
        <f t="shared" si="36"/>
        <v>0.36745166413000752</v>
      </c>
      <c r="G85" s="1"/>
      <c r="H85" s="1">
        <f>SUM(OSRRefH22_12x_0)</f>
        <v>6900</v>
      </c>
      <c r="I85" s="1"/>
      <c r="J85" s="5">
        <f t="shared" si="37"/>
        <v>0.17745544325283544</v>
      </c>
      <c r="K85" s="1"/>
      <c r="L85" s="1">
        <f t="shared" si="38"/>
        <v>0</v>
      </c>
      <c r="M85" s="1"/>
      <c r="N85" s="5">
        <f t="shared" si="39"/>
        <v>0</v>
      </c>
      <c r="O85" s="14"/>
      <c r="P85" s="1">
        <f>SUM(OSRRefP22_12x_0)</f>
        <v>27600</v>
      </c>
      <c r="Q85" s="1"/>
      <c r="R85" s="5">
        <f t="shared" si="40"/>
        <v>0.31214000700731692</v>
      </c>
      <c r="S85" s="1"/>
      <c r="T85" s="1">
        <f>SUM(OSRRefT22_12x_0)</f>
        <v>27601</v>
      </c>
      <c r="U85" s="1"/>
      <c r="V85" s="5">
        <f t="shared" si="41"/>
        <v>0.14940052504803919</v>
      </c>
      <c r="W85" s="1"/>
      <c r="X85" s="1">
        <f t="shared" si="42"/>
        <v>-1</v>
      </c>
      <c r="Y85" s="1"/>
      <c r="Z85" s="5">
        <f t="shared" si="43"/>
        <v>-3.6230571356110289E-5</v>
      </c>
    </row>
    <row r="86" spans="1:26" s="24" customFormat="1" hidden="1" outlineLevel="2" x14ac:dyDescent="0.25">
      <c r="A86" s="28"/>
      <c r="B86" s="11" t="str">
        <f>CONCATENATE("          ", "6273", " - ", "RENT")</f>
        <v xml:space="preserve">          6273 - RENT</v>
      </c>
      <c r="C86" s="11"/>
      <c r="D86" s="7">
        <v>6900</v>
      </c>
      <c r="E86" s="2"/>
      <c r="F86" s="6">
        <f t="shared" si="36"/>
        <v>0.36745166413000752</v>
      </c>
      <c r="G86" s="2"/>
      <c r="H86" s="7">
        <v>6900</v>
      </c>
      <c r="I86" s="2"/>
      <c r="J86" s="6">
        <f t="shared" si="37"/>
        <v>0.17745544325283544</v>
      </c>
      <c r="K86" s="2"/>
      <c r="L86" s="7">
        <f t="shared" si="38"/>
        <v>0</v>
      </c>
      <c r="M86" s="2"/>
      <c r="N86" s="6">
        <f t="shared" si="39"/>
        <v>0</v>
      </c>
      <c r="O86" s="11"/>
      <c r="P86" s="7">
        <v>27600</v>
      </c>
      <c r="Q86" s="2"/>
      <c r="R86" s="6">
        <f t="shared" si="40"/>
        <v>0.31214000700731692</v>
      </c>
      <c r="S86" s="2"/>
      <c r="T86" s="7">
        <v>27601</v>
      </c>
      <c r="U86" s="2"/>
      <c r="V86" s="6">
        <f t="shared" si="41"/>
        <v>0.14940052504803919</v>
      </c>
      <c r="W86" s="2"/>
      <c r="X86" s="7">
        <f t="shared" si="42"/>
        <v>-1</v>
      </c>
      <c r="Y86" s="2"/>
      <c r="Z86" s="6">
        <f t="shared" si="43"/>
        <v>-3.6230571356110289E-5</v>
      </c>
    </row>
    <row r="87" spans="1:26" s="27" customFormat="1" outlineLevel="1" collapsed="1" x14ac:dyDescent="0.25">
      <c r="A87" s="29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SUM(OSRRefD22_13x_0)</f>
        <v>0</v>
      </c>
      <c r="E87" s="1"/>
      <c r="F87" s="5">
        <f t="shared" si="36"/>
        <v>0</v>
      </c>
      <c r="G87" s="1"/>
      <c r="H87" s="1">
        <f>SUM(OSRRefH22_13x_0)</f>
        <v>100</v>
      </c>
      <c r="I87" s="1"/>
      <c r="J87" s="5">
        <f t="shared" si="37"/>
        <v>2.5718180181570354E-3</v>
      </c>
      <c r="K87" s="1"/>
      <c r="L87" s="1">
        <f t="shared" si="38"/>
        <v>-100</v>
      </c>
      <c r="M87" s="1"/>
      <c r="N87" s="5">
        <f t="shared" si="39"/>
        <v>-1</v>
      </c>
      <c r="O87" s="14"/>
      <c r="P87" s="1">
        <f>SUM(OSRRefP22_13x_0)</f>
        <v>48.21</v>
      </c>
      <c r="Q87" s="1"/>
      <c r="R87" s="5">
        <f t="shared" si="40"/>
        <v>5.4522716441386774E-4</v>
      </c>
      <c r="S87" s="1"/>
      <c r="T87" s="1">
        <f>SUM(OSRRefT22_13x_0)</f>
        <v>400</v>
      </c>
      <c r="U87" s="1"/>
      <c r="V87" s="5">
        <f t="shared" si="41"/>
        <v>2.1651465533573302E-3</v>
      </c>
      <c r="W87" s="1"/>
      <c r="X87" s="1">
        <f t="shared" si="42"/>
        <v>-351.79</v>
      </c>
      <c r="Y87" s="1"/>
      <c r="Z87" s="5">
        <f t="shared" si="43"/>
        <v>-0.87947500000000001</v>
      </c>
    </row>
    <row r="88" spans="1:26" s="24" customFormat="1" hidden="1" outlineLevel="2" x14ac:dyDescent="0.25">
      <c r="A88" s="28"/>
      <c r="B88" s="11" t="str">
        <f>CONCATENATE("          ", "6373", " - ", "MAINTENANCE CONTRACTS")</f>
        <v xml:space="preserve">          6373 - MAINTENANCE CONTRACTS</v>
      </c>
      <c r="C88" s="11"/>
      <c r="D88" s="7"/>
      <c r="E88" s="2"/>
      <c r="F88" s="6">
        <f t="shared" si="36"/>
        <v>0</v>
      </c>
      <c r="G88" s="2"/>
      <c r="H88" s="7"/>
      <c r="I88" s="2"/>
      <c r="J88" s="6">
        <f t="shared" si="37"/>
        <v>0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>
        <v>48.21</v>
      </c>
      <c r="Q88" s="2"/>
      <c r="R88" s="6">
        <f t="shared" si="40"/>
        <v>5.4522716441386774E-4</v>
      </c>
      <c r="S88" s="2"/>
      <c r="T88" s="7"/>
      <c r="U88" s="2"/>
      <c r="V88" s="6">
        <f t="shared" si="41"/>
        <v>0</v>
      </c>
      <c r="W88" s="2"/>
      <c r="X88" s="7">
        <f t="shared" si="42"/>
        <v>48.21</v>
      </c>
      <c r="Y88" s="2"/>
      <c r="Z88" s="6">
        <f t="shared" si="43"/>
        <v>0</v>
      </c>
    </row>
    <row r="89" spans="1:26" s="24" customFormat="1" hidden="1" outlineLevel="2" x14ac:dyDescent="0.25">
      <c r="A89" s="28"/>
      <c r="B89" s="11" t="str">
        <f>CONCATENATE("          ", "6375", " - ", "OUTSIDE REPAIRS &amp; MAINTENANCE")</f>
        <v xml:space="preserve">          6375 - OUTSIDE REPAIRS &amp; MAINTENANCE</v>
      </c>
      <c r="C89" s="11"/>
      <c r="D89" s="7"/>
      <c r="E89" s="2"/>
      <c r="F89" s="6">
        <f t="shared" si="36"/>
        <v>0</v>
      </c>
      <c r="G89" s="2"/>
      <c r="H89" s="7">
        <v>100</v>
      </c>
      <c r="I89" s="2"/>
      <c r="J89" s="6">
        <f t="shared" si="37"/>
        <v>2.5718180181570354E-3</v>
      </c>
      <c r="K89" s="2"/>
      <c r="L89" s="7">
        <f t="shared" si="38"/>
        <v>-100</v>
      </c>
      <c r="M89" s="2"/>
      <c r="N89" s="6">
        <f t="shared" si="39"/>
        <v>-1</v>
      </c>
      <c r="O89" s="11"/>
      <c r="P89" s="7"/>
      <c r="Q89" s="2"/>
      <c r="R89" s="6">
        <f t="shared" si="40"/>
        <v>0</v>
      </c>
      <c r="S89" s="2"/>
      <c r="T89" s="7">
        <v>400</v>
      </c>
      <c r="U89" s="2"/>
      <c r="V89" s="6">
        <f t="shared" si="41"/>
        <v>2.1651465533573302E-3</v>
      </c>
      <c r="W89" s="2"/>
      <c r="X89" s="7">
        <f t="shared" si="42"/>
        <v>-400</v>
      </c>
      <c r="Y89" s="2"/>
      <c r="Z89" s="6">
        <f t="shared" si="43"/>
        <v>-1</v>
      </c>
    </row>
    <row r="90" spans="1:26" s="27" customFormat="1" outlineLevel="1" collapsed="1" x14ac:dyDescent="0.25">
      <c r="A90" s="29"/>
      <c r="B90" s="14" t="str">
        <f>CONCATENATE("     ","Services                                          ")</f>
        <v xml:space="preserve">     Services                                          </v>
      </c>
      <c r="C90" s="14"/>
      <c r="D90" s="1">
        <f>SUM(OSRRefD22_14x_0)</f>
        <v>96.860000000000014</v>
      </c>
      <c r="E90" s="1"/>
      <c r="F90" s="5">
        <f t="shared" ref="F90:F93" si="44">IF(D$12=0,0,D90/D$12)</f>
        <v>5.1581693025554397E-3</v>
      </c>
      <c r="G90" s="1"/>
      <c r="H90" s="1">
        <f>SUM(OSRRefH22_14x_0)</f>
        <v>155</v>
      </c>
      <c r="I90" s="1"/>
      <c r="J90" s="5">
        <f t="shared" ref="J90:J93" si="45">IF(H$12=0,0,H90/H$12)</f>
        <v>3.9863179281434047E-3</v>
      </c>
      <c r="K90" s="1"/>
      <c r="L90" s="1">
        <f t="shared" ref="L90:L93" si="46">+D90-H90</f>
        <v>-58.139999999999986</v>
      </c>
      <c r="M90" s="1"/>
      <c r="N90" s="5">
        <f t="shared" ref="N90:N93" si="47">IF(H90=0,0,L90/H90)</f>
        <v>-0.37509677419354831</v>
      </c>
      <c r="O90" s="14"/>
      <c r="P90" s="1">
        <f>SUM(OSRRefP22_14x_0)</f>
        <v>-12.170000000000073</v>
      </c>
      <c r="Q90" s="1"/>
      <c r="R90" s="5">
        <f t="shared" ref="R90:R93" si="48">IF(P$12=0,0,P90/P$12)</f>
        <v>-1.3763564801735759E-4</v>
      </c>
      <c r="S90" s="1"/>
      <c r="T90" s="1">
        <f>SUM(OSRRefT22_14x_0)</f>
        <v>675</v>
      </c>
      <c r="U90" s="1"/>
      <c r="V90" s="5">
        <f t="shared" ref="V90:V93" si="49">IF(T$12=0,0,T90/T$12)</f>
        <v>3.653684808790495E-3</v>
      </c>
      <c r="W90" s="1"/>
      <c r="X90" s="1">
        <f t="shared" ref="X90:X93" si="50">+P90-T90</f>
        <v>-687.17000000000007</v>
      </c>
      <c r="Y90" s="1"/>
      <c r="Z90" s="5">
        <f t="shared" ref="Z90:Z93" si="51">IF(T90=0,0,X90/T90)</f>
        <v>-1.0180296296296298</v>
      </c>
    </row>
    <row r="91" spans="1:26" s="24" customFormat="1" hidden="1" outlineLevel="2" x14ac:dyDescent="0.25">
      <c r="A91" s="28"/>
      <c r="B91" s="11" t="str">
        <f>CONCATENATE("          ", "6283", " - ", "PLANT SERVICE")</f>
        <v xml:space="preserve">          6283 - PLANT SERVICE</v>
      </c>
      <c r="C91" s="11"/>
      <c r="D91" s="7"/>
      <c r="E91" s="2"/>
      <c r="F91" s="6">
        <f t="shared" si="44"/>
        <v>0</v>
      </c>
      <c r="G91" s="2"/>
      <c r="H91" s="7">
        <v>0</v>
      </c>
      <c r="I91" s="2"/>
      <c r="J91" s="6">
        <f t="shared" si="45"/>
        <v>0</v>
      </c>
      <c r="K91" s="2"/>
      <c r="L91" s="7">
        <f t="shared" si="46"/>
        <v>0</v>
      </c>
      <c r="M91" s="2"/>
      <c r="N91" s="6">
        <f t="shared" si="47"/>
        <v>0</v>
      </c>
      <c r="O91" s="11"/>
      <c r="P91" s="7"/>
      <c r="Q91" s="2"/>
      <c r="R91" s="6">
        <f t="shared" si="48"/>
        <v>0</v>
      </c>
      <c r="S91" s="2"/>
      <c r="T91" s="7">
        <v>0</v>
      </c>
      <c r="U91" s="2"/>
      <c r="V91" s="6">
        <f t="shared" si="49"/>
        <v>0</v>
      </c>
      <c r="W91" s="2"/>
      <c r="X91" s="7">
        <f t="shared" si="50"/>
        <v>0</v>
      </c>
      <c r="Y91" s="2"/>
      <c r="Z91" s="6">
        <f t="shared" si="51"/>
        <v>0</v>
      </c>
    </row>
    <row r="92" spans="1:26" s="24" customFormat="1" hidden="1" outlineLevel="2" x14ac:dyDescent="0.25">
      <c r="A92" s="28"/>
      <c r="B92" s="11" t="str">
        <f>CONCATENATE("          ", "6284", " - ", "TRASH REMOVAL EXPENSE")</f>
        <v xml:space="preserve">          6284 - TRASH REMOVAL EXPENSE</v>
      </c>
      <c r="C92" s="11"/>
      <c r="D92" s="7">
        <v>157.59</v>
      </c>
      <c r="E92" s="2"/>
      <c r="F92" s="6">
        <f t="shared" si="44"/>
        <v>8.3922764855431722E-3</v>
      </c>
      <c r="G92" s="2"/>
      <c r="H92" s="7">
        <v>55</v>
      </c>
      <c r="I92" s="2"/>
      <c r="J92" s="6">
        <f t="shared" si="45"/>
        <v>1.4144999099863693E-3</v>
      </c>
      <c r="K92" s="2"/>
      <c r="L92" s="7">
        <f t="shared" si="46"/>
        <v>102.59</v>
      </c>
      <c r="M92" s="2"/>
      <c r="N92" s="6">
        <f t="shared" si="47"/>
        <v>1.8652727272727274</v>
      </c>
      <c r="O92" s="11"/>
      <c r="P92" s="7">
        <v>585.29999999999995</v>
      </c>
      <c r="Q92" s="2"/>
      <c r="R92" s="6">
        <f t="shared" si="48"/>
        <v>6.6194038442529916E-3</v>
      </c>
      <c r="S92" s="2"/>
      <c r="T92" s="7">
        <v>275</v>
      </c>
      <c r="U92" s="2"/>
      <c r="V92" s="6">
        <f t="shared" si="49"/>
        <v>1.4885382554331646E-3</v>
      </c>
      <c r="W92" s="2"/>
      <c r="X92" s="7">
        <f t="shared" si="50"/>
        <v>310.29999999999995</v>
      </c>
      <c r="Y92" s="2"/>
      <c r="Z92" s="6">
        <f t="shared" si="51"/>
        <v>1.1283636363636362</v>
      </c>
    </row>
    <row r="93" spans="1:26" s="24" customFormat="1" hidden="1" outlineLevel="2" x14ac:dyDescent="0.25">
      <c r="A93" s="28"/>
      <c r="B93" s="11" t="str">
        <f>CONCATENATE("          ", "6285", " - ", "JANITORIAL SERVICES")</f>
        <v xml:space="preserve">          6285 - JANITORIAL SERVICES</v>
      </c>
      <c r="C93" s="11"/>
      <c r="D93" s="7">
        <v>-60.73</v>
      </c>
      <c r="E93" s="2"/>
      <c r="F93" s="6">
        <f t="shared" si="44"/>
        <v>-3.234107182987733E-3</v>
      </c>
      <c r="G93" s="2"/>
      <c r="H93" s="7">
        <v>100</v>
      </c>
      <c r="I93" s="2"/>
      <c r="J93" s="6">
        <f t="shared" si="45"/>
        <v>2.5718180181570354E-3</v>
      </c>
      <c r="K93" s="2"/>
      <c r="L93" s="7">
        <f t="shared" si="46"/>
        <v>-160.72999999999999</v>
      </c>
      <c r="M93" s="2"/>
      <c r="N93" s="6">
        <f t="shared" si="47"/>
        <v>-1.6073</v>
      </c>
      <c r="O93" s="11"/>
      <c r="P93" s="7">
        <v>-597.47</v>
      </c>
      <c r="Q93" s="2"/>
      <c r="R93" s="6">
        <f t="shared" si="48"/>
        <v>-6.7570394922703498E-3</v>
      </c>
      <c r="S93" s="2"/>
      <c r="T93" s="7">
        <v>400</v>
      </c>
      <c r="U93" s="2"/>
      <c r="V93" s="6">
        <f t="shared" si="49"/>
        <v>2.1651465533573302E-3</v>
      </c>
      <c r="W93" s="2"/>
      <c r="X93" s="7">
        <f t="shared" si="50"/>
        <v>-997.47</v>
      </c>
      <c r="Y93" s="2"/>
      <c r="Z93" s="6">
        <f t="shared" si="51"/>
        <v>-2.4936750000000001</v>
      </c>
    </row>
    <row r="94" spans="1:26" s="27" customFormat="1" outlineLevel="1" collapsed="1" x14ac:dyDescent="0.25">
      <c r="A94" s="29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SUM(OSRRefD22_15x_0)</f>
        <v>75</v>
      </c>
      <c r="E94" s="1"/>
      <c r="F94" s="5">
        <f t="shared" ref="F94:F96" si="52">IF(D$12=0,0,D94/D$12)</f>
        <v>3.9940398275000819E-3</v>
      </c>
      <c r="G94" s="1"/>
      <c r="H94" s="1">
        <f>SUM(OSRRefH22_15x_0)</f>
        <v>0</v>
      </c>
      <c r="I94" s="1"/>
      <c r="J94" s="5">
        <f t="shared" ref="J94:J96" si="53">IF(H$12=0,0,H94/H$12)</f>
        <v>0</v>
      </c>
      <c r="K94" s="1"/>
      <c r="L94" s="1">
        <f t="shared" ref="L94:L96" si="54">+D94-H94</f>
        <v>75</v>
      </c>
      <c r="M94" s="1"/>
      <c r="N94" s="5">
        <f t="shared" ref="N94:N96" si="55">IF(H94=0,0,L94/H94)</f>
        <v>0</v>
      </c>
      <c r="O94" s="14"/>
      <c r="P94" s="1">
        <f>SUM(OSRRefP22_15x_0)</f>
        <v>150</v>
      </c>
      <c r="Q94" s="1"/>
      <c r="R94" s="5">
        <f t="shared" ref="R94:R96" si="56">IF(P$12=0,0,P94/P$12)</f>
        <v>1.6964130815615051E-3</v>
      </c>
      <c r="S94" s="1"/>
      <c r="T94" s="1">
        <f>SUM(OSRRefT22_15x_0)</f>
        <v>395</v>
      </c>
      <c r="U94" s="1"/>
      <c r="V94" s="5">
        <f t="shared" ref="V94:V96" si="57">IF(T$12=0,0,T94/T$12)</f>
        <v>2.1380822214403638E-3</v>
      </c>
      <c r="W94" s="1"/>
      <c r="X94" s="1">
        <f t="shared" ref="X94:X96" si="58">+P94-T94</f>
        <v>-245</v>
      </c>
      <c r="Y94" s="1"/>
      <c r="Z94" s="5">
        <f t="shared" ref="Z94:Z96" si="59">IF(T94=0,0,X94/T94)</f>
        <v>-0.620253164556962</v>
      </c>
    </row>
    <row r="95" spans="1:26" s="24" customFormat="1" hidden="1" outlineLevel="2" x14ac:dyDescent="0.25">
      <c r="A95" s="28"/>
      <c r="B95" s="11" t="str">
        <f>CONCATENATE("          ", "6258", " - ", "MEMBERSHIP DUES")</f>
        <v xml:space="preserve">          6258 - MEMBERSHIP DUES</v>
      </c>
      <c r="C95" s="11"/>
      <c r="D95" s="7"/>
      <c r="E95" s="2"/>
      <c r="F95" s="6">
        <f t="shared" si="52"/>
        <v>0</v>
      </c>
      <c r="G95" s="2"/>
      <c r="H95" s="7">
        <v>0</v>
      </c>
      <c r="I95" s="2"/>
      <c r="J95" s="6">
        <f t="shared" si="53"/>
        <v>0</v>
      </c>
      <c r="K95" s="2"/>
      <c r="L95" s="7">
        <f t="shared" si="54"/>
        <v>0</v>
      </c>
      <c r="M95" s="2"/>
      <c r="N95" s="6">
        <f t="shared" si="55"/>
        <v>0</v>
      </c>
      <c r="O95" s="11"/>
      <c r="P95" s="7"/>
      <c r="Q95" s="2"/>
      <c r="R95" s="6">
        <f t="shared" si="56"/>
        <v>0</v>
      </c>
      <c r="S95" s="2"/>
      <c r="T95" s="7">
        <v>395</v>
      </c>
      <c r="U95" s="2"/>
      <c r="V95" s="6">
        <f t="shared" si="57"/>
        <v>2.1380822214403638E-3</v>
      </c>
      <c r="W95" s="2"/>
      <c r="X95" s="7">
        <f t="shared" si="58"/>
        <v>-395</v>
      </c>
      <c r="Y95" s="2"/>
      <c r="Z95" s="6">
        <f t="shared" si="59"/>
        <v>-1</v>
      </c>
    </row>
    <row r="96" spans="1:26" s="24" customFormat="1" hidden="1" outlineLevel="2" x14ac:dyDescent="0.25">
      <c r="A96" s="28"/>
      <c r="B96" s="11" t="str">
        <f>CONCATENATE("          ", "6275", " - ", "SUBSCRIPTIONS")</f>
        <v xml:space="preserve">          6275 - SUBSCRIPTIONS</v>
      </c>
      <c r="C96" s="11"/>
      <c r="D96" s="7">
        <v>75</v>
      </c>
      <c r="E96" s="2"/>
      <c r="F96" s="6">
        <f t="shared" si="52"/>
        <v>3.9940398275000819E-3</v>
      </c>
      <c r="G96" s="2"/>
      <c r="H96" s="7">
        <v>0</v>
      </c>
      <c r="I96" s="2"/>
      <c r="J96" s="6">
        <f t="shared" si="53"/>
        <v>0</v>
      </c>
      <c r="K96" s="2"/>
      <c r="L96" s="7">
        <f t="shared" si="54"/>
        <v>75</v>
      </c>
      <c r="M96" s="2"/>
      <c r="N96" s="6">
        <f t="shared" si="55"/>
        <v>0</v>
      </c>
      <c r="O96" s="11"/>
      <c r="P96" s="7">
        <v>150</v>
      </c>
      <c r="Q96" s="2"/>
      <c r="R96" s="6">
        <f t="shared" si="56"/>
        <v>1.6964130815615051E-3</v>
      </c>
      <c r="S96" s="2"/>
      <c r="T96" s="7">
        <v>0</v>
      </c>
      <c r="U96" s="2"/>
      <c r="V96" s="6">
        <f t="shared" si="57"/>
        <v>0</v>
      </c>
      <c r="W96" s="2"/>
      <c r="X96" s="7">
        <f t="shared" si="58"/>
        <v>150</v>
      </c>
      <c r="Y96" s="2"/>
      <c r="Z96" s="6">
        <f t="shared" si="59"/>
        <v>0</v>
      </c>
    </row>
    <row r="97" spans="1:26" s="27" customFormat="1" outlineLevel="1" collapsed="1" x14ac:dyDescent="0.25">
      <c r="A97" s="29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SUM(OSRRefD22_16x_0)</f>
        <v>52.43</v>
      </c>
      <c r="E97" s="1"/>
      <c r="F97" s="5">
        <f t="shared" ref="F97:F103" si="60">IF(D$12=0,0,D97/D$12)</f>
        <v>2.7921001087443907E-3</v>
      </c>
      <c r="G97" s="1"/>
      <c r="H97" s="1">
        <f>SUM(OSRRefH22_16x_0)</f>
        <v>195</v>
      </c>
      <c r="I97" s="1"/>
      <c r="J97" s="5">
        <f t="shared" ref="J97:J103" si="61">IF(H$12=0,0,H97/H$12)</f>
        <v>5.0150451354062184E-3</v>
      </c>
      <c r="K97" s="1"/>
      <c r="L97" s="1">
        <f t="shared" ref="L97:L103" si="62">+D97-H97</f>
        <v>-142.57</v>
      </c>
      <c r="M97" s="1"/>
      <c r="N97" s="5">
        <f t="shared" ref="N97:N103" si="63">IF(H97=0,0,L97/H97)</f>
        <v>-0.73112820512820509</v>
      </c>
      <c r="O97" s="14"/>
      <c r="P97" s="1">
        <f>SUM(OSRRefP22_16x_0)</f>
        <v>462.4</v>
      </c>
      <c r="Q97" s="1"/>
      <c r="R97" s="5">
        <f t="shared" ref="R97:R103" si="64">IF(P$12=0,0,P97/P$12)</f>
        <v>5.2294760594269324E-3</v>
      </c>
      <c r="S97" s="1"/>
      <c r="T97" s="1">
        <f>SUM(OSRRefT22_16x_0)</f>
        <v>740</v>
      </c>
      <c r="U97" s="1"/>
      <c r="V97" s="5">
        <f t="shared" ref="V97:V103" si="65">IF(T$12=0,0,T97/T$12)</f>
        <v>4.0055211237110611E-3</v>
      </c>
      <c r="W97" s="1"/>
      <c r="X97" s="1">
        <f t="shared" ref="X97:X103" si="66">+P97-T97</f>
        <v>-277.60000000000002</v>
      </c>
      <c r="Y97" s="1"/>
      <c r="Z97" s="5">
        <f t="shared" ref="Z97:Z103" si="67">IF(T97=0,0,X97/T97)</f>
        <v>-0.37513513513513519</v>
      </c>
    </row>
    <row r="98" spans="1:26" s="24" customFormat="1" hidden="1" outlineLevel="2" x14ac:dyDescent="0.25">
      <c r="A98" s="28"/>
      <c r="B98" s="11" t="str">
        <f>CONCATENATE("          ", "6234", " - ", "EXPENDABLE SUPPLIES &amp; EQUIPMEN")</f>
        <v xml:space="preserve">          6234 - EXPENDABLE SUPPLIES &amp; EQUIPMEN</v>
      </c>
      <c r="C98" s="11"/>
      <c r="D98" s="7"/>
      <c r="E98" s="2"/>
      <c r="F98" s="6">
        <f t="shared" si="60"/>
        <v>0</v>
      </c>
      <c r="G98" s="2"/>
      <c r="H98" s="7">
        <v>0</v>
      </c>
      <c r="I98" s="2"/>
      <c r="J98" s="6">
        <f t="shared" si="61"/>
        <v>0</v>
      </c>
      <c r="K98" s="2"/>
      <c r="L98" s="7">
        <f t="shared" si="62"/>
        <v>0</v>
      </c>
      <c r="M98" s="2"/>
      <c r="N98" s="6">
        <f t="shared" si="63"/>
        <v>0</v>
      </c>
      <c r="O98" s="11"/>
      <c r="P98" s="7"/>
      <c r="Q98" s="2"/>
      <c r="R98" s="6">
        <f t="shared" si="64"/>
        <v>0</v>
      </c>
      <c r="S98" s="2"/>
      <c r="T98" s="7">
        <v>0</v>
      </c>
      <c r="U98" s="2"/>
      <c r="V98" s="6">
        <f t="shared" si="65"/>
        <v>0</v>
      </c>
      <c r="W98" s="2"/>
      <c r="X98" s="7">
        <f t="shared" si="66"/>
        <v>0</v>
      </c>
      <c r="Y98" s="2"/>
      <c r="Z98" s="6">
        <f t="shared" si="67"/>
        <v>0</v>
      </c>
    </row>
    <row r="99" spans="1:26" s="24" customFormat="1" hidden="1" outlineLevel="2" x14ac:dyDescent="0.25">
      <c r="A99" s="28"/>
      <c r="B99" s="11" t="str">
        <f>CONCATENATE("          ", "6235", " - ", "COVID-19 EXPENSES")</f>
        <v xml:space="preserve">          6235 - COVID-19 EXPENSES</v>
      </c>
      <c r="C99" s="11"/>
      <c r="D99" s="7"/>
      <c r="E99" s="2"/>
      <c r="F99" s="6">
        <f t="shared" si="60"/>
        <v>0</v>
      </c>
      <c r="G99" s="2"/>
      <c r="H99" s="7">
        <v>100</v>
      </c>
      <c r="I99" s="2"/>
      <c r="J99" s="6">
        <f t="shared" si="61"/>
        <v>2.5718180181570354E-3</v>
      </c>
      <c r="K99" s="2"/>
      <c r="L99" s="7">
        <f t="shared" si="62"/>
        <v>-100</v>
      </c>
      <c r="M99" s="2"/>
      <c r="N99" s="6">
        <f t="shared" si="63"/>
        <v>-1</v>
      </c>
      <c r="O99" s="11"/>
      <c r="P99" s="7">
        <v>265.7</v>
      </c>
      <c r="Q99" s="2"/>
      <c r="R99" s="6">
        <f t="shared" si="64"/>
        <v>3.0049130384726124E-3</v>
      </c>
      <c r="S99" s="2"/>
      <c r="T99" s="7">
        <v>400</v>
      </c>
      <c r="U99" s="2"/>
      <c r="V99" s="6">
        <f t="shared" si="65"/>
        <v>2.1651465533573302E-3</v>
      </c>
      <c r="W99" s="2"/>
      <c r="X99" s="7">
        <f t="shared" si="66"/>
        <v>-134.30000000000001</v>
      </c>
      <c r="Y99" s="2"/>
      <c r="Z99" s="6">
        <f t="shared" si="67"/>
        <v>-0.33575000000000005</v>
      </c>
    </row>
    <row r="100" spans="1:26" s="24" customFormat="1" hidden="1" outlineLevel="2" x14ac:dyDescent="0.25">
      <c r="A100" s="28"/>
      <c r="B100" s="11" t="str">
        <f>CONCATENATE("          ", "6237", " - ", "JANITORIAL SUPPLIES")</f>
        <v xml:space="preserve">          6237 - JANITORIAL SUPPLIES</v>
      </c>
      <c r="C100" s="11"/>
      <c r="D100" s="7">
        <v>52.43</v>
      </c>
      <c r="E100" s="2"/>
      <c r="F100" s="6">
        <f t="shared" si="60"/>
        <v>2.7921001087443907E-3</v>
      </c>
      <c r="G100" s="2"/>
      <c r="H100" s="7">
        <v>20</v>
      </c>
      <c r="I100" s="2"/>
      <c r="J100" s="6">
        <f t="shared" si="61"/>
        <v>5.1436360363140701E-4</v>
      </c>
      <c r="K100" s="2"/>
      <c r="L100" s="7">
        <f t="shared" si="62"/>
        <v>32.43</v>
      </c>
      <c r="M100" s="2"/>
      <c r="N100" s="6">
        <f t="shared" si="63"/>
        <v>1.6214999999999999</v>
      </c>
      <c r="O100" s="11"/>
      <c r="P100" s="7">
        <v>191.74</v>
      </c>
      <c r="Q100" s="2"/>
      <c r="R100" s="6">
        <f t="shared" si="64"/>
        <v>2.1684682950573533E-3</v>
      </c>
      <c r="S100" s="2"/>
      <c r="T100" s="7">
        <v>90</v>
      </c>
      <c r="U100" s="2"/>
      <c r="V100" s="6">
        <f t="shared" si="65"/>
        <v>4.8715797450539933E-4</v>
      </c>
      <c r="W100" s="2"/>
      <c r="X100" s="7">
        <f t="shared" si="66"/>
        <v>101.74000000000001</v>
      </c>
      <c r="Y100" s="2"/>
      <c r="Z100" s="6">
        <f t="shared" si="67"/>
        <v>1.1304444444444446</v>
      </c>
    </row>
    <row r="101" spans="1:26" s="24" customFormat="1" hidden="1" outlineLevel="2" x14ac:dyDescent="0.25">
      <c r="A101" s="28"/>
      <c r="B101" s="11" t="str">
        <f>CONCATENATE("          ", "6241", " - ", "OFFICE EXPENSE")</f>
        <v xml:space="preserve">          6241 - OFFICE EXPENSE</v>
      </c>
      <c r="C101" s="11"/>
      <c r="D101" s="7"/>
      <c r="E101" s="2"/>
      <c r="F101" s="6">
        <f t="shared" si="60"/>
        <v>0</v>
      </c>
      <c r="G101" s="2"/>
      <c r="H101" s="7">
        <v>25</v>
      </c>
      <c r="I101" s="2"/>
      <c r="J101" s="6">
        <f t="shared" si="61"/>
        <v>6.4295450453925884E-4</v>
      </c>
      <c r="K101" s="2"/>
      <c r="L101" s="7">
        <f t="shared" si="62"/>
        <v>-25</v>
      </c>
      <c r="M101" s="2"/>
      <c r="N101" s="6">
        <f t="shared" si="63"/>
        <v>-1</v>
      </c>
      <c r="O101" s="11"/>
      <c r="P101" s="7">
        <v>4.96</v>
      </c>
      <c r="Q101" s="2"/>
      <c r="R101" s="6">
        <f t="shared" si="64"/>
        <v>5.6094725896967097E-5</v>
      </c>
      <c r="S101" s="2"/>
      <c r="T101" s="7">
        <v>100</v>
      </c>
      <c r="U101" s="2"/>
      <c r="V101" s="6">
        <f t="shared" si="65"/>
        <v>5.4128663833933255E-4</v>
      </c>
      <c r="W101" s="2"/>
      <c r="X101" s="7">
        <f t="shared" si="66"/>
        <v>-95.04</v>
      </c>
      <c r="Y101" s="2"/>
      <c r="Z101" s="6">
        <f t="shared" si="67"/>
        <v>-0.95040000000000002</v>
      </c>
    </row>
    <row r="102" spans="1:26" s="24" customFormat="1" hidden="1" outlineLevel="2" x14ac:dyDescent="0.25">
      <c r="A102" s="28"/>
      <c r="B102" s="11" t="str">
        <f>CONCATENATE("          ", "6244", " - ", "SAFETY SUPPLY EXPENSE")</f>
        <v xml:space="preserve">          6244 - SAFETY SUPPLY EXPENSE</v>
      </c>
      <c r="C102" s="11"/>
      <c r="D102" s="7"/>
      <c r="E102" s="2"/>
      <c r="F102" s="6">
        <f t="shared" si="60"/>
        <v>0</v>
      </c>
      <c r="G102" s="2"/>
      <c r="H102" s="7">
        <v>25</v>
      </c>
      <c r="I102" s="2"/>
      <c r="J102" s="6">
        <f t="shared" si="61"/>
        <v>6.4295450453925884E-4</v>
      </c>
      <c r="K102" s="2"/>
      <c r="L102" s="7">
        <f t="shared" si="62"/>
        <v>-25</v>
      </c>
      <c r="M102" s="2"/>
      <c r="N102" s="6">
        <f t="shared" si="63"/>
        <v>-1</v>
      </c>
      <c r="O102" s="11"/>
      <c r="P102" s="7"/>
      <c r="Q102" s="2"/>
      <c r="R102" s="6">
        <f t="shared" si="64"/>
        <v>0</v>
      </c>
      <c r="S102" s="2"/>
      <c r="T102" s="7">
        <v>50</v>
      </c>
      <c r="U102" s="2"/>
      <c r="V102" s="6">
        <f t="shared" si="65"/>
        <v>2.7064331916966627E-4</v>
      </c>
      <c r="W102" s="2"/>
      <c r="X102" s="7">
        <f t="shared" si="66"/>
        <v>-50</v>
      </c>
      <c r="Y102" s="2"/>
      <c r="Z102" s="6">
        <f t="shared" si="67"/>
        <v>-1</v>
      </c>
    </row>
    <row r="103" spans="1:26" s="24" customFormat="1" hidden="1" outlineLevel="2" x14ac:dyDescent="0.25">
      <c r="A103" s="28"/>
      <c r="B103" s="11" t="str">
        <f>CONCATENATE("          ", "6247", " - ", "STORE SUPPLIES")</f>
        <v xml:space="preserve">          6247 - STORE SUPPLIES</v>
      </c>
      <c r="C103" s="11"/>
      <c r="D103" s="7"/>
      <c r="E103" s="2"/>
      <c r="F103" s="6">
        <f t="shared" si="60"/>
        <v>0</v>
      </c>
      <c r="G103" s="2"/>
      <c r="H103" s="7">
        <v>25</v>
      </c>
      <c r="I103" s="2"/>
      <c r="J103" s="6">
        <f t="shared" si="61"/>
        <v>6.4295450453925884E-4</v>
      </c>
      <c r="K103" s="2"/>
      <c r="L103" s="7">
        <f t="shared" si="62"/>
        <v>-25</v>
      </c>
      <c r="M103" s="2"/>
      <c r="N103" s="6">
        <f t="shared" si="63"/>
        <v>-1</v>
      </c>
      <c r="O103" s="11"/>
      <c r="P103" s="7"/>
      <c r="Q103" s="2"/>
      <c r="R103" s="6">
        <f t="shared" si="64"/>
        <v>0</v>
      </c>
      <c r="S103" s="2"/>
      <c r="T103" s="7">
        <v>100</v>
      </c>
      <c r="U103" s="2"/>
      <c r="V103" s="6">
        <f t="shared" si="65"/>
        <v>5.4128663833933255E-4</v>
      </c>
      <c r="W103" s="2"/>
      <c r="X103" s="7">
        <f t="shared" si="66"/>
        <v>-100</v>
      </c>
      <c r="Y103" s="2"/>
      <c r="Z103" s="6">
        <f t="shared" si="67"/>
        <v>-1</v>
      </c>
    </row>
    <row r="104" spans="1:26" s="27" customFormat="1" outlineLevel="1" collapsed="1" x14ac:dyDescent="0.25">
      <c r="A104" s="29"/>
      <c r="B104" s="14" t="str">
        <f>CONCATENATE("     ","Telephone/Data Lines                              ")</f>
        <v xml:space="preserve">     Telephone/Data Lines                              </v>
      </c>
      <c r="C104" s="14"/>
      <c r="D104" s="1">
        <f>SUM(OSRRefD22_17x_0)</f>
        <v>281.48</v>
      </c>
      <c r="E104" s="1"/>
      <c r="F104" s="5">
        <f t="shared" ref="F104:F106" si="68">IF(D$12=0,0,D104/D$12)</f>
        <v>1.4989897741929641E-2</v>
      </c>
      <c r="G104" s="1"/>
      <c r="H104" s="1">
        <f>SUM(OSRRefH22_17x_0)</f>
        <v>230</v>
      </c>
      <c r="I104" s="1"/>
      <c r="J104" s="5">
        <f t="shared" ref="J104:J106" si="69">IF(H$12=0,0,H104/H$12)</f>
        <v>5.9151814417611808E-3</v>
      </c>
      <c r="K104" s="1"/>
      <c r="L104" s="1">
        <f t="shared" ref="L104:L106" si="70">+D104-H104</f>
        <v>51.480000000000018</v>
      </c>
      <c r="M104" s="1"/>
      <c r="N104" s="5">
        <f t="shared" ref="N104:N106" si="71">IF(H104=0,0,L104/H104)</f>
        <v>0.22382608695652181</v>
      </c>
      <c r="O104" s="14"/>
      <c r="P104" s="1">
        <f>SUM(OSRRefP22_17x_0)</f>
        <v>1352.76</v>
      </c>
      <c r="Q104" s="1"/>
      <c r="R104" s="5">
        <f t="shared" ref="R104:R106" si="72">IF(P$12=0,0,P104/P$12)</f>
        <v>1.5298931734754277E-2</v>
      </c>
      <c r="S104" s="1"/>
      <c r="T104" s="1">
        <f>SUM(OSRRefT22_17x_0)</f>
        <v>920</v>
      </c>
      <c r="U104" s="1"/>
      <c r="V104" s="5">
        <f t="shared" ref="V104:V106" si="73">IF(T$12=0,0,T104/T$12)</f>
        <v>4.9798370727218598E-3</v>
      </c>
      <c r="W104" s="1"/>
      <c r="X104" s="1">
        <f t="shared" ref="X104:X106" si="74">+P104-T104</f>
        <v>432.76</v>
      </c>
      <c r="Y104" s="1"/>
      <c r="Z104" s="5">
        <f t="shared" ref="Z104:Z106" si="75">IF(T104=0,0,X104/T104)</f>
        <v>0.47039130434782606</v>
      </c>
    </row>
    <row r="105" spans="1:26" s="24" customFormat="1" hidden="1" outlineLevel="2" x14ac:dyDescent="0.25">
      <c r="A105" s="28"/>
      <c r="B105" s="11" t="str">
        <f>CONCATENATE("          ", "6303", " - ", "DATA PHONE LINES")</f>
        <v xml:space="preserve">          6303 - DATA PHONE LINES</v>
      </c>
      <c r="C105" s="11"/>
      <c r="D105" s="7"/>
      <c r="E105" s="2"/>
      <c r="F105" s="6">
        <f t="shared" si="68"/>
        <v>0</v>
      </c>
      <c r="G105" s="2"/>
      <c r="H105" s="7">
        <v>230</v>
      </c>
      <c r="I105" s="2"/>
      <c r="J105" s="6">
        <f t="shared" si="69"/>
        <v>5.9151814417611808E-3</v>
      </c>
      <c r="K105" s="2"/>
      <c r="L105" s="7">
        <f t="shared" si="70"/>
        <v>-230</v>
      </c>
      <c r="M105" s="2"/>
      <c r="N105" s="6">
        <f t="shared" si="71"/>
        <v>-1</v>
      </c>
      <c r="O105" s="11"/>
      <c r="P105" s="7"/>
      <c r="Q105" s="2"/>
      <c r="R105" s="6">
        <f t="shared" si="72"/>
        <v>0</v>
      </c>
      <c r="S105" s="2"/>
      <c r="T105" s="7">
        <v>920</v>
      </c>
      <c r="U105" s="2"/>
      <c r="V105" s="6">
        <f t="shared" si="73"/>
        <v>4.9798370727218598E-3</v>
      </c>
      <c r="W105" s="2"/>
      <c r="X105" s="7">
        <f t="shared" si="74"/>
        <v>-920</v>
      </c>
      <c r="Y105" s="2"/>
      <c r="Z105" s="6">
        <f t="shared" si="75"/>
        <v>-1</v>
      </c>
    </row>
    <row r="106" spans="1:26" s="24" customFormat="1" hidden="1" outlineLevel="2" x14ac:dyDescent="0.25">
      <c r="A106" s="28"/>
      <c r="B106" s="11" t="str">
        <f>CONCATENATE("          ", "6309", " - ", "TELEPHONE")</f>
        <v xml:space="preserve">          6309 - TELEPHONE</v>
      </c>
      <c r="C106" s="11"/>
      <c r="D106" s="7">
        <v>281.48</v>
      </c>
      <c r="E106" s="2"/>
      <c r="F106" s="6">
        <f t="shared" si="68"/>
        <v>1.4989897741929641E-2</v>
      </c>
      <c r="G106" s="2"/>
      <c r="H106" s="7"/>
      <c r="I106" s="2"/>
      <c r="J106" s="6">
        <f t="shared" si="69"/>
        <v>0</v>
      </c>
      <c r="K106" s="2"/>
      <c r="L106" s="7">
        <f t="shared" si="70"/>
        <v>281.48</v>
      </c>
      <c r="M106" s="2"/>
      <c r="N106" s="6">
        <f t="shared" si="71"/>
        <v>0</v>
      </c>
      <c r="O106" s="11"/>
      <c r="P106" s="7">
        <v>1352.76</v>
      </c>
      <c r="Q106" s="2"/>
      <c r="R106" s="6">
        <f t="shared" si="72"/>
        <v>1.5298931734754277E-2</v>
      </c>
      <c r="S106" s="2"/>
      <c r="T106" s="7"/>
      <c r="U106" s="2"/>
      <c r="V106" s="6">
        <f t="shared" si="73"/>
        <v>0</v>
      </c>
      <c r="W106" s="2"/>
      <c r="X106" s="7">
        <f t="shared" si="74"/>
        <v>1352.76</v>
      </c>
      <c r="Y106" s="2"/>
      <c r="Z106" s="6">
        <f t="shared" si="75"/>
        <v>0</v>
      </c>
    </row>
    <row r="107" spans="1:26" s="27" customFormat="1" outlineLevel="1" collapsed="1" x14ac:dyDescent="0.25">
      <c r="A107" s="29"/>
      <c r="B107" s="14" t="str">
        <f>CONCATENATE("     ","Training                                          ")</f>
        <v xml:space="preserve">     Training                                          </v>
      </c>
      <c r="C107" s="14"/>
      <c r="D107" s="1">
        <f>SUM(OSRRefD22_18x_0)</f>
        <v>0</v>
      </c>
      <c r="E107" s="1"/>
      <c r="F107" s="5">
        <f t="shared" ref="F107:F111" si="76">IF(D$12=0,0,D107/D$12)</f>
        <v>0</v>
      </c>
      <c r="G107" s="1"/>
      <c r="H107" s="1">
        <f>SUM(OSRRefH22_18x_0)</f>
        <v>0</v>
      </c>
      <c r="I107" s="1"/>
      <c r="J107" s="5">
        <f t="shared" ref="J107:J111" si="77">IF(H$12=0,0,H107/H$12)</f>
        <v>0</v>
      </c>
      <c r="K107" s="1"/>
      <c r="L107" s="1">
        <f t="shared" ref="L107:L111" si="78">+D107-H107</f>
        <v>0</v>
      </c>
      <c r="M107" s="1"/>
      <c r="N107" s="5">
        <f t="shared" ref="N107:N111" si="79">IF(H107=0,0,L107/H107)</f>
        <v>0</v>
      </c>
      <c r="O107" s="14"/>
      <c r="P107" s="1">
        <f>SUM(OSRRefP22_18x_0)</f>
        <v>0</v>
      </c>
      <c r="Q107" s="1"/>
      <c r="R107" s="5">
        <f t="shared" ref="R107:R111" si="80">IF(P$12=0,0,P107/P$12)</f>
        <v>0</v>
      </c>
      <c r="S107" s="1"/>
      <c r="T107" s="1">
        <f>SUM(OSRRefT22_18x_0)</f>
        <v>0</v>
      </c>
      <c r="U107" s="1"/>
      <c r="V107" s="5">
        <f t="shared" ref="V107:V111" si="81">IF(T$12=0,0,T107/T$12)</f>
        <v>0</v>
      </c>
      <c r="W107" s="1"/>
      <c r="X107" s="1">
        <f t="shared" ref="X107:X111" si="82">+P107-T107</f>
        <v>0</v>
      </c>
      <c r="Y107" s="1"/>
      <c r="Z107" s="5">
        <f t="shared" ref="Z107:Z111" si="83">IF(T107=0,0,X107/T107)</f>
        <v>0</v>
      </c>
    </row>
    <row r="108" spans="1:26" s="24" customFormat="1" hidden="1" outlineLevel="2" x14ac:dyDescent="0.25">
      <c r="A108" s="28"/>
      <c r="B108" s="11" t="str">
        <f>CONCATENATE("          ", "6376", " - ", "TRAINING")</f>
        <v xml:space="preserve">          6376 - TRAINING</v>
      </c>
      <c r="C108" s="11"/>
      <c r="D108" s="7"/>
      <c r="E108" s="2"/>
      <c r="F108" s="6">
        <f t="shared" si="76"/>
        <v>0</v>
      </c>
      <c r="G108" s="2"/>
      <c r="H108" s="7">
        <v>0</v>
      </c>
      <c r="I108" s="2"/>
      <c r="J108" s="6">
        <f t="shared" si="77"/>
        <v>0</v>
      </c>
      <c r="K108" s="2"/>
      <c r="L108" s="7">
        <f t="shared" si="78"/>
        <v>0</v>
      </c>
      <c r="M108" s="2"/>
      <c r="N108" s="6">
        <f t="shared" si="79"/>
        <v>0</v>
      </c>
      <c r="O108" s="11"/>
      <c r="P108" s="7"/>
      <c r="Q108" s="2"/>
      <c r="R108" s="6">
        <f t="shared" si="80"/>
        <v>0</v>
      </c>
      <c r="S108" s="2"/>
      <c r="T108" s="7">
        <v>0</v>
      </c>
      <c r="U108" s="2"/>
      <c r="V108" s="6">
        <f t="shared" si="81"/>
        <v>0</v>
      </c>
      <c r="W108" s="2"/>
      <c r="X108" s="7">
        <f t="shared" si="82"/>
        <v>0</v>
      </c>
      <c r="Y108" s="2"/>
      <c r="Z108" s="6">
        <f t="shared" si="83"/>
        <v>0</v>
      </c>
    </row>
    <row r="109" spans="1:26" s="27" customFormat="1" outlineLevel="1" collapsed="1" x14ac:dyDescent="0.25">
      <c r="A109" s="29"/>
      <c r="B109" s="14" t="str">
        <f>CONCATENATE("     ","Travel                                            ")</f>
        <v xml:space="preserve">     Travel                                            </v>
      </c>
      <c r="C109" s="14"/>
      <c r="D109" s="1">
        <f>SUM(OSRRefD22_19x_0)</f>
        <v>80.959999999999994</v>
      </c>
      <c r="E109" s="1"/>
      <c r="F109" s="5">
        <f t="shared" si="76"/>
        <v>4.3114328591254214E-3</v>
      </c>
      <c r="G109" s="1"/>
      <c r="H109" s="1">
        <f>SUM(OSRRefH22_19x_0)</f>
        <v>25</v>
      </c>
      <c r="I109" s="1"/>
      <c r="J109" s="5">
        <f t="shared" si="77"/>
        <v>6.4295450453925884E-4</v>
      </c>
      <c r="K109" s="1"/>
      <c r="L109" s="1">
        <f t="shared" si="78"/>
        <v>55.959999999999994</v>
      </c>
      <c r="M109" s="1"/>
      <c r="N109" s="5">
        <f t="shared" si="79"/>
        <v>2.2383999999999999</v>
      </c>
      <c r="O109" s="14"/>
      <c r="P109" s="1">
        <f>SUM(OSRRefP22_19x_0)</f>
        <v>321.88</v>
      </c>
      <c r="Q109" s="1"/>
      <c r="R109" s="5">
        <f t="shared" si="80"/>
        <v>3.6402762846201148E-3</v>
      </c>
      <c r="S109" s="1"/>
      <c r="T109" s="1">
        <f>SUM(OSRRefT22_19x_0)</f>
        <v>100</v>
      </c>
      <c r="U109" s="1"/>
      <c r="V109" s="5">
        <f t="shared" si="81"/>
        <v>5.4128663833933255E-4</v>
      </c>
      <c r="W109" s="1"/>
      <c r="X109" s="1">
        <f t="shared" si="82"/>
        <v>221.88</v>
      </c>
      <c r="Y109" s="1"/>
      <c r="Z109" s="5">
        <f t="shared" si="83"/>
        <v>2.2187999999999999</v>
      </c>
    </row>
    <row r="110" spans="1:26" s="24" customFormat="1" hidden="1" outlineLevel="2" x14ac:dyDescent="0.25">
      <c r="A110" s="28"/>
      <c r="B110" s="11" t="str">
        <f>CONCATENATE("          ", "6294", " - ", "TRAVEL OPERATIONAL")</f>
        <v xml:space="preserve">          6294 - TRAVEL OPERATIONAL</v>
      </c>
      <c r="C110" s="11"/>
      <c r="D110" s="7">
        <v>80.959999999999994</v>
      </c>
      <c r="E110" s="2"/>
      <c r="F110" s="6">
        <f t="shared" si="76"/>
        <v>4.3114328591254214E-3</v>
      </c>
      <c r="G110" s="2"/>
      <c r="H110" s="7"/>
      <c r="I110" s="2"/>
      <c r="J110" s="6">
        <f t="shared" si="77"/>
        <v>0</v>
      </c>
      <c r="K110" s="2"/>
      <c r="L110" s="7">
        <f t="shared" si="78"/>
        <v>80.959999999999994</v>
      </c>
      <c r="M110" s="2"/>
      <c r="N110" s="6">
        <f t="shared" si="79"/>
        <v>0</v>
      </c>
      <c r="O110" s="11"/>
      <c r="P110" s="7">
        <v>321.88</v>
      </c>
      <c r="Q110" s="2"/>
      <c r="R110" s="6">
        <f t="shared" si="80"/>
        <v>3.6402762846201148E-3</v>
      </c>
      <c r="S110" s="2"/>
      <c r="T110" s="7"/>
      <c r="U110" s="2"/>
      <c r="V110" s="6">
        <f t="shared" si="81"/>
        <v>0</v>
      </c>
      <c r="W110" s="2"/>
      <c r="X110" s="7">
        <f t="shared" si="82"/>
        <v>321.88</v>
      </c>
      <c r="Y110" s="2"/>
      <c r="Z110" s="6">
        <f t="shared" si="83"/>
        <v>0</v>
      </c>
    </row>
    <row r="111" spans="1:26" s="24" customFormat="1" hidden="1" outlineLevel="2" x14ac:dyDescent="0.25">
      <c r="A111" s="28"/>
      <c r="B111" s="11" t="str">
        <f>CONCATENATE("          ", "6298", " - ", "VEHICLE MILEAGE")</f>
        <v xml:space="preserve">          6298 - VEHICLE MILEAGE</v>
      </c>
      <c r="C111" s="11"/>
      <c r="D111" s="7"/>
      <c r="E111" s="2"/>
      <c r="F111" s="6">
        <f t="shared" si="76"/>
        <v>0</v>
      </c>
      <c r="G111" s="2"/>
      <c r="H111" s="7">
        <v>25</v>
      </c>
      <c r="I111" s="2"/>
      <c r="J111" s="6">
        <f t="shared" si="77"/>
        <v>6.4295450453925884E-4</v>
      </c>
      <c r="K111" s="2"/>
      <c r="L111" s="7">
        <f t="shared" si="78"/>
        <v>-25</v>
      </c>
      <c r="M111" s="2"/>
      <c r="N111" s="6">
        <f t="shared" si="79"/>
        <v>-1</v>
      </c>
      <c r="O111" s="11"/>
      <c r="P111" s="7"/>
      <c r="Q111" s="2"/>
      <c r="R111" s="6">
        <f t="shared" si="80"/>
        <v>0</v>
      </c>
      <c r="S111" s="2"/>
      <c r="T111" s="7">
        <v>100</v>
      </c>
      <c r="U111" s="2"/>
      <c r="V111" s="6">
        <f t="shared" si="81"/>
        <v>5.4128663833933255E-4</v>
      </c>
      <c r="W111" s="2"/>
      <c r="X111" s="7">
        <f t="shared" si="82"/>
        <v>-100</v>
      </c>
      <c r="Y111" s="2"/>
      <c r="Z111" s="6">
        <f t="shared" si="83"/>
        <v>-1</v>
      </c>
    </row>
    <row r="112" spans="1:26" s="27" customFormat="1" outlineLevel="1" collapsed="1" x14ac:dyDescent="0.25">
      <c r="A112" s="29"/>
      <c r="B112" s="14" t="str">
        <f>CONCATENATE("     ","Utilities                                         ")</f>
        <v xml:space="preserve">     Utilities                                         </v>
      </c>
      <c r="C112" s="14"/>
      <c r="D112" s="1">
        <f>SUM(OSRRefD22_20x_0)</f>
        <v>16.05</v>
      </c>
      <c r="E112" s="1"/>
      <c r="F112" s="5">
        <f t="shared" ref="F112:F113" si="84">IF(D$12=0,0,D112/D$12)</f>
        <v>8.5472452308501753E-4</v>
      </c>
      <c r="G112" s="1"/>
      <c r="H112" s="1">
        <f>SUM(OSRRefH22_20x_0)</f>
        <v>105</v>
      </c>
      <c r="I112" s="1"/>
      <c r="J112" s="5">
        <f t="shared" ref="J112:J113" si="85">IF(H$12=0,0,H112/H$12)</f>
        <v>2.7004089190648868E-3</v>
      </c>
      <c r="K112" s="1"/>
      <c r="L112" s="1">
        <f t="shared" ref="L112:L113" si="86">+D112-H112</f>
        <v>-88.95</v>
      </c>
      <c r="M112" s="1"/>
      <c r="N112" s="5">
        <f t="shared" ref="N112:N113" si="87">IF(H112=0,0,L112/H112)</f>
        <v>-0.8471428571428572</v>
      </c>
      <c r="O112" s="14"/>
      <c r="P112" s="1">
        <f>SUM(OSRRefP22_20x_0)</f>
        <v>84.41</v>
      </c>
      <c r="Q112" s="1"/>
      <c r="R112" s="5">
        <f t="shared" ref="R112:R113" si="88">IF(P$12=0,0,P112/P$12)</f>
        <v>9.5462818809737753E-4</v>
      </c>
      <c r="S112" s="1"/>
      <c r="T112" s="1">
        <f>SUM(OSRRefT22_20x_0)</f>
        <v>420</v>
      </c>
      <c r="U112" s="1"/>
      <c r="V112" s="5">
        <f t="shared" ref="V112:V113" si="89">IF(T$12=0,0,T112/T$12)</f>
        <v>2.273403881025197E-3</v>
      </c>
      <c r="W112" s="1"/>
      <c r="X112" s="1">
        <f t="shared" ref="X112:X113" si="90">+P112-T112</f>
        <v>-335.59000000000003</v>
      </c>
      <c r="Y112" s="1"/>
      <c r="Z112" s="5">
        <f t="shared" ref="Z112:Z113" si="91">IF(T112=0,0,X112/T112)</f>
        <v>-0.79902380952380958</v>
      </c>
    </row>
    <row r="113" spans="1:26" s="24" customFormat="1" hidden="1" outlineLevel="2" x14ac:dyDescent="0.25">
      <c r="A113" s="28"/>
      <c r="B113" s="11" t="str">
        <f>CONCATENATE("          ", "6274", " - ", "UTILITIES")</f>
        <v xml:space="preserve">          6274 - UTILITIES</v>
      </c>
      <c r="C113" s="11"/>
      <c r="D113" s="7">
        <v>16.05</v>
      </c>
      <c r="E113" s="2"/>
      <c r="F113" s="6">
        <f t="shared" si="84"/>
        <v>8.5472452308501753E-4</v>
      </c>
      <c r="G113" s="2"/>
      <c r="H113" s="7">
        <v>105</v>
      </c>
      <c r="I113" s="2"/>
      <c r="J113" s="6">
        <f t="shared" si="85"/>
        <v>2.7004089190648868E-3</v>
      </c>
      <c r="K113" s="2"/>
      <c r="L113" s="7">
        <f t="shared" si="86"/>
        <v>-88.95</v>
      </c>
      <c r="M113" s="2"/>
      <c r="N113" s="6">
        <f t="shared" si="87"/>
        <v>-0.8471428571428572</v>
      </c>
      <c r="O113" s="11"/>
      <c r="P113" s="7">
        <v>84.41</v>
      </c>
      <c r="Q113" s="2"/>
      <c r="R113" s="6">
        <f t="shared" si="88"/>
        <v>9.5462818809737753E-4</v>
      </c>
      <c r="S113" s="2"/>
      <c r="T113" s="7">
        <v>420</v>
      </c>
      <c r="U113" s="2"/>
      <c r="V113" s="6">
        <f t="shared" si="89"/>
        <v>2.273403881025197E-3</v>
      </c>
      <c r="W113" s="2"/>
      <c r="X113" s="7">
        <f t="shared" si="90"/>
        <v>-335.59000000000003</v>
      </c>
      <c r="Y113" s="2"/>
      <c r="Z113" s="6">
        <f t="shared" si="91"/>
        <v>-0.79902380952380958</v>
      </c>
    </row>
    <row r="114" spans="1:26" s="63" customFormat="1" x14ac:dyDescent="0.25">
      <c r="A114" s="36"/>
      <c r="B114" s="36"/>
      <c r="C114" s="36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6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x14ac:dyDescent="0.25">
      <c r="A115" s="10"/>
      <c r="B115" s="25" t="s">
        <v>0</v>
      </c>
      <c r="C115" s="10"/>
      <c r="D115" s="4">
        <f>SUM(0)</f>
        <v>0</v>
      </c>
      <c r="E115" s="4"/>
      <c r="F115" s="12">
        <f>IF(D$12=0,0,D115/D$12)</f>
        <v>0</v>
      </c>
      <c r="G115" s="4"/>
      <c r="H115" s="4">
        <f>SUM(0)</f>
        <v>0</v>
      </c>
      <c r="I115" s="4"/>
      <c r="J115" s="12">
        <f>IF(H$12=0,0,H115/H$12)</f>
        <v>0</v>
      </c>
      <c r="K115" s="4"/>
      <c r="L115" s="4">
        <f>+D115-H115</f>
        <v>0</v>
      </c>
      <c r="M115" s="4"/>
      <c r="N115" s="12">
        <f>IF(H115=0,0,L115/H115)</f>
        <v>0</v>
      </c>
      <c r="O115" s="10"/>
      <c r="P115" s="4">
        <f>SUM(0)</f>
        <v>0</v>
      </c>
      <c r="Q115" s="4"/>
      <c r="R115" s="12">
        <f>IF(P$12=0,0,P115/P$12)</f>
        <v>0</v>
      </c>
      <c r="S115" s="4"/>
      <c r="T115" s="4">
        <f>SUM(0)</f>
        <v>0</v>
      </c>
      <c r="U115" s="4"/>
      <c r="V115" s="12">
        <f>IF(T$12=0,0,T115/T$12)</f>
        <v>0</v>
      </c>
      <c r="W115" s="4"/>
      <c r="X115" s="4">
        <f>+P115-T115</f>
        <v>0</v>
      </c>
      <c r="Y115" s="4"/>
      <c r="Z115" s="12">
        <f>IF(T115=0,0,X115/T115)</f>
        <v>0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6" t="s">
        <v>3</v>
      </c>
      <c r="C117" s="26"/>
      <c r="D117" s="20">
        <f>+D40-D42+D115</f>
        <v>-11315.929999999997</v>
      </c>
      <c r="E117" s="13"/>
      <c r="F117" s="19">
        <f>IF(D$12=0,0,D117/D$12)</f>
        <v>-0.60261700140270646</v>
      </c>
      <c r="G117" s="13"/>
      <c r="H117" s="20">
        <f>+H40-H42+H115</f>
        <v>-3555.494067307689</v>
      </c>
      <c r="I117" s="13"/>
      <c r="J117" s="19">
        <f>IF(H$12=0,0,H117/H$12)</f>
        <v>-9.1440837057523566E-2</v>
      </c>
      <c r="K117" s="15"/>
      <c r="L117" s="20">
        <f>+D117-H117</f>
        <v>-7760.4359326923077</v>
      </c>
      <c r="M117" s="15"/>
      <c r="N117" s="19">
        <f>IF(H117=0,0,L117/H117)</f>
        <v>2.1826603520586687</v>
      </c>
      <c r="O117" s="25"/>
      <c r="P117" s="20">
        <f>+P40-P42+P115</f>
        <v>-32776.100000000006</v>
      </c>
      <c r="Q117" s="13"/>
      <c r="R117" s="19">
        <f>IF(P$12=0,0,P117/P$12)</f>
        <v>-0.370678698683787</v>
      </c>
      <c r="S117" s="13"/>
      <c r="T117" s="20">
        <f>+T40-T42+T115</f>
        <v>2196.8642076923279</v>
      </c>
      <c r="U117" s="13"/>
      <c r="V117" s="19">
        <f>IF(T$12=0,0,T117/T$12)</f>
        <v>1.1891332418697815E-2</v>
      </c>
      <c r="W117" s="15"/>
      <c r="X117" s="20">
        <f>+P117-T117</f>
        <v>-34972.964207692334</v>
      </c>
      <c r="Y117" s="15"/>
      <c r="Z117" s="19">
        <f>IF(T117=0,0,X117/T117)</f>
        <v>-15.91949292324686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2"/>
      <c r="B119" s="10" t="s">
        <v>14</v>
      </c>
      <c r="C119" s="10"/>
      <c r="D119" s="4">
        <v>6252.2</v>
      </c>
      <c r="E119" s="4"/>
      <c r="F119" s="12">
        <f>IF(D$12=0,0,D119/D$12)</f>
        <v>0.33295381079328012</v>
      </c>
      <c r="G119" s="4"/>
      <c r="H119" s="4">
        <v>9159</v>
      </c>
      <c r="I119" s="4"/>
      <c r="J119" s="12">
        <f>IF(H$12=0,0,H119/H$12)</f>
        <v>0.23555281228300284</v>
      </c>
      <c r="K119" s="4"/>
      <c r="L119" s="4">
        <f>+D119-H119</f>
        <v>-2906.8</v>
      </c>
      <c r="M119" s="4"/>
      <c r="N119" s="12">
        <f>IF(H119=0,0,L119/H119)</f>
        <v>-0.31737089201877938</v>
      </c>
      <c r="O119" s="10"/>
      <c r="P119" s="4">
        <v>19154.080000000002</v>
      </c>
      <c r="Q119" s="4"/>
      <c r="R119" s="12">
        <f>IF(P$12=0,0,P119/P$12)</f>
        <v>0.21662154584850396</v>
      </c>
      <c r="S119" s="4"/>
      <c r="T119" s="4">
        <v>30247</v>
      </c>
      <c r="U119" s="4"/>
      <c r="V119" s="12">
        <f>IF(T$12=0,0,T119/T$12)</f>
        <v>0.16372296949849793</v>
      </c>
      <c r="W119" s="4"/>
      <c r="X119" s="4">
        <f>+P119-T119</f>
        <v>-11092.919999999998</v>
      </c>
      <c r="Y119" s="4"/>
      <c r="Z119" s="12">
        <f>IF(T119=0,0,X119/T119)</f>
        <v>-0.36674447052600251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6" t="s">
        <v>4</v>
      </c>
      <c r="C121" s="26"/>
      <c r="D121" s="34">
        <f>+D117-D119</f>
        <v>-17568.129999999997</v>
      </c>
      <c r="E121" s="13"/>
      <c r="F121" s="35">
        <f>IF(D$12=0,0,D121/D$12)</f>
        <v>-0.9355708121959867</v>
      </c>
      <c r="G121" s="13"/>
      <c r="H121" s="34">
        <f>+H117-H119</f>
        <v>-12714.494067307689</v>
      </c>
      <c r="I121" s="13"/>
      <c r="J121" s="35">
        <f>IF(H$12=0,0,H121/H$12)</f>
        <v>-0.32699364934052644</v>
      </c>
      <c r="K121" s="15"/>
      <c r="L121" s="34">
        <f>D121-H121</f>
        <v>-4853.6359326923084</v>
      </c>
      <c r="M121" s="15"/>
      <c r="N121" s="35">
        <f>IF(H121=0,0,L121/H121)</f>
        <v>0.38174039069098975</v>
      </c>
      <c r="O121" s="25"/>
      <c r="P121" s="34">
        <f>+P117-P119</f>
        <v>-51930.180000000008</v>
      </c>
      <c r="Q121" s="13"/>
      <c r="R121" s="35">
        <f>IF(P$12=0,0,P121/P$12)</f>
        <v>-0.58730024453229102</v>
      </c>
      <c r="S121" s="13"/>
      <c r="T121" s="34">
        <f>+T117-T119</f>
        <v>-28050.135792307672</v>
      </c>
      <c r="U121" s="13"/>
      <c r="V121" s="35">
        <f>IF(T$12=0,0,T121/T$12)</f>
        <v>-0.1518316370798001</v>
      </c>
      <c r="W121" s="15"/>
      <c r="X121" s="34">
        <f>P121-T121</f>
        <v>-23880.044207692335</v>
      </c>
      <c r="Y121" s="15"/>
      <c r="Z121" s="35">
        <f>IF(T121=0,0,X121/T121)</f>
        <v>0.85133435304940941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6" t="s">
        <v>5</v>
      </c>
      <c r="C124" s="26"/>
      <c r="D124" s="30">
        <f>SUM(D121:D123)</f>
        <v>-17568.129999999997</v>
      </c>
      <c r="E124" s="13"/>
      <c r="F124" s="32">
        <f>IF(D$12=0,0,D124/D$12)</f>
        <v>-0.9355708121959867</v>
      </c>
      <c r="G124" s="13"/>
      <c r="H124" s="30">
        <f>SUM(H121:H123)</f>
        <v>-12714.494067307689</v>
      </c>
      <c r="I124" s="13"/>
      <c r="J124" s="32">
        <f>IF(H$12=0,0,H124/H$12)</f>
        <v>-0.32699364934052644</v>
      </c>
      <c r="K124" s="15"/>
      <c r="L124" s="30">
        <f>+D124-H124</f>
        <v>-4853.6359326923084</v>
      </c>
      <c r="M124" s="15"/>
      <c r="N124" s="32">
        <f>IF(H124=0,0,L124/H124)</f>
        <v>0.38174039069098975</v>
      </c>
      <c r="O124" s="25"/>
      <c r="P124" s="30">
        <f>SUM(P121:P123)</f>
        <v>-51930.180000000008</v>
      </c>
      <c r="Q124" s="13"/>
      <c r="R124" s="32">
        <f>IF(P$12=0,0,P124/P$12)</f>
        <v>-0.58730024453229102</v>
      </c>
      <c r="S124" s="13"/>
      <c r="T124" s="30">
        <f>SUM(T121:T123)</f>
        <v>-28050.135792307672</v>
      </c>
      <c r="U124" s="13"/>
      <c r="V124" s="32">
        <f>IF(T$12=0,0,T124/T$12)</f>
        <v>-0.1518316370798001</v>
      </c>
      <c r="W124" s="15"/>
      <c r="X124" s="30">
        <f>+P124-T124</f>
        <v>-23880.044207692335</v>
      </c>
      <c r="Y124" s="15"/>
      <c r="Z124" s="32">
        <f>IF(T124=0,0,X124/T124)</f>
        <v>0.85133435304940941</v>
      </c>
    </row>
    <row r="125" spans="1:26" ht="15.75" thickTop="1" x14ac:dyDescent="0.25">
      <c r="A125" s="9"/>
      <c r="C125" s="9"/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A126" s="9"/>
      <c r="B126" s="60">
        <v>44151.568509108794</v>
      </c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25">
      <c r="A127" s="9"/>
      <c r="B127" s="58" t="s">
        <v>314</v>
      </c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25">
      <c r="A128" s="9"/>
      <c r="B128" s="53"/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4:24" x14ac:dyDescent="0.25"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299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SUM(0)</f>
        <v>0</v>
      </c>
      <c r="E18" s="21"/>
      <c r="F18" s="31">
        <f>IF(D$12=0,0,D18/D$12)</f>
        <v>0</v>
      </c>
      <c r="G18" s="21"/>
      <c r="H18" s="21">
        <f>SUM(0)</f>
        <v>0</v>
      </c>
      <c r="I18" s="21"/>
      <c r="J18" s="31">
        <f>IF(H$12=0,0,H18/H$12)</f>
        <v>0</v>
      </c>
      <c r="K18" s="4"/>
      <c r="L18" s="21">
        <f>+D18-H18</f>
        <v>0</v>
      </c>
      <c r="M18" s="4"/>
      <c r="N18" s="31">
        <f>IF(H18=0,0,L18/H18)</f>
        <v>0</v>
      </c>
      <c r="O18" s="10"/>
      <c r="P18" s="21">
        <f>SUM(0)</f>
        <v>0</v>
      </c>
      <c r="Q18" s="21"/>
      <c r="R18" s="31">
        <f>IF(P$12=0,0,P18/P$12)</f>
        <v>0</v>
      </c>
      <c r="S18" s="21"/>
      <c r="T18" s="21">
        <f>SUM(0)</f>
        <v>0</v>
      </c>
      <c r="U18" s="21"/>
      <c r="V18" s="31">
        <f>IF(T$12=0,0,T18/T$12)</f>
        <v>0</v>
      </c>
      <c r="W18" s="4"/>
      <c r="X18" s="21">
        <f>+P18-T18</f>
        <v>0</v>
      </c>
      <c r="Y18" s="4"/>
      <c r="Z18" s="31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0">
        <f>+D16-D18+D20</f>
        <v>0</v>
      </c>
      <c r="E22" s="13"/>
      <c r="F22" s="19">
        <f>IF(D$12=0,0,D22/D$12)</f>
        <v>0</v>
      </c>
      <c r="G22" s="13"/>
      <c r="H22" s="20">
        <f>+H16-H18+H20</f>
        <v>0</v>
      </c>
      <c r="I22" s="13"/>
      <c r="J22" s="19">
        <f>IF(H$12=0,0,H22/H$12)</f>
        <v>0</v>
      </c>
      <c r="K22" s="15"/>
      <c r="L22" s="20">
        <f>+D22-H22</f>
        <v>0</v>
      </c>
      <c r="M22" s="15"/>
      <c r="N22" s="19">
        <f>IF(H22=0,0,L22/H22)</f>
        <v>0</v>
      </c>
      <c r="O22" s="25"/>
      <c r="P22" s="20">
        <f>+P16-P18+P20</f>
        <v>0</v>
      </c>
      <c r="Q22" s="13"/>
      <c r="R22" s="19">
        <f>IF(P$12=0,0,P22/P$12)</f>
        <v>0</v>
      </c>
      <c r="S22" s="13"/>
      <c r="T22" s="20">
        <f>+T16-T18+T20</f>
        <v>0</v>
      </c>
      <c r="U22" s="13"/>
      <c r="V22" s="19">
        <f>IF(T$12=0,0,T22/T$12)</f>
        <v>0</v>
      </c>
      <c r="W22" s="15"/>
      <c r="X22" s="20">
        <f>+P22-T22</f>
        <v>0</v>
      </c>
      <c r="Y22" s="15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4">
        <f>+D22-D24</f>
        <v>0</v>
      </c>
      <c r="E26" s="13"/>
      <c r="F26" s="35">
        <f>IF(D$12=0,0,D26/D$12)</f>
        <v>0</v>
      </c>
      <c r="G26" s="13"/>
      <c r="H26" s="34">
        <f>+H22-H24</f>
        <v>0</v>
      </c>
      <c r="I26" s="13"/>
      <c r="J26" s="35">
        <f>IF(H$12=0,0,H26/H$12)</f>
        <v>0</v>
      </c>
      <c r="K26" s="15"/>
      <c r="L26" s="34">
        <f>D26-H26</f>
        <v>0</v>
      </c>
      <c r="M26" s="15"/>
      <c r="N26" s="35">
        <f>IF(H26=0,0,L26/H26)</f>
        <v>0</v>
      </c>
      <c r="O26" s="25"/>
      <c r="P26" s="34">
        <f>+P22-P24</f>
        <v>0</v>
      </c>
      <c r="Q26" s="13"/>
      <c r="R26" s="35">
        <f>IF(P$12=0,0,P26/P$12)</f>
        <v>0</v>
      </c>
      <c r="S26" s="13"/>
      <c r="T26" s="34">
        <f>+T22-T24</f>
        <v>0</v>
      </c>
      <c r="U26" s="13"/>
      <c r="V26" s="35">
        <f>IF(T$12=0,0,T26/T$12)</f>
        <v>0</v>
      </c>
      <c r="W26" s="15"/>
      <c r="X26" s="34">
        <f>P26-T26</f>
        <v>0</v>
      </c>
      <c r="Y26" s="15"/>
      <c r="Z26" s="35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-139066.28</f>
        <v>-139066.28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-154066.28</v>
      </c>
      <c r="M28" s="4"/>
      <c r="N28" s="12">
        <f t="shared" ref="N28:N29" si="4">IF(H28=0,0,L28/H28)</f>
        <v>-10.271085333333334</v>
      </c>
      <c r="O28" s="10"/>
      <c r="P28" s="4">
        <f>--580692.78</f>
        <v>580692.78</v>
      </c>
      <c r="Q28" s="4"/>
      <c r="R28" s="12">
        <f t="shared" ref="R28:R29" si="5">IF(P$12=0,0,P28/P$12)</f>
        <v>0</v>
      </c>
      <c r="S28" s="4"/>
      <c r="T28" s="4">
        <f t="shared" ref="T28:T29" si="6">--60000</f>
        <v>60000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520692.78</v>
      </c>
      <c r="Y28" s="4"/>
      <c r="Z28" s="12">
        <f t="shared" ref="Z28:Z29" si="9">IF(T28=0,0,X28/T28)</f>
        <v>8.6782130000000013</v>
      </c>
    </row>
    <row r="29" spans="1:26" s="23" customFormat="1" x14ac:dyDescent="0.25">
      <c r="A29" s="52"/>
      <c r="B29" s="10" t="s">
        <v>1</v>
      </c>
      <c r="C29" s="10"/>
      <c r="D29" s="4">
        <f>--10141.14</f>
        <v>10141.14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-4858.8600000000006</v>
      </c>
      <c r="M29" s="4"/>
      <c r="N29" s="12">
        <f t="shared" si="4"/>
        <v>-0.32392400000000005</v>
      </c>
      <c r="O29" s="10"/>
      <c r="P29" s="4">
        <f>-23119.82</f>
        <v>-23119.82</v>
      </c>
      <c r="Q29" s="4"/>
      <c r="R29" s="12">
        <f t="shared" si="5"/>
        <v>0</v>
      </c>
      <c r="S29" s="4"/>
      <c r="T29" s="4">
        <f t="shared" si="6"/>
        <v>60000</v>
      </c>
      <c r="U29" s="4"/>
      <c r="V29" s="12">
        <f t="shared" si="7"/>
        <v>0</v>
      </c>
      <c r="W29" s="4"/>
      <c r="X29" s="4">
        <f t="shared" si="8"/>
        <v>-83119.820000000007</v>
      </c>
      <c r="Y29" s="4"/>
      <c r="Z29" s="12">
        <f t="shared" si="9"/>
        <v>-1.3853303333333336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0">
        <f>SUM(D26:D30)</f>
        <v>-128925.14</v>
      </c>
      <c r="E31" s="13"/>
      <c r="F31" s="32">
        <f>IF(D$12=0,0,D31/D$12)</f>
        <v>0</v>
      </c>
      <c r="G31" s="13"/>
      <c r="H31" s="30">
        <f>SUM(H26:H30)</f>
        <v>30000</v>
      </c>
      <c r="I31" s="13"/>
      <c r="J31" s="32">
        <f>IF(H$12=0,0,H31/H$12)</f>
        <v>0</v>
      </c>
      <c r="K31" s="15"/>
      <c r="L31" s="30">
        <f>+D31-H31</f>
        <v>-158925.14000000001</v>
      </c>
      <c r="M31" s="15"/>
      <c r="N31" s="32">
        <f>IF(H31=0,0,L31/H31)</f>
        <v>-5.2975046666666668</v>
      </c>
      <c r="O31" s="25"/>
      <c r="P31" s="30">
        <f>SUM(P26:P30)</f>
        <v>557572.96000000008</v>
      </c>
      <c r="Q31" s="13"/>
      <c r="R31" s="32">
        <f>IF(P$12=0,0,P31/P$12)</f>
        <v>0</v>
      </c>
      <c r="S31" s="13"/>
      <c r="T31" s="30">
        <f>SUM(T26:T30)</f>
        <v>120000</v>
      </c>
      <c r="U31" s="13"/>
      <c r="V31" s="32">
        <f>IF(T$12=0,0,T31/T$12)</f>
        <v>0</v>
      </c>
      <c r="W31" s="15"/>
      <c r="X31" s="30">
        <f>+P31-T31</f>
        <v>437572.96000000008</v>
      </c>
      <c r="Y31" s="15"/>
      <c r="Z31" s="32">
        <f>IF(T31=0,0,X31/T31)</f>
        <v>3.6464413333333341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0">
        <v>44151.567648761571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8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3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305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10497.909999999998</v>
      </c>
      <c r="E12" s="4"/>
      <c r="F12" s="12"/>
      <c r="G12" s="4"/>
      <c r="H12" s="4">
        <f>SUM(OSRRefH13x_0)</f>
        <v>14700</v>
      </c>
      <c r="I12" s="4"/>
      <c r="J12" s="12"/>
      <c r="K12" s="4"/>
      <c r="L12" s="4">
        <f t="shared" ref="L12:L22" si="0">+D12-H12</f>
        <v>-4202.090000000002</v>
      </c>
      <c r="M12" s="4"/>
      <c r="N12" s="12">
        <f t="shared" ref="N12:N22" si="1">IF(H12=0,0,L12/H12)</f>
        <v>-0.28585646258503417</v>
      </c>
      <c r="O12" s="10"/>
      <c r="P12" s="4">
        <f>SUM(OSRRefP13x_0)</f>
        <v>71975.009999999995</v>
      </c>
      <c r="Q12" s="4"/>
      <c r="R12" s="12"/>
      <c r="S12" s="4"/>
      <c r="T12" s="4">
        <f>SUM(OSRRefT13x_0)</f>
        <v>107213</v>
      </c>
      <c r="U12" s="4"/>
      <c r="V12" s="12"/>
      <c r="W12" s="4"/>
      <c r="X12" s="4">
        <f t="shared" ref="X12:X22" si="2">+P12-T12</f>
        <v>-35237.990000000005</v>
      </c>
      <c r="Y12" s="4"/>
      <c r="Z12" s="12">
        <f t="shared" ref="Z12:Z22" si="3">IF(T12=0,0,X12/T12)</f>
        <v>-0.32867273558243876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-1.35</f>
        <v>-1.35</v>
      </c>
      <c r="E13" s="2"/>
      <c r="F13" s="22"/>
      <c r="G13" s="2"/>
      <c r="H13" s="2">
        <v>11700</v>
      </c>
      <c r="I13" s="2"/>
      <c r="J13" s="22"/>
      <c r="K13" s="2"/>
      <c r="L13" s="2">
        <f t="shared" si="0"/>
        <v>-11701.35</v>
      </c>
      <c r="M13" s="2"/>
      <c r="N13" s="22">
        <f t="shared" si="1"/>
        <v>-1.0001153846153847</v>
      </c>
      <c r="O13" s="11"/>
      <c r="P13" s="2">
        <f>-8.65</f>
        <v>-8.65</v>
      </c>
      <c r="Q13" s="2"/>
      <c r="R13" s="22"/>
      <c r="S13" s="2"/>
      <c r="T13" s="2">
        <v>98713</v>
      </c>
      <c r="U13" s="2"/>
      <c r="V13" s="22"/>
      <c r="W13" s="2"/>
      <c r="X13" s="2">
        <f t="shared" si="2"/>
        <v>-98721.65</v>
      </c>
      <c r="Y13" s="2"/>
      <c r="Z13" s="22">
        <f t="shared" si="3"/>
        <v>-1.000087627769392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--8147.55</f>
        <v>8147.55</v>
      </c>
      <c r="E14" s="2"/>
      <c r="F14" s="22"/>
      <c r="G14" s="2"/>
      <c r="H14" s="2"/>
      <c r="I14" s="2"/>
      <c r="J14" s="22"/>
      <c r="K14" s="2"/>
      <c r="L14" s="2">
        <f t="shared" si="0"/>
        <v>8147.55</v>
      </c>
      <c r="M14" s="2"/>
      <c r="N14" s="22">
        <f t="shared" si="1"/>
        <v>0</v>
      </c>
      <c r="O14" s="11"/>
      <c r="P14" s="2">
        <f>--60369.32</f>
        <v>60369.32</v>
      </c>
      <c r="Q14" s="2"/>
      <c r="R14" s="22"/>
      <c r="S14" s="2"/>
      <c r="T14" s="2"/>
      <c r="U14" s="2"/>
      <c r="V14" s="22"/>
      <c r="W14" s="2"/>
      <c r="X14" s="2">
        <f t="shared" si="2"/>
        <v>60369.32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--2053.86</f>
        <v>2053.86</v>
      </c>
      <c r="E15" s="2"/>
      <c r="F15" s="22"/>
      <c r="G15" s="2"/>
      <c r="H15" s="2"/>
      <c r="I15" s="2"/>
      <c r="J15" s="22"/>
      <c r="K15" s="2"/>
      <c r="L15" s="2">
        <f t="shared" si="0"/>
        <v>2053.86</v>
      </c>
      <c r="M15" s="2"/>
      <c r="N15" s="22">
        <f t="shared" si="1"/>
        <v>0</v>
      </c>
      <c r="O15" s="11"/>
      <c r="P15" s="2">
        <f>--11487.58</f>
        <v>11487.58</v>
      </c>
      <c r="Q15" s="2"/>
      <c r="R15" s="22"/>
      <c r="S15" s="2"/>
      <c r="T15" s="2"/>
      <c r="U15" s="2"/>
      <c r="V15" s="22"/>
      <c r="W15" s="2"/>
      <c r="X15" s="2">
        <f t="shared" si="2"/>
        <v>11487.58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--7.98</f>
        <v>7.98</v>
      </c>
      <c r="Q16" s="2"/>
      <c r="R16" s="22"/>
      <c r="S16" s="2"/>
      <c r="T16" s="2"/>
      <c r="U16" s="2"/>
      <c r="V16" s="22"/>
      <c r="W16" s="2"/>
      <c r="X16" s="2">
        <f t="shared" si="2"/>
        <v>7.98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22"/>
      <c r="G17" s="2"/>
      <c r="H17" s="2">
        <v>3000</v>
      </c>
      <c r="I17" s="2"/>
      <c r="J17" s="22"/>
      <c r="K17" s="2"/>
      <c r="L17" s="2">
        <f t="shared" si="0"/>
        <v>-3000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8500</v>
      </c>
      <c r="U17" s="2"/>
      <c r="V17" s="22"/>
      <c r="W17" s="2"/>
      <c r="X17" s="2">
        <f t="shared" si="2"/>
        <v>-8500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--54</f>
        <v>54</v>
      </c>
      <c r="E18" s="2"/>
      <c r="F18" s="22"/>
      <c r="G18" s="2"/>
      <c r="H18" s="2"/>
      <c r="I18" s="2"/>
      <c r="J18" s="22"/>
      <c r="K18" s="2"/>
      <c r="L18" s="2">
        <f t="shared" si="0"/>
        <v>54</v>
      </c>
      <c r="M18" s="2"/>
      <c r="N18" s="22">
        <f t="shared" si="1"/>
        <v>0</v>
      </c>
      <c r="O18" s="11"/>
      <c r="P18" s="2">
        <f>--511.5</f>
        <v>511.5</v>
      </c>
      <c r="Q18" s="2"/>
      <c r="R18" s="22"/>
      <c r="S18" s="2"/>
      <c r="T18" s="2"/>
      <c r="U18" s="2"/>
      <c r="V18" s="22"/>
      <c r="W18" s="2"/>
      <c r="X18" s="2">
        <f t="shared" si="2"/>
        <v>511.5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--245</f>
        <v>245</v>
      </c>
      <c r="E19" s="2"/>
      <c r="F19" s="22"/>
      <c r="G19" s="2"/>
      <c r="H19" s="2"/>
      <c r="I19" s="2"/>
      <c r="J19" s="22"/>
      <c r="K19" s="2"/>
      <c r="L19" s="2">
        <f t="shared" si="0"/>
        <v>245</v>
      </c>
      <c r="M19" s="2"/>
      <c r="N19" s="22">
        <f t="shared" si="1"/>
        <v>0</v>
      </c>
      <c r="O19" s="11"/>
      <c r="P19" s="2">
        <f>--250.98</f>
        <v>250.98</v>
      </c>
      <c r="Q19" s="2"/>
      <c r="R19" s="22"/>
      <c r="S19" s="2"/>
      <c r="T19" s="2"/>
      <c r="U19" s="2"/>
      <c r="V19" s="22"/>
      <c r="W19" s="2"/>
      <c r="X19" s="2">
        <f t="shared" si="2"/>
        <v>250.98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--21.3</f>
        <v>21.3</v>
      </c>
      <c r="E20" s="2"/>
      <c r="F20" s="22"/>
      <c r="G20" s="2"/>
      <c r="H20" s="2"/>
      <c r="I20" s="2"/>
      <c r="J20" s="22"/>
      <c r="K20" s="2"/>
      <c r="L20" s="2">
        <f t="shared" si="0"/>
        <v>21.3</v>
      </c>
      <c r="M20" s="2"/>
      <c r="N20" s="22">
        <f t="shared" si="1"/>
        <v>0</v>
      </c>
      <c r="O20" s="11"/>
      <c r="P20" s="2">
        <f t="shared" ref="P20:P21" si="5">--86.5</f>
        <v>86.5</v>
      </c>
      <c r="Q20" s="2"/>
      <c r="R20" s="22"/>
      <c r="S20" s="2"/>
      <c r="T20" s="2"/>
      <c r="U20" s="2"/>
      <c r="V20" s="22"/>
      <c r="W20" s="2"/>
      <c r="X20" s="2">
        <f t="shared" si="2"/>
        <v>86.5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--38.5</f>
        <v>38.5</v>
      </c>
      <c r="E21" s="2"/>
      <c r="F21" s="22"/>
      <c r="G21" s="2"/>
      <c r="H21" s="2"/>
      <c r="I21" s="2"/>
      <c r="J21" s="22"/>
      <c r="K21" s="2"/>
      <c r="L21" s="2">
        <f t="shared" si="0"/>
        <v>38.5</v>
      </c>
      <c r="M21" s="2"/>
      <c r="N21" s="22">
        <f t="shared" si="1"/>
        <v>0</v>
      </c>
      <c r="O21" s="11"/>
      <c r="P21" s="2">
        <f t="shared" si="5"/>
        <v>86.5</v>
      </c>
      <c r="Q21" s="2"/>
      <c r="R21" s="22"/>
      <c r="S21" s="2"/>
      <c r="T21" s="2"/>
      <c r="U21" s="2"/>
      <c r="V21" s="22"/>
      <c r="W21" s="2"/>
      <c r="X21" s="2">
        <f t="shared" si="2"/>
        <v>86.5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-60.95</f>
        <v>-60.95</v>
      </c>
      <c r="E22" s="2"/>
      <c r="F22" s="22"/>
      <c r="G22" s="2"/>
      <c r="H22" s="2"/>
      <c r="I22" s="2"/>
      <c r="J22" s="22"/>
      <c r="K22" s="2"/>
      <c r="L22" s="2">
        <f t="shared" si="0"/>
        <v>-60.95</v>
      </c>
      <c r="M22" s="2"/>
      <c r="N22" s="22">
        <f t="shared" si="1"/>
        <v>0</v>
      </c>
      <c r="O22" s="11"/>
      <c r="P22" s="2">
        <f>-816.7</f>
        <v>-816.7</v>
      </c>
      <c r="Q22" s="2"/>
      <c r="R22" s="22"/>
      <c r="S22" s="2"/>
      <c r="T22" s="2"/>
      <c r="U22" s="2"/>
      <c r="V22" s="22"/>
      <c r="W22" s="2"/>
      <c r="X22" s="2">
        <f t="shared" si="2"/>
        <v>-816.7</v>
      </c>
      <c r="Y22" s="2"/>
      <c r="Z22" s="22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6</v>
      </c>
      <c r="C26" s="26"/>
      <c r="D26" s="20">
        <f>D12-D24</f>
        <v>10497.909999999998</v>
      </c>
      <c r="E26" s="13"/>
      <c r="F26" s="19">
        <f>IF(D$12=0,0,D26/D$12)</f>
        <v>1</v>
      </c>
      <c r="G26" s="13"/>
      <c r="H26" s="20">
        <f>H12-H24</f>
        <v>14700</v>
      </c>
      <c r="I26" s="13"/>
      <c r="J26" s="19">
        <f>IF(H$12=0,0,H26/H$12)</f>
        <v>1</v>
      </c>
      <c r="K26" s="15"/>
      <c r="L26" s="20">
        <f>+D26-H26</f>
        <v>-4202.090000000002</v>
      </c>
      <c r="M26" s="15"/>
      <c r="N26" s="19">
        <f>IF(H26=0,0,L26/H26)</f>
        <v>-0.28585646258503417</v>
      </c>
      <c r="O26" s="25"/>
      <c r="P26" s="20">
        <f>P12-P24</f>
        <v>71975.009999999995</v>
      </c>
      <c r="Q26" s="13"/>
      <c r="R26" s="19">
        <f>IF(P$12=0,0,P26/P$12)</f>
        <v>1</v>
      </c>
      <c r="S26" s="13"/>
      <c r="T26" s="20">
        <f>T12-T24</f>
        <v>107213</v>
      </c>
      <c r="U26" s="13"/>
      <c r="V26" s="19">
        <f>IF(T$12=0,0,T26/T$12)</f>
        <v>1</v>
      </c>
      <c r="W26" s="15"/>
      <c r="X26" s="20">
        <f>+P26-T26</f>
        <v>-35237.990000000005</v>
      </c>
      <c r="Y26" s="15"/>
      <c r="Z26" s="19">
        <f>IF(T26=0,0,X26/T26)</f>
        <v>-0.32867273558243876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9</v>
      </c>
      <c r="C28" s="10"/>
      <c r="D28" s="21">
        <f>SUM(OSRRefD22x_0)</f>
        <v>83949.309999999983</v>
      </c>
      <c r="E28" s="21"/>
      <c r="F28" s="31">
        <f t="shared" ref="F28:F38" si="6">IF(D$12=0,0,D28/D$12)</f>
        <v>7.9967641178101161</v>
      </c>
      <c r="G28" s="21"/>
      <c r="H28" s="21">
        <f>SUM(OSRRefH22x_0)</f>
        <v>38823.243496240408</v>
      </c>
      <c r="I28" s="21"/>
      <c r="J28" s="31">
        <f t="shared" ref="J28:J38" si="7">IF(H$12=0,0,H28/H$12)</f>
        <v>2.6410369725333611</v>
      </c>
      <c r="K28" s="4"/>
      <c r="L28" s="21">
        <f t="shared" ref="L28:L38" si="8">+D28-H28</f>
        <v>45126.066503759575</v>
      </c>
      <c r="M28" s="4"/>
      <c r="N28" s="31">
        <f t="shared" ref="N28:N38" si="9">IF(H28=0,0,L28/H28)</f>
        <v>1.1623466367030753</v>
      </c>
      <c r="O28" s="10"/>
      <c r="P28" s="21">
        <f>SUM(OSRRefP22x_0)</f>
        <v>121005.69</v>
      </c>
      <c r="Q28" s="21"/>
      <c r="R28" s="31">
        <f t="shared" ref="R28:R38" si="10">IF(P$12=0,0,P28/P$12)</f>
        <v>1.6812181061176652</v>
      </c>
      <c r="S28" s="21"/>
      <c r="T28" s="21">
        <f>SUM(OSRRefT22x_0)</f>
        <v>136464.27910646549</v>
      </c>
      <c r="U28" s="21"/>
      <c r="V28" s="31">
        <f t="shared" ref="V28:V38" si="11">IF(T$12=0,0,T28/T$12)</f>
        <v>1.2728333234445961</v>
      </c>
      <c r="W28" s="4"/>
      <c r="X28" s="21">
        <f t="shared" ref="X28:X38" si="12">+P28-T28</f>
        <v>-15458.589106465486</v>
      </c>
      <c r="Y28" s="4"/>
      <c r="Z28" s="31">
        <f t="shared" ref="Z28:Z38" si="13">IF(T28=0,0,X28/T28)</f>
        <v>-0.11327938129805487</v>
      </c>
    </row>
    <row r="29" spans="1:26" s="27" customFormat="1" outlineLevel="1" collapsed="1" x14ac:dyDescent="0.25">
      <c r="A29" s="29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10414.129999999999</v>
      </c>
      <c r="E29" s="1"/>
      <c r="F29" s="5">
        <f t="shared" si="6"/>
        <v>0.99201936385432921</v>
      </c>
      <c r="G29" s="1"/>
      <c r="H29" s="1">
        <f>SUM(OSRRefH22_0x_0)</f>
        <v>7335.3577943173032</v>
      </c>
      <c r="I29" s="1"/>
      <c r="J29" s="5">
        <f t="shared" si="7"/>
        <v>0.49900393158621109</v>
      </c>
      <c r="K29" s="1"/>
      <c r="L29" s="1">
        <f t="shared" si="8"/>
        <v>3078.772205682696</v>
      </c>
      <c r="M29" s="1"/>
      <c r="N29" s="5">
        <f t="shared" si="9"/>
        <v>0.41971670530752009</v>
      </c>
      <c r="O29" s="14"/>
      <c r="P29" s="1">
        <f>SUM(OSRRefP22_0x_0)</f>
        <v>36273.040000000001</v>
      </c>
      <c r="Q29" s="1"/>
      <c r="R29" s="5">
        <f t="shared" si="10"/>
        <v>0.50396714081734761</v>
      </c>
      <c r="S29" s="1"/>
      <c r="T29" s="1">
        <f>SUM(OSRRefT22_0x_0)</f>
        <v>27501.490579542289</v>
      </c>
      <c r="U29" s="1"/>
      <c r="V29" s="5">
        <f t="shared" si="11"/>
        <v>0.25651264846186833</v>
      </c>
      <c r="W29" s="1"/>
      <c r="X29" s="1">
        <f t="shared" si="12"/>
        <v>8771.5494204577117</v>
      </c>
      <c r="Y29" s="1"/>
      <c r="Z29" s="5">
        <f t="shared" si="13"/>
        <v>0.31894814555915962</v>
      </c>
    </row>
    <row r="30" spans="1:26" s="24" customFormat="1" hidden="1" outlineLevel="2" x14ac:dyDescent="0.25">
      <c r="A30" s="28"/>
      <c r="B30" s="11" t="str">
        <f>CONCATENATE("          ", "6111", " - ", "F.I.C.A.")</f>
        <v xml:space="preserve">          6111 - F.I.C.A.</v>
      </c>
      <c r="C30" s="11"/>
      <c r="D30" s="7">
        <v>2004</v>
      </c>
      <c r="E30" s="2"/>
      <c r="F30" s="6">
        <f t="shared" si="6"/>
        <v>0.19089514008026362</v>
      </c>
      <c r="G30" s="2"/>
      <c r="H30" s="7">
        <v>1301.96978922115</v>
      </c>
      <c r="I30" s="2"/>
      <c r="J30" s="6">
        <f t="shared" si="7"/>
        <v>8.8569373416404765E-2</v>
      </c>
      <c r="K30" s="2"/>
      <c r="L30" s="7">
        <f t="shared" si="8"/>
        <v>702.03021077885001</v>
      </c>
      <c r="M30" s="2"/>
      <c r="N30" s="6">
        <f t="shared" si="9"/>
        <v>0.5392062216734006</v>
      </c>
      <c r="O30" s="11"/>
      <c r="P30" s="7">
        <v>5558.26</v>
      </c>
      <c r="Q30" s="2"/>
      <c r="R30" s="6">
        <f t="shared" si="10"/>
        <v>7.7224859017039391E-2</v>
      </c>
      <c r="S30" s="2"/>
      <c r="T30" s="7">
        <v>4762.7794111961402</v>
      </c>
      <c r="U30" s="2"/>
      <c r="V30" s="6">
        <f t="shared" si="11"/>
        <v>4.4423525236642385E-2</v>
      </c>
      <c r="W30" s="2"/>
      <c r="X30" s="7">
        <f t="shared" si="12"/>
        <v>795.48058880385997</v>
      </c>
      <c r="Y30" s="2"/>
      <c r="Z30" s="6">
        <f t="shared" si="13"/>
        <v>0.16702024597945433</v>
      </c>
    </row>
    <row r="31" spans="1:26" s="24" customFormat="1" hidden="1" outlineLevel="2" x14ac:dyDescent="0.25">
      <c r="A31" s="28"/>
      <c r="B31" s="11" t="str">
        <f>CONCATENATE("          ", "6112", " - ", "COMPENSATION INSURANCE")</f>
        <v xml:space="preserve">          6112 - COMPENSATION INSURANCE</v>
      </c>
      <c r="C31" s="11"/>
      <c r="D31" s="7">
        <v>308.31</v>
      </c>
      <c r="E31" s="2"/>
      <c r="F31" s="6">
        <f t="shared" si="6"/>
        <v>2.9368702913246548E-2</v>
      </c>
      <c r="G31" s="2"/>
      <c r="H31" s="7">
        <v>347.44001490384596</v>
      </c>
      <c r="I31" s="2"/>
      <c r="J31" s="6">
        <f t="shared" si="7"/>
        <v>2.3635375163526935E-2</v>
      </c>
      <c r="K31" s="2"/>
      <c r="L31" s="7">
        <f t="shared" si="8"/>
        <v>-39.130014903845961</v>
      </c>
      <c r="M31" s="2"/>
      <c r="N31" s="6">
        <f t="shared" si="9"/>
        <v>-0.11262380044127961</v>
      </c>
      <c r="O31" s="11"/>
      <c r="P31" s="7">
        <v>1230.6500000000001</v>
      </c>
      <c r="Q31" s="2"/>
      <c r="R31" s="6">
        <f t="shared" si="10"/>
        <v>1.7098295644557747E-2</v>
      </c>
      <c r="S31" s="2"/>
      <c r="T31" s="7">
        <v>1228.652503653846</v>
      </c>
      <c r="U31" s="2"/>
      <c r="V31" s="6">
        <f t="shared" si="11"/>
        <v>1.145992093919437E-2</v>
      </c>
      <c r="W31" s="2"/>
      <c r="X31" s="7">
        <f t="shared" si="12"/>
        <v>1.9974963461540938</v>
      </c>
      <c r="Y31" s="2"/>
      <c r="Z31" s="6">
        <f t="shared" si="13"/>
        <v>1.625761832750766E-3</v>
      </c>
    </row>
    <row r="32" spans="1:26" s="24" customFormat="1" hidden="1" outlineLevel="2" x14ac:dyDescent="0.25">
      <c r="A32" s="28"/>
      <c r="B32" s="11" t="str">
        <f>CONCATENATE("          ", "6113", " - ", "GROUP INSURANCE")</f>
        <v xml:space="preserve">          6113 - GROUP INSURANCE</v>
      </c>
      <c r="C32" s="11"/>
      <c r="D32" s="7">
        <v>3423.78</v>
      </c>
      <c r="E32" s="2"/>
      <c r="F32" s="6">
        <f t="shared" si="6"/>
        <v>0.32613920294611032</v>
      </c>
      <c r="G32" s="2"/>
      <c r="H32" s="7">
        <v>2645</v>
      </c>
      <c r="I32" s="2"/>
      <c r="J32" s="6">
        <f t="shared" si="7"/>
        <v>0.17993197278911566</v>
      </c>
      <c r="K32" s="2"/>
      <c r="L32" s="7">
        <f t="shared" si="8"/>
        <v>778.7800000000002</v>
      </c>
      <c r="M32" s="2"/>
      <c r="N32" s="6">
        <f t="shared" si="9"/>
        <v>0.29443478260869571</v>
      </c>
      <c r="O32" s="11"/>
      <c r="P32" s="7">
        <v>12893.77</v>
      </c>
      <c r="Q32" s="2"/>
      <c r="R32" s="6">
        <f t="shared" si="10"/>
        <v>0.17914231620113705</v>
      </c>
      <c r="S32" s="2"/>
      <c r="T32" s="7">
        <v>10580</v>
      </c>
      <c r="U32" s="2"/>
      <c r="V32" s="6">
        <f t="shared" si="11"/>
        <v>9.8682062809547347E-2</v>
      </c>
      <c r="W32" s="2"/>
      <c r="X32" s="7">
        <f t="shared" si="12"/>
        <v>2313.7700000000004</v>
      </c>
      <c r="Y32" s="2"/>
      <c r="Z32" s="6">
        <f t="shared" si="13"/>
        <v>0.21869281663516071</v>
      </c>
    </row>
    <row r="33" spans="1:26" s="24" customFormat="1" hidden="1" outlineLevel="2" x14ac:dyDescent="0.25">
      <c r="A33" s="28"/>
      <c r="B33" s="11" t="str">
        <f>CONCATENATE("          ", "6114", " - ", "STATE UNEMPLOYMENT INSURANCE")</f>
        <v xml:space="preserve">          6114 - STATE UNEMPLOYMENT INSURANCE</v>
      </c>
      <c r="C33" s="11"/>
      <c r="D33" s="7">
        <v>43.33</v>
      </c>
      <c r="E33" s="2"/>
      <c r="F33" s="6">
        <f t="shared" si="6"/>
        <v>4.1274882333721674E-3</v>
      </c>
      <c r="G33" s="2"/>
      <c r="H33" s="7">
        <v>53.527607500000002</v>
      </c>
      <c r="I33" s="2"/>
      <c r="J33" s="6">
        <f t="shared" si="7"/>
        <v>3.6413338435374149E-3</v>
      </c>
      <c r="K33" s="2"/>
      <c r="L33" s="7">
        <f t="shared" si="8"/>
        <v>-10.197607500000004</v>
      </c>
      <c r="M33" s="2"/>
      <c r="N33" s="6">
        <f t="shared" si="9"/>
        <v>-0.19051117687260735</v>
      </c>
      <c r="O33" s="11"/>
      <c r="P33" s="7">
        <v>172.95</v>
      </c>
      <c r="Q33" s="2"/>
      <c r="R33" s="6">
        <f t="shared" si="10"/>
        <v>2.4029173458954712E-3</v>
      </c>
      <c r="S33" s="2"/>
      <c r="T33" s="7">
        <v>185.21528699999999</v>
      </c>
      <c r="U33" s="2"/>
      <c r="V33" s="6">
        <f t="shared" si="11"/>
        <v>1.7275450458433211E-3</v>
      </c>
      <c r="W33" s="2"/>
      <c r="X33" s="7">
        <f t="shared" si="12"/>
        <v>-12.265287000000001</v>
      </c>
      <c r="Y33" s="2"/>
      <c r="Z33" s="6">
        <f t="shared" si="13"/>
        <v>-6.6221785462017513E-2</v>
      </c>
    </row>
    <row r="34" spans="1:26" s="24" customFormat="1" hidden="1" outlineLevel="2" x14ac:dyDescent="0.25">
      <c r="A34" s="28"/>
      <c r="B34" s="11" t="str">
        <f>CONCATENATE("          ", "6115", " - ", "P.E.R.S.")</f>
        <v xml:space="preserve">          6115 - P.E.R.S.</v>
      </c>
      <c r="C34" s="11"/>
      <c r="D34" s="7">
        <v>1202.9100000000001</v>
      </c>
      <c r="E34" s="2"/>
      <c r="F34" s="6">
        <f t="shared" si="6"/>
        <v>0.1145856651466816</v>
      </c>
      <c r="G34" s="2"/>
      <c r="H34" s="7">
        <v>1239.9085557692301</v>
      </c>
      <c r="I34" s="2"/>
      <c r="J34" s="6">
        <f t="shared" si="7"/>
        <v>8.4347520800627906E-2</v>
      </c>
      <c r="K34" s="2"/>
      <c r="L34" s="7">
        <f t="shared" si="8"/>
        <v>-36.998555769230052</v>
      </c>
      <c r="M34" s="2"/>
      <c r="N34" s="6">
        <f t="shared" si="9"/>
        <v>-2.9839745517584899E-2</v>
      </c>
      <c r="O34" s="11"/>
      <c r="P34" s="7">
        <v>6498.27</v>
      </c>
      <c r="Q34" s="2"/>
      <c r="R34" s="6">
        <f t="shared" si="10"/>
        <v>9.0285086448754936E-2</v>
      </c>
      <c r="S34" s="2"/>
      <c r="T34" s="7">
        <v>4463.6708007692305</v>
      </c>
      <c r="U34" s="2"/>
      <c r="V34" s="6">
        <f t="shared" si="11"/>
        <v>4.1633671297037024E-2</v>
      </c>
      <c r="W34" s="2"/>
      <c r="X34" s="7">
        <f t="shared" si="12"/>
        <v>2034.59919923077</v>
      </c>
      <c r="Y34" s="2"/>
      <c r="Z34" s="6">
        <f t="shared" si="13"/>
        <v>0.45581300459705604</v>
      </c>
    </row>
    <row r="35" spans="1:26" s="24" customFormat="1" hidden="1" outlineLevel="2" x14ac:dyDescent="0.25">
      <c r="A35" s="28"/>
      <c r="B35" s="11" t="str">
        <f>CONCATENATE("          ", "6116", " - ", "EDUCATIONAL BENEFITS")</f>
        <v xml:space="preserve">          6116 - EDUCATIONAL BENEFITS</v>
      </c>
      <c r="C35" s="11"/>
      <c r="D35" s="7"/>
      <c r="E35" s="2"/>
      <c r="F35" s="6">
        <f t="shared" si="6"/>
        <v>0</v>
      </c>
      <c r="G35" s="2"/>
      <c r="H35" s="7">
        <v>0</v>
      </c>
      <c r="I35" s="2"/>
      <c r="J35" s="6">
        <f t="shared" si="7"/>
        <v>0</v>
      </c>
      <c r="K35" s="2"/>
      <c r="L35" s="7">
        <f t="shared" si="8"/>
        <v>0</v>
      </c>
      <c r="M35" s="2"/>
      <c r="N35" s="6">
        <f t="shared" si="9"/>
        <v>0</v>
      </c>
      <c r="O35" s="11"/>
      <c r="P35" s="7"/>
      <c r="Q35" s="2"/>
      <c r="R35" s="6">
        <f t="shared" si="10"/>
        <v>0</v>
      </c>
      <c r="S35" s="2"/>
      <c r="T35" s="7">
        <v>0</v>
      </c>
      <c r="U35" s="2"/>
      <c r="V35" s="6">
        <f t="shared" si="11"/>
        <v>0</v>
      </c>
      <c r="W35" s="2"/>
      <c r="X35" s="7">
        <f t="shared" si="12"/>
        <v>0</v>
      </c>
      <c r="Y35" s="2"/>
      <c r="Z35" s="6">
        <f t="shared" si="13"/>
        <v>0</v>
      </c>
    </row>
    <row r="36" spans="1:26" s="24" customFormat="1" hidden="1" outlineLevel="2" x14ac:dyDescent="0.25">
      <c r="A36" s="28"/>
      <c r="B36" s="11" t="str">
        <f>CONCATENATE("          ", "6118", " - ", "VACATION")</f>
        <v xml:space="preserve">          6118 - VACATION</v>
      </c>
      <c r="C36" s="11"/>
      <c r="D36" s="7">
        <v>1824.15</v>
      </c>
      <c r="E36" s="2"/>
      <c r="F36" s="6">
        <f t="shared" si="6"/>
        <v>0.17376315857156333</v>
      </c>
      <c r="G36" s="2"/>
      <c r="H36" s="7">
        <v>1195.7663557692301</v>
      </c>
      <c r="I36" s="2"/>
      <c r="J36" s="6">
        <f t="shared" si="7"/>
        <v>8.1344650052328576E-2</v>
      </c>
      <c r="K36" s="2"/>
      <c r="L36" s="7">
        <f t="shared" si="8"/>
        <v>628.38364423076996</v>
      </c>
      <c r="M36" s="2"/>
      <c r="N36" s="6">
        <f t="shared" si="9"/>
        <v>0.52550704508368118</v>
      </c>
      <c r="O36" s="11"/>
      <c r="P36" s="7">
        <v>5235.2299999999996</v>
      </c>
      <c r="Q36" s="2"/>
      <c r="R36" s="6">
        <f t="shared" si="10"/>
        <v>7.2736773499579924E-2</v>
      </c>
      <c r="S36" s="2"/>
      <c r="T36" s="7">
        <v>4304.75888076923</v>
      </c>
      <c r="U36" s="2"/>
      <c r="V36" s="6">
        <f t="shared" si="11"/>
        <v>4.0151463728924947E-2</v>
      </c>
      <c r="W36" s="2"/>
      <c r="X36" s="7">
        <f t="shared" si="12"/>
        <v>930.47111923076955</v>
      </c>
      <c r="Y36" s="2"/>
      <c r="Z36" s="6">
        <f t="shared" si="13"/>
        <v>0.21614941626289205</v>
      </c>
    </row>
    <row r="37" spans="1:26" s="24" customFormat="1" hidden="1" outlineLevel="2" x14ac:dyDescent="0.25">
      <c r="A37" s="28"/>
      <c r="B37" s="11" t="str">
        <f>CONCATENATE("          ", "6119", " - ", "SICK LEAVE")</f>
        <v xml:space="preserve">          6119 - SICK LEAVE</v>
      </c>
      <c r="C37" s="11"/>
      <c r="D37" s="7">
        <v>1107.75</v>
      </c>
      <c r="E37" s="2"/>
      <c r="F37" s="6">
        <f t="shared" si="6"/>
        <v>0.10552100370454692</v>
      </c>
      <c r="G37" s="2"/>
      <c r="H37" s="7">
        <v>551.74547115384598</v>
      </c>
      <c r="I37" s="2"/>
      <c r="J37" s="6">
        <f t="shared" si="7"/>
        <v>3.7533705520669793E-2</v>
      </c>
      <c r="K37" s="2"/>
      <c r="L37" s="7">
        <f t="shared" si="8"/>
        <v>556.00452884615402</v>
      </c>
      <c r="M37" s="2"/>
      <c r="N37" s="6">
        <f t="shared" si="9"/>
        <v>1.0077192435914357</v>
      </c>
      <c r="O37" s="11"/>
      <c r="P37" s="7">
        <v>3217.27</v>
      </c>
      <c r="Q37" s="2"/>
      <c r="R37" s="6">
        <f t="shared" si="10"/>
        <v>4.4699820118121555E-2</v>
      </c>
      <c r="S37" s="2"/>
      <c r="T37" s="7">
        <v>1976.4136961538461</v>
      </c>
      <c r="U37" s="2"/>
      <c r="V37" s="6">
        <f t="shared" si="11"/>
        <v>1.8434459404678968E-2</v>
      </c>
      <c r="W37" s="2"/>
      <c r="X37" s="7">
        <f t="shared" si="12"/>
        <v>1240.8563038461539</v>
      </c>
      <c r="Y37" s="2"/>
      <c r="Z37" s="6">
        <f t="shared" si="13"/>
        <v>0.62783227330436608</v>
      </c>
    </row>
    <row r="38" spans="1:26" s="24" customFormat="1" hidden="1" outlineLevel="2" x14ac:dyDescent="0.25">
      <c r="A38" s="28"/>
      <c r="B38" s="11" t="str">
        <f>CONCATENATE("          ", "6156", " - ", "EMPLOYEE MEALS")</f>
        <v xml:space="preserve">          6156 - EMPLOYEE MEALS</v>
      </c>
      <c r="C38" s="11"/>
      <c r="D38" s="7">
        <v>499.9</v>
      </c>
      <c r="E38" s="2"/>
      <c r="F38" s="6">
        <f t="shared" si="6"/>
        <v>4.7619002258544804E-2</v>
      </c>
      <c r="G38" s="2"/>
      <c r="H38" s="7"/>
      <c r="I38" s="2"/>
      <c r="J38" s="6">
        <f t="shared" si="7"/>
        <v>0</v>
      </c>
      <c r="K38" s="2"/>
      <c r="L38" s="7">
        <f t="shared" si="8"/>
        <v>499.9</v>
      </c>
      <c r="M38" s="2"/>
      <c r="N38" s="6">
        <f t="shared" si="9"/>
        <v>0</v>
      </c>
      <c r="O38" s="11"/>
      <c r="P38" s="7">
        <v>1466.64</v>
      </c>
      <c r="Q38" s="2"/>
      <c r="R38" s="6">
        <f t="shared" si="10"/>
        <v>2.0377072542261548E-2</v>
      </c>
      <c r="S38" s="2"/>
      <c r="T38" s="7"/>
      <c r="U38" s="2"/>
      <c r="V38" s="6">
        <f t="shared" si="11"/>
        <v>0</v>
      </c>
      <c r="W38" s="2"/>
      <c r="X38" s="7">
        <f t="shared" si="12"/>
        <v>1466.64</v>
      </c>
      <c r="Y38" s="2"/>
      <c r="Z38" s="6">
        <f t="shared" si="13"/>
        <v>0</v>
      </c>
    </row>
    <row r="39" spans="1:26" s="27" customFormat="1" outlineLevel="1" collapsed="1" x14ac:dyDescent="0.25">
      <c r="A39" s="29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15617.39</v>
      </c>
      <c r="E39" s="1"/>
      <c r="F39" s="5">
        <f t="shared" ref="F39:F49" si="14">IF(D$12=0,0,D39/D$12)</f>
        <v>1.4876665926836867</v>
      </c>
      <c r="G39" s="1"/>
      <c r="H39" s="1">
        <f>SUM(OSRRefH22_1x_0)</f>
        <v>12746.8857019231</v>
      </c>
      <c r="I39" s="1"/>
      <c r="J39" s="5">
        <f t="shared" ref="J39:J49" si="15">IF(H$12=0,0,H39/H$12)</f>
        <v>0.8671350817634762</v>
      </c>
      <c r="K39" s="1"/>
      <c r="L39" s="1">
        <f t="shared" ref="L39:L49" si="16">+D39-H39</f>
        <v>2870.5042980768994</v>
      </c>
      <c r="M39" s="1"/>
      <c r="N39" s="5">
        <f t="shared" ref="N39:N49" si="17">IF(H39=0,0,L39/H39)</f>
        <v>0.22519259725093727</v>
      </c>
      <c r="O39" s="14"/>
      <c r="P39" s="1">
        <f>SUM(OSRRefP22_1x_0)</f>
        <v>60168.05</v>
      </c>
      <c r="Q39" s="1"/>
      <c r="R39" s="5">
        <f t="shared" ref="R39:R49" si="18">IF(P$12=0,0,P39/P$12)</f>
        <v>0.83595750802952318</v>
      </c>
      <c r="S39" s="1"/>
      <c r="T39" s="1">
        <f>SUM(OSRRefT22_1x_0)</f>
        <v>45888.788526923199</v>
      </c>
      <c r="U39" s="1"/>
      <c r="V39" s="5">
        <f t="shared" ref="V39:V49" si="19">IF(T$12=0,0,T39/T$12)</f>
        <v>0.42801515233155679</v>
      </c>
      <c r="W39" s="1"/>
      <c r="X39" s="1">
        <f t="shared" ref="X39:X49" si="20">+P39-T39</f>
        <v>14279.261473076804</v>
      </c>
      <c r="Y39" s="1"/>
      <c r="Z39" s="5">
        <f t="shared" ref="Z39:Z49" si="21">IF(T39=0,0,X39/T39)</f>
        <v>0.31117102742207031</v>
      </c>
    </row>
    <row r="40" spans="1:26" s="24" customFormat="1" hidden="1" outlineLevel="2" x14ac:dyDescent="0.25">
      <c r="A40" s="28"/>
      <c r="B40" s="11" t="str">
        <f>CONCATENATE("          ", "6001", " - ", "ADMINISTRATIVE SALARIES")</f>
        <v xml:space="preserve">          6001 - ADMINISTRATIVE SALARIES</v>
      </c>
      <c r="C40" s="11"/>
      <c r="D40" s="7"/>
      <c r="E40" s="2"/>
      <c r="F40" s="6">
        <f t="shared" si="14"/>
        <v>0</v>
      </c>
      <c r="G40" s="2"/>
      <c r="H40" s="7">
        <v>0</v>
      </c>
      <c r="I40" s="2"/>
      <c r="J40" s="6">
        <f t="shared" si="15"/>
        <v>0</v>
      </c>
      <c r="K40" s="2"/>
      <c r="L40" s="7">
        <f t="shared" si="16"/>
        <v>0</v>
      </c>
      <c r="M40" s="2"/>
      <c r="N40" s="6">
        <f t="shared" si="17"/>
        <v>0</v>
      </c>
      <c r="O40" s="11"/>
      <c r="P40" s="7"/>
      <c r="Q40" s="2"/>
      <c r="R40" s="6">
        <f t="shared" si="18"/>
        <v>0</v>
      </c>
      <c r="S40" s="2"/>
      <c r="T40" s="7">
        <v>0</v>
      </c>
      <c r="U40" s="2"/>
      <c r="V40" s="6">
        <f t="shared" si="19"/>
        <v>0</v>
      </c>
      <c r="W40" s="2"/>
      <c r="X40" s="7">
        <f t="shared" si="20"/>
        <v>0</v>
      </c>
      <c r="Y40" s="2"/>
      <c r="Z40" s="6">
        <f t="shared" si="21"/>
        <v>0</v>
      </c>
    </row>
    <row r="41" spans="1:26" s="24" customFormat="1" hidden="1" outlineLevel="2" x14ac:dyDescent="0.25">
      <c r="A41" s="28"/>
      <c r="B41" s="11" t="str">
        <f>CONCATENATE("          ", "6002", " - ", "STAFF SALARIES")</f>
        <v xml:space="preserve">          6002 - STAFF SALARIES</v>
      </c>
      <c r="C41" s="11"/>
      <c r="D41" s="7">
        <v>14754.47</v>
      </c>
      <c r="E41" s="2"/>
      <c r="F41" s="6">
        <f t="shared" si="14"/>
        <v>1.4054673739820596</v>
      </c>
      <c r="G41" s="2"/>
      <c r="H41" s="7">
        <v>12746.8857019231</v>
      </c>
      <c r="I41" s="2"/>
      <c r="J41" s="6">
        <f t="shared" si="15"/>
        <v>0.8671350817634762</v>
      </c>
      <c r="K41" s="2"/>
      <c r="L41" s="7">
        <f t="shared" si="16"/>
        <v>2007.5842980768994</v>
      </c>
      <c r="M41" s="2"/>
      <c r="N41" s="6">
        <f t="shared" si="17"/>
        <v>0.15749606178503811</v>
      </c>
      <c r="O41" s="11"/>
      <c r="P41" s="7">
        <v>56768.43</v>
      </c>
      <c r="Q41" s="2"/>
      <c r="R41" s="6">
        <f t="shared" si="18"/>
        <v>0.78872416968056003</v>
      </c>
      <c r="S41" s="2"/>
      <c r="T41" s="7">
        <v>45888.788526923199</v>
      </c>
      <c r="U41" s="2"/>
      <c r="V41" s="6">
        <f t="shared" si="19"/>
        <v>0.42801515233155679</v>
      </c>
      <c r="W41" s="2"/>
      <c r="X41" s="7">
        <f t="shared" si="20"/>
        <v>10879.641473076801</v>
      </c>
      <c r="Y41" s="2"/>
      <c r="Z41" s="6">
        <f t="shared" si="21"/>
        <v>0.23708713658225378</v>
      </c>
    </row>
    <row r="42" spans="1:26" s="24" customFormat="1" hidden="1" outlineLevel="2" x14ac:dyDescent="0.25">
      <c r="A42" s="28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14"/>
        <v>0</v>
      </c>
      <c r="G42" s="2"/>
      <c r="H42" s="7">
        <v>0</v>
      </c>
      <c r="I42" s="2"/>
      <c r="J42" s="6">
        <f t="shared" si="15"/>
        <v>0</v>
      </c>
      <c r="K42" s="2"/>
      <c r="L42" s="7">
        <f t="shared" si="16"/>
        <v>0</v>
      </c>
      <c r="M42" s="2"/>
      <c r="N42" s="6">
        <f t="shared" si="17"/>
        <v>0</v>
      </c>
      <c r="O42" s="11"/>
      <c r="P42" s="7"/>
      <c r="Q42" s="2"/>
      <c r="R42" s="6">
        <f t="shared" si="18"/>
        <v>0</v>
      </c>
      <c r="S42" s="2"/>
      <c r="T42" s="7">
        <v>0</v>
      </c>
      <c r="U42" s="2"/>
      <c r="V42" s="6">
        <f t="shared" si="19"/>
        <v>0</v>
      </c>
      <c r="W42" s="2"/>
      <c r="X42" s="7">
        <f t="shared" si="20"/>
        <v>0</v>
      </c>
      <c r="Y42" s="2"/>
      <c r="Z42" s="6">
        <f t="shared" si="21"/>
        <v>0</v>
      </c>
    </row>
    <row r="43" spans="1:26" s="24" customFormat="1" hidden="1" outlineLevel="2" x14ac:dyDescent="0.25">
      <c r="A43" s="28"/>
      <c r="B43" s="11" t="str">
        <f>CONCATENATE("          ", "6004", " - ", "STAFF HOURLY")</f>
        <v xml:space="preserve">          6004 - STAFF HOURLY</v>
      </c>
      <c r="C43" s="11"/>
      <c r="D43" s="7"/>
      <c r="E43" s="2"/>
      <c r="F43" s="6">
        <f t="shared" si="14"/>
        <v>0</v>
      </c>
      <c r="G43" s="2"/>
      <c r="H43" s="7">
        <v>0</v>
      </c>
      <c r="I43" s="2"/>
      <c r="J43" s="6">
        <f t="shared" si="15"/>
        <v>0</v>
      </c>
      <c r="K43" s="2"/>
      <c r="L43" s="7">
        <f t="shared" si="16"/>
        <v>0</v>
      </c>
      <c r="M43" s="2"/>
      <c r="N43" s="6">
        <f t="shared" si="17"/>
        <v>0</v>
      </c>
      <c r="O43" s="11"/>
      <c r="P43" s="7"/>
      <c r="Q43" s="2"/>
      <c r="R43" s="6">
        <f t="shared" si="18"/>
        <v>0</v>
      </c>
      <c r="S43" s="2"/>
      <c r="T43" s="7">
        <v>0</v>
      </c>
      <c r="U43" s="2"/>
      <c r="V43" s="6">
        <f t="shared" si="19"/>
        <v>0</v>
      </c>
      <c r="W43" s="2"/>
      <c r="X43" s="7">
        <f t="shared" si="20"/>
        <v>0</v>
      </c>
      <c r="Y43" s="2"/>
      <c r="Z43" s="6">
        <f t="shared" si="21"/>
        <v>0</v>
      </c>
    </row>
    <row r="44" spans="1:26" s="24" customFormat="1" hidden="1" outlineLevel="2" x14ac:dyDescent="0.25">
      <c r="A44" s="28"/>
      <c r="B44" s="11" t="str">
        <f>CONCATENATE("          ", "6005", " - ", "TEMPORARY WAGES-HOURLY")</f>
        <v xml:space="preserve">          6005 - TEMPORARY WAGES-HOURLY</v>
      </c>
      <c r="C44" s="11"/>
      <c r="D44" s="7"/>
      <c r="E44" s="2"/>
      <c r="F44" s="6">
        <f t="shared" si="14"/>
        <v>0</v>
      </c>
      <c r="G44" s="2"/>
      <c r="H44" s="7">
        <v>0</v>
      </c>
      <c r="I44" s="2"/>
      <c r="J44" s="6">
        <f t="shared" si="15"/>
        <v>0</v>
      </c>
      <c r="K44" s="2"/>
      <c r="L44" s="7">
        <f t="shared" si="16"/>
        <v>0</v>
      </c>
      <c r="M44" s="2"/>
      <c r="N44" s="6">
        <f t="shared" si="17"/>
        <v>0</v>
      </c>
      <c r="O44" s="11"/>
      <c r="P44" s="7">
        <v>383.25</v>
      </c>
      <c r="Q44" s="2"/>
      <c r="R44" s="6">
        <f t="shared" si="18"/>
        <v>5.3247648037839804E-3</v>
      </c>
      <c r="S44" s="2"/>
      <c r="T44" s="7">
        <v>0</v>
      </c>
      <c r="U44" s="2"/>
      <c r="V44" s="6">
        <f t="shared" si="19"/>
        <v>0</v>
      </c>
      <c r="W44" s="2"/>
      <c r="X44" s="7">
        <f t="shared" si="20"/>
        <v>383.25</v>
      </c>
      <c r="Y44" s="2"/>
      <c r="Z44" s="6">
        <f t="shared" si="21"/>
        <v>0</v>
      </c>
    </row>
    <row r="45" spans="1:26" s="24" customFormat="1" hidden="1" outlineLevel="2" x14ac:dyDescent="0.25">
      <c r="A45" s="28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14"/>
        <v>0</v>
      </c>
      <c r="G45" s="2"/>
      <c r="H45" s="7">
        <v>0</v>
      </c>
      <c r="I45" s="2"/>
      <c r="J45" s="6">
        <f t="shared" si="15"/>
        <v>0</v>
      </c>
      <c r="K45" s="2"/>
      <c r="L45" s="7">
        <f t="shared" si="16"/>
        <v>0</v>
      </c>
      <c r="M45" s="2"/>
      <c r="N45" s="6">
        <f t="shared" si="17"/>
        <v>0</v>
      </c>
      <c r="O45" s="11"/>
      <c r="P45" s="7"/>
      <c r="Q45" s="2"/>
      <c r="R45" s="6">
        <f t="shared" si="18"/>
        <v>0</v>
      </c>
      <c r="S45" s="2"/>
      <c r="T45" s="7">
        <v>0</v>
      </c>
      <c r="U45" s="2"/>
      <c r="V45" s="6">
        <f t="shared" si="19"/>
        <v>0</v>
      </c>
      <c r="W45" s="2"/>
      <c r="X45" s="7">
        <f t="shared" si="20"/>
        <v>0</v>
      </c>
      <c r="Y45" s="2"/>
      <c r="Z45" s="6">
        <f t="shared" si="21"/>
        <v>0</v>
      </c>
    </row>
    <row r="46" spans="1:26" s="24" customFormat="1" hidden="1" outlineLevel="2" x14ac:dyDescent="0.25">
      <c r="A46" s="28"/>
      <c r="B46" s="11" t="str">
        <f>CONCATENATE("          ", "6007", " - ", "STUDENT HOURLY")</f>
        <v xml:space="preserve">          6007 - STUDENT HOURLY</v>
      </c>
      <c r="C46" s="11"/>
      <c r="D46" s="7">
        <v>862.92</v>
      </c>
      <c r="E46" s="2"/>
      <c r="F46" s="6">
        <f t="shared" si="14"/>
        <v>8.2199218701627288E-2</v>
      </c>
      <c r="G46" s="2"/>
      <c r="H46" s="7">
        <v>0</v>
      </c>
      <c r="I46" s="2"/>
      <c r="J46" s="6">
        <f t="shared" si="15"/>
        <v>0</v>
      </c>
      <c r="K46" s="2"/>
      <c r="L46" s="7">
        <f t="shared" si="16"/>
        <v>862.92</v>
      </c>
      <c r="M46" s="2"/>
      <c r="N46" s="6">
        <f t="shared" si="17"/>
        <v>0</v>
      </c>
      <c r="O46" s="11"/>
      <c r="P46" s="7">
        <v>3016.37</v>
      </c>
      <c r="Q46" s="2"/>
      <c r="R46" s="6">
        <f t="shared" si="18"/>
        <v>4.1908573545179087E-2</v>
      </c>
      <c r="S46" s="2"/>
      <c r="T46" s="7">
        <v>0</v>
      </c>
      <c r="U46" s="2"/>
      <c r="V46" s="6">
        <f t="shared" si="19"/>
        <v>0</v>
      </c>
      <c r="W46" s="2"/>
      <c r="X46" s="7">
        <f t="shared" si="20"/>
        <v>3016.37</v>
      </c>
      <c r="Y46" s="2"/>
      <c r="Z46" s="6">
        <f t="shared" si="21"/>
        <v>0</v>
      </c>
    </row>
    <row r="47" spans="1:26" s="24" customFormat="1" hidden="1" outlineLevel="2" x14ac:dyDescent="0.25">
      <c r="A47" s="28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14"/>
        <v>0</v>
      </c>
      <c r="G47" s="2"/>
      <c r="H47" s="7">
        <v>0</v>
      </c>
      <c r="I47" s="2"/>
      <c r="J47" s="6">
        <f t="shared" si="15"/>
        <v>0</v>
      </c>
      <c r="K47" s="2"/>
      <c r="L47" s="7">
        <f t="shared" si="16"/>
        <v>0</v>
      </c>
      <c r="M47" s="2"/>
      <c r="N47" s="6">
        <f t="shared" si="17"/>
        <v>0</v>
      </c>
      <c r="O47" s="11"/>
      <c r="P47" s="7"/>
      <c r="Q47" s="2"/>
      <c r="R47" s="6">
        <f t="shared" si="18"/>
        <v>0</v>
      </c>
      <c r="S47" s="2"/>
      <c r="T47" s="7">
        <v>0</v>
      </c>
      <c r="U47" s="2"/>
      <c r="V47" s="6">
        <f t="shared" si="19"/>
        <v>0</v>
      </c>
      <c r="W47" s="2"/>
      <c r="X47" s="7">
        <f t="shared" si="20"/>
        <v>0</v>
      </c>
      <c r="Y47" s="2"/>
      <c r="Z47" s="6">
        <f t="shared" si="21"/>
        <v>0</v>
      </c>
    </row>
    <row r="48" spans="1:26" s="24" customFormat="1" hidden="1" outlineLevel="2" x14ac:dyDescent="0.25">
      <c r="A48" s="28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14"/>
        <v>0</v>
      </c>
      <c r="G48" s="2"/>
      <c r="H48" s="7">
        <v>0</v>
      </c>
      <c r="I48" s="2"/>
      <c r="J48" s="6">
        <f t="shared" si="15"/>
        <v>0</v>
      </c>
      <c r="K48" s="2"/>
      <c r="L48" s="7">
        <f t="shared" si="16"/>
        <v>0</v>
      </c>
      <c r="M48" s="2"/>
      <c r="N48" s="6">
        <f t="shared" si="17"/>
        <v>0</v>
      </c>
      <c r="O48" s="11"/>
      <c r="P48" s="7"/>
      <c r="Q48" s="2"/>
      <c r="R48" s="6">
        <f t="shared" si="18"/>
        <v>0</v>
      </c>
      <c r="S48" s="2"/>
      <c r="T48" s="7">
        <v>0</v>
      </c>
      <c r="U48" s="2"/>
      <c r="V48" s="6">
        <f t="shared" si="19"/>
        <v>0</v>
      </c>
      <c r="W48" s="2"/>
      <c r="X48" s="7">
        <f t="shared" si="20"/>
        <v>0</v>
      </c>
      <c r="Y48" s="2"/>
      <c r="Z48" s="6">
        <f t="shared" si="21"/>
        <v>0</v>
      </c>
    </row>
    <row r="49" spans="1:26" s="24" customFormat="1" hidden="1" outlineLevel="2" x14ac:dyDescent="0.25">
      <c r="A49" s="28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14"/>
        <v>0</v>
      </c>
      <c r="G49" s="2"/>
      <c r="H49" s="7">
        <v>0</v>
      </c>
      <c r="I49" s="2"/>
      <c r="J49" s="6">
        <f t="shared" si="15"/>
        <v>0</v>
      </c>
      <c r="K49" s="2"/>
      <c r="L49" s="7">
        <f t="shared" si="16"/>
        <v>0</v>
      </c>
      <c r="M49" s="2"/>
      <c r="N49" s="6">
        <f t="shared" si="17"/>
        <v>0</v>
      </c>
      <c r="O49" s="11"/>
      <c r="P49" s="7"/>
      <c r="Q49" s="2"/>
      <c r="R49" s="6">
        <f t="shared" si="18"/>
        <v>0</v>
      </c>
      <c r="S49" s="2"/>
      <c r="T49" s="7">
        <v>0</v>
      </c>
      <c r="U49" s="2"/>
      <c r="V49" s="6">
        <f t="shared" si="19"/>
        <v>0</v>
      </c>
      <c r="W49" s="2"/>
      <c r="X49" s="7">
        <f t="shared" si="20"/>
        <v>0</v>
      </c>
      <c r="Y49" s="2"/>
      <c r="Z49" s="6">
        <f t="shared" si="21"/>
        <v>0</v>
      </c>
    </row>
    <row r="50" spans="1:26" s="27" customFormat="1" outlineLevel="1" collapsed="1" x14ac:dyDescent="0.25">
      <c r="A50" s="29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0" si="22">IF(D$12=0,0,D50/D$12)</f>
        <v>0</v>
      </c>
      <c r="G50" s="1"/>
      <c r="H50" s="1">
        <f>SUM(OSRRefH22_2x_0)</f>
        <v>50</v>
      </c>
      <c r="I50" s="1"/>
      <c r="J50" s="5">
        <f t="shared" ref="J50:J60" si="23">IF(H$12=0,0,H50/H$12)</f>
        <v>3.4013605442176869E-3</v>
      </c>
      <c r="K50" s="1"/>
      <c r="L50" s="1">
        <f t="shared" ref="L50:L60" si="24">+D50-H50</f>
        <v>-50</v>
      </c>
      <c r="M50" s="1"/>
      <c r="N50" s="5">
        <f t="shared" ref="N50:N60" si="25">IF(H50=0,0,L50/H50)</f>
        <v>-1</v>
      </c>
      <c r="O50" s="14"/>
      <c r="P50" s="1">
        <f>SUM(OSRRefP22_2x_0)</f>
        <v>0</v>
      </c>
      <c r="Q50" s="1"/>
      <c r="R50" s="5">
        <f t="shared" ref="R50:R60" si="26">IF(P$12=0,0,P50/P$12)</f>
        <v>0</v>
      </c>
      <c r="S50" s="1"/>
      <c r="T50" s="1">
        <f>SUM(OSRRefT22_2x_0)</f>
        <v>200</v>
      </c>
      <c r="U50" s="1"/>
      <c r="V50" s="5">
        <f t="shared" ref="V50:V60" si="27">IF(T$12=0,0,T50/T$12)</f>
        <v>1.8654454217305737E-3</v>
      </c>
      <c r="W50" s="1"/>
      <c r="X50" s="1">
        <f t="shared" ref="X50:X60" si="28">+P50-T50</f>
        <v>-200</v>
      </c>
      <c r="Y50" s="1"/>
      <c r="Z50" s="5">
        <f t="shared" ref="Z50:Z60" si="29">IF(T50=0,0,X50/T50)</f>
        <v>-1</v>
      </c>
    </row>
    <row r="51" spans="1:26" s="24" customFormat="1" hidden="1" outlineLevel="2" x14ac:dyDescent="0.25">
      <c r="A51" s="28"/>
      <c r="B51" s="11" t="str">
        <f>CONCATENATE("          ", "6362", " - ", "ADVERTISING EXPENSE")</f>
        <v xml:space="preserve">          6362 - ADVERTISING EXPENSE</v>
      </c>
      <c r="C51" s="11"/>
      <c r="D51" s="7"/>
      <c r="E51" s="2"/>
      <c r="F51" s="6">
        <f t="shared" si="22"/>
        <v>0</v>
      </c>
      <c r="G51" s="2"/>
      <c r="H51" s="7">
        <v>50</v>
      </c>
      <c r="I51" s="2"/>
      <c r="J51" s="6">
        <f t="shared" si="23"/>
        <v>3.4013605442176869E-3</v>
      </c>
      <c r="K51" s="2"/>
      <c r="L51" s="7">
        <f t="shared" si="24"/>
        <v>-50</v>
      </c>
      <c r="M51" s="2"/>
      <c r="N51" s="6">
        <f t="shared" si="25"/>
        <v>-1</v>
      </c>
      <c r="O51" s="11"/>
      <c r="P51" s="7"/>
      <c r="Q51" s="2"/>
      <c r="R51" s="6">
        <f t="shared" si="26"/>
        <v>0</v>
      </c>
      <c r="S51" s="2"/>
      <c r="T51" s="7">
        <v>200</v>
      </c>
      <c r="U51" s="2"/>
      <c r="V51" s="6">
        <f t="shared" si="27"/>
        <v>1.8654454217305737E-3</v>
      </c>
      <c r="W51" s="2"/>
      <c r="X51" s="7">
        <f t="shared" si="28"/>
        <v>-200</v>
      </c>
      <c r="Y51" s="2"/>
      <c r="Z51" s="6">
        <f t="shared" si="29"/>
        <v>-1</v>
      </c>
    </row>
    <row r="52" spans="1:26" s="27" customFormat="1" outlineLevel="1" collapsed="1" x14ac:dyDescent="0.25">
      <c r="A52" s="29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SUM(OSRRefD22_3x_0)</f>
        <v>169.88</v>
      </c>
      <c r="E52" s="1"/>
      <c r="F52" s="5">
        <f t="shared" si="22"/>
        <v>1.61822686610954E-2</v>
      </c>
      <c r="G52" s="1"/>
      <c r="H52" s="1">
        <f>SUM(OSRRefH22_3x_0)</f>
        <v>170</v>
      </c>
      <c r="I52" s="1"/>
      <c r="J52" s="5">
        <f t="shared" si="23"/>
        <v>1.1564625850340135E-2</v>
      </c>
      <c r="K52" s="1"/>
      <c r="L52" s="1">
        <f t="shared" si="24"/>
        <v>-0.12000000000000455</v>
      </c>
      <c r="M52" s="1"/>
      <c r="N52" s="5">
        <f t="shared" si="25"/>
        <v>-7.0588235294120319E-4</v>
      </c>
      <c r="O52" s="14"/>
      <c r="P52" s="1">
        <f>SUM(OSRRefP22_3x_0)</f>
        <v>679.52</v>
      </c>
      <c r="Q52" s="1"/>
      <c r="R52" s="5">
        <f t="shared" si="26"/>
        <v>9.4410546104821656E-3</v>
      </c>
      <c r="S52" s="1"/>
      <c r="T52" s="1">
        <f>SUM(OSRRefT22_3x_0)</f>
        <v>680</v>
      </c>
      <c r="U52" s="1"/>
      <c r="V52" s="5">
        <f t="shared" si="27"/>
        <v>6.342514433883951E-3</v>
      </c>
      <c r="W52" s="1"/>
      <c r="X52" s="1">
        <f t="shared" si="28"/>
        <v>-0.48000000000001819</v>
      </c>
      <c r="Y52" s="1"/>
      <c r="Z52" s="5">
        <f t="shared" si="29"/>
        <v>-7.0588235294120319E-4</v>
      </c>
    </row>
    <row r="53" spans="1:26" s="24" customFormat="1" hidden="1" outlineLevel="2" x14ac:dyDescent="0.25">
      <c r="A53" s="28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169.88</v>
      </c>
      <c r="E53" s="2"/>
      <c r="F53" s="6">
        <f t="shared" si="22"/>
        <v>1.61822686610954E-2</v>
      </c>
      <c r="G53" s="2"/>
      <c r="H53" s="7">
        <v>170</v>
      </c>
      <c r="I53" s="2"/>
      <c r="J53" s="6">
        <f t="shared" si="23"/>
        <v>1.1564625850340135E-2</v>
      </c>
      <c r="K53" s="2"/>
      <c r="L53" s="7">
        <f t="shared" si="24"/>
        <v>-0.12000000000000455</v>
      </c>
      <c r="M53" s="2"/>
      <c r="N53" s="6">
        <f t="shared" si="25"/>
        <v>-7.0588235294120319E-4</v>
      </c>
      <c r="O53" s="11"/>
      <c r="P53" s="7">
        <v>679.52</v>
      </c>
      <c r="Q53" s="2"/>
      <c r="R53" s="6">
        <f t="shared" si="26"/>
        <v>9.4410546104821656E-3</v>
      </c>
      <c r="S53" s="2"/>
      <c r="T53" s="7">
        <v>680</v>
      </c>
      <c r="U53" s="2"/>
      <c r="V53" s="6">
        <f t="shared" si="27"/>
        <v>6.342514433883951E-3</v>
      </c>
      <c r="W53" s="2"/>
      <c r="X53" s="7">
        <f t="shared" si="28"/>
        <v>-0.48000000000001819</v>
      </c>
      <c r="Y53" s="2"/>
      <c r="Z53" s="6">
        <f t="shared" si="29"/>
        <v>-7.0588235294120319E-4</v>
      </c>
    </row>
    <row r="54" spans="1:26" s="27" customFormat="1" outlineLevel="1" collapsed="1" x14ac:dyDescent="0.25">
      <c r="A54" s="29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0</v>
      </c>
      <c r="E54" s="1"/>
      <c r="F54" s="5">
        <f t="shared" si="22"/>
        <v>0</v>
      </c>
      <c r="G54" s="1"/>
      <c r="H54" s="1">
        <f>SUM(OSRRefH22_4x_0)</f>
        <v>50</v>
      </c>
      <c r="I54" s="1"/>
      <c r="J54" s="5">
        <f t="shared" si="23"/>
        <v>3.4013605442176869E-3</v>
      </c>
      <c r="K54" s="1"/>
      <c r="L54" s="1">
        <f t="shared" si="24"/>
        <v>-50</v>
      </c>
      <c r="M54" s="1"/>
      <c r="N54" s="5">
        <f t="shared" si="25"/>
        <v>-1</v>
      </c>
      <c r="O54" s="14"/>
      <c r="P54" s="1">
        <f>SUM(OSRRefP22_4x_0)</f>
        <v>0</v>
      </c>
      <c r="Q54" s="1"/>
      <c r="R54" s="5">
        <f t="shared" si="26"/>
        <v>0</v>
      </c>
      <c r="S54" s="1"/>
      <c r="T54" s="1">
        <f>SUM(OSRRefT22_4x_0)</f>
        <v>200</v>
      </c>
      <c r="U54" s="1"/>
      <c r="V54" s="5">
        <f t="shared" si="27"/>
        <v>1.8654454217305737E-3</v>
      </c>
      <c r="W54" s="1"/>
      <c r="X54" s="1">
        <f t="shared" si="28"/>
        <v>-200</v>
      </c>
      <c r="Y54" s="1"/>
      <c r="Z54" s="5">
        <f t="shared" si="29"/>
        <v>-1</v>
      </c>
    </row>
    <row r="55" spans="1:26" s="24" customFormat="1" hidden="1" outlineLevel="2" x14ac:dyDescent="0.25">
      <c r="A55" s="28"/>
      <c r="B55" s="11" t="str">
        <f>CONCATENATE("          ", "6382", " - ", "DISCOUNTS/MARK DOWNS")</f>
        <v xml:space="preserve">          6382 - DISCOUNTS/MARK DOWNS</v>
      </c>
      <c r="C55" s="11"/>
      <c r="D55" s="7"/>
      <c r="E55" s="2"/>
      <c r="F55" s="6">
        <f t="shared" si="22"/>
        <v>0</v>
      </c>
      <c r="G55" s="2"/>
      <c r="H55" s="7">
        <v>50</v>
      </c>
      <c r="I55" s="2"/>
      <c r="J55" s="6">
        <f t="shared" si="23"/>
        <v>3.4013605442176869E-3</v>
      </c>
      <c r="K55" s="2"/>
      <c r="L55" s="7">
        <f t="shared" si="24"/>
        <v>-50</v>
      </c>
      <c r="M55" s="2"/>
      <c r="N55" s="6">
        <f t="shared" si="25"/>
        <v>-1</v>
      </c>
      <c r="O55" s="11"/>
      <c r="P55" s="7"/>
      <c r="Q55" s="2"/>
      <c r="R55" s="6">
        <f t="shared" si="26"/>
        <v>0</v>
      </c>
      <c r="S55" s="2"/>
      <c r="T55" s="7">
        <v>200</v>
      </c>
      <c r="U55" s="2"/>
      <c r="V55" s="6">
        <f t="shared" si="27"/>
        <v>1.8654454217305737E-3</v>
      </c>
      <c r="W55" s="2"/>
      <c r="X55" s="7">
        <f t="shared" si="28"/>
        <v>-200</v>
      </c>
      <c r="Y55" s="2"/>
      <c r="Z55" s="6">
        <f t="shared" si="29"/>
        <v>-1</v>
      </c>
    </row>
    <row r="56" spans="1:26" s="27" customFormat="1" outlineLevel="1" collapsed="1" x14ac:dyDescent="0.25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SUM(OSRRefD22_5x_0)</f>
        <v>1205.6400000000001</v>
      </c>
      <c r="E56" s="1"/>
      <c r="F56" s="5">
        <f t="shared" si="22"/>
        <v>0.11484571690936581</v>
      </c>
      <c r="G56" s="1"/>
      <c r="H56" s="1">
        <f>SUM(OSRRefH22_5x_0)</f>
        <v>1206</v>
      </c>
      <c r="I56" s="1"/>
      <c r="J56" s="5">
        <f t="shared" si="23"/>
        <v>8.2040816326530611E-2</v>
      </c>
      <c r="K56" s="1"/>
      <c r="L56" s="1">
        <f t="shared" si="24"/>
        <v>-0.35999999999989996</v>
      </c>
      <c r="M56" s="1"/>
      <c r="N56" s="5">
        <f t="shared" si="25"/>
        <v>-2.9850746268648423E-4</v>
      </c>
      <c r="O56" s="14"/>
      <c r="P56" s="1">
        <f>SUM(OSRRefP22_5x_0)</f>
        <v>4822.5600000000004</v>
      </c>
      <c r="Q56" s="1"/>
      <c r="R56" s="5">
        <f t="shared" si="26"/>
        <v>6.7003255713337179E-2</v>
      </c>
      <c r="S56" s="1"/>
      <c r="T56" s="1">
        <f>SUM(OSRRefT22_5x_0)</f>
        <v>4824</v>
      </c>
      <c r="U56" s="1"/>
      <c r="V56" s="5">
        <f t="shared" si="27"/>
        <v>4.4994543572141436E-2</v>
      </c>
      <c r="W56" s="1"/>
      <c r="X56" s="1">
        <f t="shared" si="28"/>
        <v>-1.4399999999995998</v>
      </c>
      <c r="Y56" s="1"/>
      <c r="Z56" s="5">
        <f t="shared" si="29"/>
        <v>-2.9850746268648423E-4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7">
        <v>1205.6400000000001</v>
      </c>
      <c r="E57" s="2"/>
      <c r="F57" s="6">
        <f t="shared" si="22"/>
        <v>0.11484571690936581</v>
      </c>
      <c r="G57" s="2"/>
      <c r="H57" s="7">
        <v>1206</v>
      </c>
      <c r="I57" s="2"/>
      <c r="J57" s="6">
        <f t="shared" si="23"/>
        <v>8.2040816326530611E-2</v>
      </c>
      <c r="K57" s="2"/>
      <c r="L57" s="7">
        <f t="shared" si="24"/>
        <v>-0.35999999999989996</v>
      </c>
      <c r="M57" s="2"/>
      <c r="N57" s="6">
        <f t="shared" si="25"/>
        <v>-2.9850746268648423E-4</v>
      </c>
      <c r="O57" s="11"/>
      <c r="P57" s="7">
        <v>4822.5600000000004</v>
      </c>
      <c r="Q57" s="2"/>
      <c r="R57" s="6">
        <f t="shared" si="26"/>
        <v>6.7003255713337179E-2</v>
      </c>
      <c r="S57" s="2"/>
      <c r="T57" s="7">
        <v>4824</v>
      </c>
      <c r="U57" s="2"/>
      <c r="V57" s="6">
        <f t="shared" si="27"/>
        <v>4.4994543572141436E-2</v>
      </c>
      <c r="W57" s="2"/>
      <c r="X57" s="7">
        <f t="shared" si="28"/>
        <v>-1.4399999999995998</v>
      </c>
      <c r="Y57" s="2"/>
      <c r="Z57" s="6">
        <f t="shared" si="29"/>
        <v>-2.9850746268648423E-4</v>
      </c>
    </row>
    <row r="58" spans="1:26" s="27" customFormat="1" outlineLevel="1" collapsed="1" x14ac:dyDescent="0.25">
      <c r="A58" s="29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48851.520000000004</v>
      </c>
      <c r="E58" s="1"/>
      <c r="F58" s="5">
        <f t="shared" si="22"/>
        <v>4.6534519728212578</v>
      </c>
      <c r="G58" s="1"/>
      <c r="H58" s="1">
        <f>SUM(OSRRefH22_6x_0)</f>
        <v>5500</v>
      </c>
      <c r="I58" s="1"/>
      <c r="J58" s="5">
        <f t="shared" si="23"/>
        <v>0.37414965986394561</v>
      </c>
      <c r="K58" s="1"/>
      <c r="L58" s="1">
        <f t="shared" si="24"/>
        <v>43351.520000000004</v>
      </c>
      <c r="M58" s="1"/>
      <c r="N58" s="5">
        <f t="shared" si="25"/>
        <v>7.8820945454545459</v>
      </c>
      <c r="O58" s="14"/>
      <c r="P58" s="1">
        <f>SUM(OSRRefP22_6x_0)</f>
        <v>-33149.160000000018</v>
      </c>
      <c r="Q58" s="1"/>
      <c r="R58" s="5">
        <f t="shared" si="26"/>
        <v>-0.46056485438487638</v>
      </c>
      <c r="S58" s="1"/>
      <c r="T58" s="1">
        <f>SUM(OSRRefT22_6x_0)</f>
        <v>28310</v>
      </c>
      <c r="U58" s="1"/>
      <c r="V58" s="5">
        <f t="shared" si="27"/>
        <v>0.26405379944596269</v>
      </c>
      <c r="W58" s="1"/>
      <c r="X58" s="1">
        <f t="shared" si="28"/>
        <v>-61459.160000000018</v>
      </c>
      <c r="Y58" s="1"/>
      <c r="Z58" s="5">
        <f t="shared" si="29"/>
        <v>-2.1709346520664083</v>
      </c>
    </row>
    <row r="59" spans="1:26" s="24" customFormat="1" hidden="1" outlineLevel="2" x14ac:dyDescent="0.25">
      <c r="A59" s="28"/>
      <c r="B59" s="11" t="str">
        <f>CONCATENATE("          ", "6305", " - ", "FREIGHT OUT")</f>
        <v xml:space="preserve">          6305 - FREIGHT OUT</v>
      </c>
      <c r="C59" s="11"/>
      <c r="D59" s="7">
        <v>60553.990000000005</v>
      </c>
      <c r="E59" s="2"/>
      <c r="F59" s="6">
        <f t="shared" si="22"/>
        <v>5.768194812110222</v>
      </c>
      <c r="G59" s="2"/>
      <c r="H59" s="7">
        <v>3000</v>
      </c>
      <c r="I59" s="2"/>
      <c r="J59" s="6">
        <f t="shared" si="23"/>
        <v>0.20408163265306123</v>
      </c>
      <c r="K59" s="2"/>
      <c r="L59" s="7">
        <f t="shared" si="24"/>
        <v>57553.990000000005</v>
      </c>
      <c r="M59" s="2"/>
      <c r="N59" s="6">
        <f t="shared" si="25"/>
        <v>19.184663333333337</v>
      </c>
      <c r="O59" s="11"/>
      <c r="P59" s="7">
        <v>85594.78</v>
      </c>
      <c r="Q59" s="2"/>
      <c r="R59" s="6">
        <f t="shared" si="26"/>
        <v>1.189229150506544</v>
      </c>
      <c r="S59" s="2"/>
      <c r="T59" s="7">
        <v>13560</v>
      </c>
      <c r="U59" s="2"/>
      <c r="V59" s="6">
        <f t="shared" si="27"/>
        <v>0.1264771995933329</v>
      </c>
      <c r="W59" s="2"/>
      <c r="X59" s="7">
        <f t="shared" si="28"/>
        <v>72034.78</v>
      </c>
      <c r="Y59" s="2"/>
      <c r="Z59" s="6">
        <f t="shared" si="29"/>
        <v>5.3122994100294987</v>
      </c>
    </row>
    <row r="60" spans="1:26" s="24" customFormat="1" hidden="1" outlineLevel="2" x14ac:dyDescent="0.25">
      <c r="A60" s="28"/>
      <c r="B60" s="11" t="str">
        <f>CONCATENATE("          ", "6307", " - ", "POSTAGE")</f>
        <v xml:space="preserve">          6307 - POSTAGE</v>
      </c>
      <c r="C60" s="11"/>
      <c r="D60" s="7">
        <v>-11702.47</v>
      </c>
      <c r="E60" s="2"/>
      <c r="F60" s="6">
        <f t="shared" si="22"/>
        <v>-1.1147428392889633</v>
      </c>
      <c r="G60" s="2"/>
      <c r="H60" s="7">
        <v>2500</v>
      </c>
      <c r="I60" s="2"/>
      <c r="J60" s="6">
        <f t="shared" si="23"/>
        <v>0.17006802721088435</v>
      </c>
      <c r="K60" s="2"/>
      <c r="L60" s="7">
        <f t="shared" si="24"/>
        <v>-14202.47</v>
      </c>
      <c r="M60" s="2"/>
      <c r="N60" s="6">
        <f t="shared" si="25"/>
        <v>-5.6809880000000001</v>
      </c>
      <c r="O60" s="11"/>
      <c r="P60" s="7">
        <v>-118743.94000000002</v>
      </c>
      <c r="Q60" s="2"/>
      <c r="R60" s="6">
        <f t="shared" si="26"/>
        <v>-1.6497940048914204</v>
      </c>
      <c r="S60" s="2"/>
      <c r="T60" s="7">
        <v>14750</v>
      </c>
      <c r="U60" s="2"/>
      <c r="V60" s="6">
        <f t="shared" si="27"/>
        <v>0.13757659985262982</v>
      </c>
      <c r="W60" s="2"/>
      <c r="X60" s="7">
        <f t="shared" si="28"/>
        <v>-133493.94</v>
      </c>
      <c r="Y60" s="2"/>
      <c r="Z60" s="6">
        <f t="shared" si="29"/>
        <v>-9.0504366101694913</v>
      </c>
    </row>
    <row r="61" spans="1:26" s="27" customFormat="1" outlineLevel="1" collapsed="1" x14ac:dyDescent="0.25">
      <c r="A61" s="29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SUM(OSRRefD22_7x_0)</f>
        <v>5274.0899999999992</v>
      </c>
      <c r="E61" s="1"/>
      <c r="F61" s="5">
        <f t="shared" ref="F61:F63" si="30">IF(D$12=0,0,D61/D$12)</f>
        <v>0.5023942861007572</v>
      </c>
      <c r="G61" s="1"/>
      <c r="H61" s="1">
        <f>SUM(OSRRefH22_7x_0)</f>
        <v>9000</v>
      </c>
      <c r="I61" s="1"/>
      <c r="J61" s="5">
        <f t="shared" ref="J61:J63" si="31">IF(H$12=0,0,H61/H$12)</f>
        <v>0.61224489795918369</v>
      </c>
      <c r="K61" s="1"/>
      <c r="L61" s="1">
        <f t="shared" ref="L61:L63" si="32">+D61-H61</f>
        <v>-3725.9100000000008</v>
      </c>
      <c r="M61" s="1"/>
      <c r="N61" s="5">
        <f t="shared" ref="N61:N63" si="33">IF(H61=0,0,L61/H61)</f>
        <v>-0.41399000000000008</v>
      </c>
      <c r="O61" s="14"/>
      <c r="P61" s="1">
        <f>SUM(OSRRefP22_7x_0)</f>
        <v>24120.760000000002</v>
      </c>
      <c r="Q61" s="1"/>
      <c r="R61" s="5">
        <f t="shared" ref="R61:R63" si="34">IF(P$12=0,0,P61/P$12)</f>
        <v>0.33512687250755513</v>
      </c>
      <c r="S61" s="1"/>
      <c r="T61" s="1">
        <f>SUM(OSRRefT22_7x_0)</f>
        <v>20300</v>
      </c>
      <c r="U61" s="1"/>
      <c r="V61" s="5">
        <f t="shared" ref="V61:V63" si="35">IF(T$12=0,0,T61/T$12)</f>
        <v>0.18934271030565322</v>
      </c>
      <c r="W61" s="1"/>
      <c r="X61" s="1">
        <f t="shared" ref="X61:X63" si="36">+P61-T61</f>
        <v>3820.760000000002</v>
      </c>
      <c r="Y61" s="1"/>
      <c r="Z61" s="5">
        <f t="shared" ref="Z61:Z63" si="37">IF(T61=0,0,X61/T61)</f>
        <v>0.18821477832512326</v>
      </c>
    </row>
    <row r="62" spans="1:26" s="24" customFormat="1" hidden="1" outlineLevel="2" x14ac:dyDescent="0.25">
      <c r="A62" s="28"/>
      <c r="B62" s="11" t="str">
        <f>CONCATENATE("          ", "6371", " - ", "COMPUTER SOFTWARE MAINTENANCE")</f>
        <v xml:space="preserve">          6371 - COMPUTER SOFTWARE MAINTENANCE</v>
      </c>
      <c r="C62" s="11"/>
      <c r="D62" s="7">
        <v>7.69</v>
      </c>
      <c r="E62" s="2"/>
      <c r="F62" s="6">
        <f t="shared" si="30"/>
        <v>7.325267600884368E-4</v>
      </c>
      <c r="G62" s="2"/>
      <c r="H62" s="7"/>
      <c r="I62" s="2"/>
      <c r="J62" s="6">
        <f t="shared" si="31"/>
        <v>0</v>
      </c>
      <c r="K62" s="2"/>
      <c r="L62" s="7">
        <f t="shared" si="32"/>
        <v>7.69</v>
      </c>
      <c r="M62" s="2"/>
      <c r="N62" s="6">
        <f t="shared" si="33"/>
        <v>0</v>
      </c>
      <c r="O62" s="11"/>
      <c r="P62" s="7">
        <v>7.69</v>
      </c>
      <c r="Q62" s="2"/>
      <c r="R62" s="6">
        <f t="shared" si="34"/>
        <v>1.0684263885479142E-4</v>
      </c>
      <c r="S62" s="2"/>
      <c r="T62" s="7"/>
      <c r="U62" s="2"/>
      <c r="V62" s="6">
        <f t="shared" si="35"/>
        <v>0</v>
      </c>
      <c r="W62" s="2"/>
      <c r="X62" s="7">
        <f t="shared" si="36"/>
        <v>7.69</v>
      </c>
      <c r="Y62" s="2"/>
      <c r="Z62" s="6">
        <f t="shared" si="37"/>
        <v>0</v>
      </c>
    </row>
    <row r="63" spans="1:26" s="24" customFormat="1" hidden="1" outlineLevel="2" x14ac:dyDescent="0.25">
      <c r="A63" s="28"/>
      <c r="B63" s="11" t="str">
        <f>CONCATENATE("          ", "6373", " - ", "MAINTENANCE CONTRACTS")</f>
        <v xml:space="preserve">          6373 - MAINTENANCE CONTRACTS</v>
      </c>
      <c r="C63" s="11"/>
      <c r="D63" s="7">
        <v>5266.4</v>
      </c>
      <c r="E63" s="2"/>
      <c r="F63" s="6">
        <f t="shared" si="30"/>
        <v>0.50166175934066881</v>
      </c>
      <c r="G63" s="2"/>
      <c r="H63" s="7">
        <v>9000</v>
      </c>
      <c r="I63" s="2"/>
      <c r="J63" s="6">
        <f t="shared" si="31"/>
        <v>0.61224489795918369</v>
      </c>
      <c r="K63" s="2"/>
      <c r="L63" s="7">
        <f t="shared" si="32"/>
        <v>-3733.6000000000004</v>
      </c>
      <c r="M63" s="2"/>
      <c r="N63" s="6">
        <f t="shared" si="33"/>
        <v>-0.41484444444444446</v>
      </c>
      <c r="O63" s="11"/>
      <c r="P63" s="7">
        <v>24113.070000000003</v>
      </c>
      <c r="Q63" s="2"/>
      <c r="R63" s="6">
        <f t="shared" si="34"/>
        <v>0.33502002986870033</v>
      </c>
      <c r="S63" s="2"/>
      <c r="T63" s="7">
        <v>20300</v>
      </c>
      <c r="U63" s="2"/>
      <c r="V63" s="6">
        <f t="shared" si="35"/>
        <v>0.18934271030565322</v>
      </c>
      <c r="W63" s="2"/>
      <c r="X63" s="7">
        <f t="shared" si="36"/>
        <v>3813.0700000000033</v>
      </c>
      <c r="Y63" s="2"/>
      <c r="Z63" s="6">
        <f t="shared" si="37"/>
        <v>0.18783596059113317</v>
      </c>
    </row>
    <row r="64" spans="1:26" s="27" customFormat="1" outlineLevel="1" collapsed="1" x14ac:dyDescent="0.25">
      <c r="A64" s="29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1">
        <f>SUM(OSRRefD22_8x_0)</f>
        <v>320.39999999999998</v>
      </c>
      <c r="E64" s="1"/>
      <c r="F64" s="5">
        <f t="shared" ref="F64:F71" si="38">IF(D$12=0,0,D64/D$12)</f>
        <v>3.0520360719419392E-2</v>
      </c>
      <c r="G64" s="1"/>
      <c r="H64" s="1">
        <f>SUM(OSRRefH22_8x_0)</f>
        <v>900</v>
      </c>
      <c r="I64" s="1"/>
      <c r="J64" s="5">
        <f t="shared" ref="J64:J71" si="39">IF(H$12=0,0,H64/H$12)</f>
        <v>6.1224489795918366E-2</v>
      </c>
      <c r="K64" s="1"/>
      <c r="L64" s="1">
        <f t="shared" ref="L64:L71" si="40">+D64-H64</f>
        <v>-579.6</v>
      </c>
      <c r="M64" s="1"/>
      <c r="N64" s="5">
        <f t="shared" ref="N64:N71" si="41">IF(H64=0,0,L64/H64)</f>
        <v>-0.64400000000000002</v>
      </c>
      <c r="O64" s="14"/>
      <c r="P64" s="1">
        <f>SUM(OSRRefP22_8x_0)</f>
        <v>5705.2</v>
      </c>
      <c r="Q64" s="1"/>
      <c r="R64" s="5">
        <f t="shared" ref="R64:R71" si="42">IF(P$12=0,0,P64/P$12)</f>
        <v>7.9266400935546932E-2</v>
      </c>
      <c r="S64" s="1"/>
      <c r="T64" s="1">
        <f>SUM(OSRRefT22_8x_0)</f>
        <v>2550</v>
      </c>
      <c r="U64" s="1"/>
      <c r="V64" s="5">
        <f t="shared" ref="V64:V71" si="43">IF(T$12=0,0,T64/T$12)</f>
        <v>2.3784429127064816E-2</v>
      </c>
      <c r="W64" s="1"/>
      <c r="X64" s="1">
        <f t="shared" ref="X64:X71" si="44">+P64-T64</f>
        <v>3155.2</v>
      </c>
      <c r="Y64" s="1"/>
      <c r="Z64" s="5">
        <f t="shared" ref="Z64:Z71" si="45">IF(T64=0,0,X64/T64)</f>
        <v>1.2373333333333332</v>
      </c>
    </row>
    <row r="65" spans="1:26" s="24" customFormat="1" hidden="1" outlineLevel="2" x14ac:dyDescent="0.25">
      <c r="A65" s="28"/>
      <c r="B65" s="11" t="str">
        <f>CONCATENATE("          ", "6259", " - ", "ROYALTY &amp; COMMISSIONS")</f>
        <v xml:space="preserve">          6259 - ROYALTY &amp; COMMISSIONS</v>
      </c>
      <c r="C65" s="11"/>
      <c r="D65" s="7">
        <v>320.39999999999998</v>
      </c>
      <c r="E65" s="2"/>
      <c r="F65" s="6">
        <f t="shared" si="38"/>
        <v>3.0520360719419392E-2</v>
      </c>
      <c r="G65" s="2"/>
      <c r="H65" s="7">
        <v>900</v>
      </c>
      <c r="I65" s="2"/>
      <c r="J65" s="6">
        <f t="shared" si="39"/>
        <v>6.1224489795918366E-2</v>
      </c>
      <c r="K65" s="2"/>
      <c r="L65" s="7">
        <f t="shared" si="40"/>
        <v>-579.6</v>
      </c>
      <c r="M65" s="2"/>
      <c r="N65" s="6">
        <f t="shared" si="41"/>
        <v>-0.64400000000000002</v>
      </c>
      <c r="O65" s="11"/>
      <c r="P65" s="7">
        <v>5705.2</v>
      </c>
      <c r="Q65" s="2"/>
      <c r="R65" s="6">
        <f t="shared" si="42"/>
        <v>7.9266400935546932E-2</v>
      </c>
      <c r="S65" s="2"/>
      <c r="T65" s="7">
        <v>2550</v>
      </c>
      <c r="U65" s="2"/>
      <c r="V65" s="6">
        <f t="shared" si="43"/>
        <v>2.3784429127064816E-2</v>
      </c>
      <c r="W65" s="2"/>
      <c r="X65" s="7">
        <f t="shared" si="44"/>
        <v>3155.2</v>
      </c>
      <c r="Y65" s="2"/>
      <c r="Z65" s="6">
        <f t="shared" si="45"/>
        <v>1.2373333333333332</v>
      </c>
    </row>
    <row r="66" spans="1:26" s="27" customFormat="1" outlineLevel="1" collapsed="1" x14ac:dyDescent="0.25">
      <c r="A66" s="29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SUM(OSRRefD22_9x_0)</f>
        <v>1902.8600000000001</v>
      </c>
      <c r="E66" s="1"/>
      <c r="F66" s="5">
        <f t="shared" si="38"/>
        <v>0.18126084144367788</v>
      </c>
      <c r="G66" s="1"/>
      <c r="H66" s="1">
        <f>SUM(OSRRefH22_9x_0)</f>
        <v>1700</v>
      </c>
      <c r="I66" s="1"/>
      <c r="J66" s="5">
        <f t="shared" si="39"/>
        <v>0.11564625850340136</v>
      </c>
      <c r="K66" s="1"/>
      <c r="L66" s="1">
        <f t="shared" si="40"/>
        <v>202.86000000000013</v>
      </c>
      <c r="M66" s="1"/>
      <c r="N66" s="5">
        <f t="shared" si="41"/>
        <v>0.11932941176470596</v>
      </c>
      <c r="O66" s="14"/>
      <c r="P66" s="1">
        <f>SUM(OSRRefP22_9x_0)</f>
        <v>21511.55</v>
      </c>
      <c r="Q66" s="1"/>
      <c r="R66" s="5">
        <f t="shared" si="42"/>
        <v>0.29887526240010248</v>
      </c>
      <c r="S66" s="1"/>
      <c r="T66" s="1">
        <f>SUM(OSRRefT22_9x_0)</f>
        <v>5350</v>
      </c>
      <c r="U66" s="1"/>
      <c r="V66" s="5">
        <f t="shared" si="43"/>
        <v>4.9900665031292847E-2</v>
      </c>
      <c r="W66" s="1"/>
      <c r="X66" s="1">
        <f t="shared" si="44"/>
        <v>16161.55</v>
      </c>
      <c r="Y66" s="1"/>
      <c r="Z66" s="5">
        <f t="shared" si="45"/>
        <v>3.0208504672897196</v>
      </c>
    </row>
    <row r="67" spans="1:26" s="24" customFormat="1" hidden="1" outlineLevel="2" x14ac:dyDescent="0.25">
      <c r="A67" s="28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38"/>
        <v>0</v>
      </c>
      <c r="G67" s="2"/>
      <c r="H67" s="7"/>
      <c r="I67" s="2"/>
      <c r="J67" s="6">
        <f t="shared" si="39"/>
        <v>0</v>
      </c>
      <c r="K67" s="2"/>
      <c r="L67" s="7">
        <f t="shared" si="40"/>
        <v>0</v>
      </c>
      <c r="M67" s="2"/>
      <c r="N67" s="6">
        <f t="shared" si="41"/>
        <v>0</v>
      </c>
      <c r="O67" s="11"/>
      <c r="P67" s="7">
        <v>310.91000000000003</v>
      </c>
      <c r="Q67" s="2"/>
      <c r="R67" s="6">
        <f t="shared" si="42"/>
        <v>4.3196937381460602E-3</v>
      </c>
      <c r="S67" s="2"/>
      <c r="T67" s="7"/>
      <c r="U67" s="2"/>
      <c r="V67" s="6">
        <f t="shared" si="43"/>
        <v>0</v>
      </c>
      <c r="W67" s="2"/>
      <c r="X67" s="7">
        <f t="shared" si="44"/>
        <v>310.91000000000003</v>
      </c>
      <c r="Y67" s="2"/>
      <c r="Z67" s="6">
        <f t="shared" si="45"/>
        <v>0</v>
      </c>
    </row>
    <row r="68" spans="1:26" s="24" customFormat="1" hidden="1" outlineLevel="2" x14ac:dyDescent="0.25">
      <c r="A68" s="28"/>
      <c r="B68" s="11" t="str">
        <f>CONCATENATE("          ", "6241", " - ", "OFFICE EXPENSE")</f>
        <v xml:space="preserve">          6241 - OFFICE EXPENSE</v>
      </c>
      <c r="C68" s="11"/>
      <c r="D68" s="7">
        <v>6.6</v>
      </c>
      <c r="E68" s="2"/>
      <c r="F68" s="6">
        <f t="shared" si="38"/>
        <v>6.286965691266167E-4</v>
      </c>
      <c r="G68" s="2"/>
      <c r="H68" s="7"/>
      <c r="I68" s="2"/>
      <c r="J68" s="6">
        <f t="shared" si="39"/>
        <v>0</v>
      </c>
      <c r="K68" s="2"/>
      <c r="L68" s="7">
        <f t="shared" si="40"/>
        <v>6.6</v>
      </c>
      <c r="M68" s="2"/>
      <c r="N68" s="6">
        <f t="shared" si="41"/>
        <v>0</v>
      </c>
      <c r="O68" s="11"/>
      <c r="P68" s="7">
        <v>4596.8599999999997</v>
      </c>
      <c r="Q68" s="2"/>
      <c r="R68" s="6">
        <f t="shared" si="42"/>
        <v>6.3867445103515788E-2</v>
      </c>
      <c r="S68" s="2"/>
      <c r="T68" s="7"/>
      <c r="U68" s="2"/>
      <c r="V68" s="6">
        <f t="shared" si="43"/>
        <v>0</v>
      </c>
      <c r="W68" s="2"/>
      <c r="X68" s="7">
        <f t="shared" si="44"/>
        <v>4596.8599999999997</v>
      </c>
      <c r="Y68" s="2"/>
      <c r="Z68" s="6">
        <f t="shared" si="45"/>
        <v>0</v>
      </c>
    </row>
    <row r="69" spans="1:26" s="24" customFormat="1" hidden="1" outlineLevel="2" x14ac:dyDescent="0.25">
      <c r="A69" s="28"/>
      <c r="B69" s="11" t="str">
        <f>CONCATENATE("          ", "6243", " - ", "PAPER SUPPLIES")</f>
        <v xml:space="preserve">          6243 - PAPER SUPPLIES</v>
      </c>
      <c r="C69" s="11"/>
      <c r="D69" s="7">
        <v>449.01</v>
      </c>
      <c r="E69" s="2"/>
      <c r="F69" s="6">
        <f t="shared" si="38"/>
        <v>4.2771370682354877E-2</v>
      </c>
      <c r="G69" s="2"/>
      <c r="H69" s="7">
        <v>1400</v>
      </c>
      <c r="I69" s="2"/>
      <c r="J69" s="6">
        <f t="shared" si="39"/>
        <v>9.5238095238095233E-2</v>
      </c>
      <c r="K69" s="2"/>
      <c r="L69" s="7">
        <f t="shared" si="40"/>
        <v>-950.99</v>
      </c>
      <c r="M69" s="2"/>
      <c r="N69" s="6">
        <f t="shared" si="41"/>
        <v>-0.6792785714285714</v>
      </c>
      <c r="O69" s="11"/>
      <c r="P69" s="7">
        <v>3573.7</v>
      </c>
      <c r="Q69" s="2"/>
      <c r="R69" s="6">
        <f t="shared" si="42"/>
        <v>4.9651955588474392E-2</v>
      </c>
      <c r="S69" s="2"/>
      <c r="T69" s="7">
        <v>4100</v>
      </c>
      <c r="U69" s="2"/>
      <c r="V69" s="6">
        <f t="shared" si="43"/>
        <v>3.8241631145476761E-2</v>
      </c>
      <c r="W69" s="2"/>
      <c r="X69" s="7">
        <f t="shared" si="44"/>
        <v>-526.30000000000018</v>
      </c>
      <c r="Y69" s="2"/>
      <c r="Z69" s="6">
        <f t="shared" si="45"/>
        <v>-0.12836585365853662</v>
      </c>
    </row>
    <row r="70" spans="1:26" s="24" customFormat="1" hidden="1" outlineLevel="2" x14ac:dyDescent="0.25">
      <c r="A70" s="28"/>
      <c r="B70" s="11" t="str">
        <f>CONCATENATE("          ", "6245", " - ", "PRINTING")</f>
        <v xml:space="preserve">          6245 - PRINTING</v>
      </c>
      <c r="C70" s="11"/>
      <c r="D70" s="7">
        <v>353.09</v>
      </c>
      <c r="E70" s="2"/>
      <c r="F70" s="6">
        <f t="shared" si="38"/>
        <v>3.3634313877714712E-2</v>
      </c>
      <c r="G70" s="2"/>
      <c r="H70" s="7">
        <v>200</v>
      </c>
      <c r="I70" s="2"/>
      <c r="J70" s="6">
        <f t="shared" si="39"/>
        <v>1.3605442176870748E-2</v>
      </c>
      <c r="K70" s="2"/>
      <c r="L70" s="7">
        <f t="shared" si="40"/>
        <v>153.08999999999997</v>
      </c>
      <c r="M70" s="2"/>
      <c r="N70" s="6">
        <f t="shared" si="41"/>
        <v>0.76544999999999985</v>
      </c>
      <c r="O70" s="11"/>
      <c r="P70" s="7">
        <v>345.89</v>
      </c>
      <c r="Q70" s="2"/>
      <c r="R70" s="6">
        <f t="shared" si="42"/>
        <v>4.8056957546792978E-3</v>
      </c>
      <c r="S70" s="2"/>
      <c r="T70" s="7">
        <v>900</v>
      </c>
      <c r="U70" s="2"/>
      <c r="V70" s="6">
        <f t="shared" si="43"/>
        <v>8.3945043977875812E-3</v>
      </c>
      <c r="W70" s="2"/>
      <c r="X70" s="7">
        <f t="shared" si="44"/>
        <v>-554.11</v>
      </c>
      <c r="Y70" s="2"/>
      <c r="Z70" s="6">
        <f t="shared" si="45"/>
        <v>-0.61567777777777777</v>
      </c>
    </row>
    <row r="71" spans="1:26" s="24" customFormat="1" hidden="1" outlineLevel="2" x14ac:dyDescent="0.25">
      <c r="A71" s="28"/>
      <c r="B71" s="11" t="str">
        <f>CONCATENATE("          ", "6247", " - ", "STORE SUPPLIES")</f>
        <v xml:space="preserve">          6247 - STORE SUPPLIES</v>
      </c>
      <c r="C71" s="11"/>
      <c r="D71" s="7">
        <v>1094.1600000000001</v>
      </c>
      <c r="E71" s="2"/>
      <c r="F71" s="6">
        <f t="shared" si="38"/>
        <v>0.10422646031448167</v>
      </c>
      <c r="G71" s="2"/>
      <c r="H71" s="7">
        <v>100</v>
      </c>
      <c r="I71" s="2"/>
      <c r="J71" s="6">
        <f t="shared" si="39"/>
        <v>6.8027210884353739E-3</v>
      </c>
      <c r="K71" s="2"/>
      <c r="L71" s="7">
        <f t="shared" si="40"/>
        <v>994.16000000000008</v>
      </c>
      <c r="M71" s="2"/>
      <c r="N71" s="6">
        <f t="shared" si="41"/>
        <v>9.9416000000000011</v>
      </c>
      <c r="O71" s="11"/>
      <c r="P71" s="7">
        <v>12684.19</v>
      </c>
      <c r="Q71" s="2"/>
      <c r="R71" s="6">
        <f t="shared" si="42"/>
        <v>0.17623047221528695</v>
      </c>
      <c r="S71" s="2"/>
      <c r="T71" s="7">
        <v>350</v>
      </c>
      <c r="U71" s="2"/>
      <c r="V71" s="6">
        <f t="shared" si="43"/>
        <v>3.2645294880285038E-3</v>
      </c>
      <c r="W71" s="2"/>
      <c r="X71" s="7">
        <f t="shared" si="44"/>
        <v>12334.19</v>
      </c>
      <c r="Y71" s="2"/>
      <c r="Z71" s="6">
        <f t="shared" si="45"/>
        <v>35.240542857142856</v>
      </c>
    </row>
    <row r="72" spans="1:26" s="27" customFormat="1" outlineLevel="1" collapsed="1" x14ac:dyDescent="0.25">
      <c r="A72" s="29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SUM(OSRRefD22_10x_0)</f>
        <v>193.4</v>
      </c>
      <c r="E72" s="1"/>
      <c r="F72" s="5">
        <f t="shared" ref="F72:F75" si="46">IF(D$12=0,0,D72/D$12)</f>
        <v>1.8422714616528436E-2</v>
      </c>
      <c r="G72" s="1"/>
      <c r="H72" s="1">
        <f>SUM(OSRRefH22_10x_0)</f>
        <v>165</v>
      </c>
      <c r="I72" s="1"/>
      <c r="J72" s="5">
        <f t="shared" ref="J72:J75" si="47">IF(H$12=0,0,H72/H$12)</f>
        <v>1.1224489795918367E-2</v>
      </c>
      <c r="K72" s="1"/>
      <c r="L72" s="1">
        <f t="shared" ref="L72:L75" si="48">+D72-H72</f>
        <v>28.400000000000006</v>
      </c>
      <c r="M72" s="1"/>
      <c r="N72" s="5">
        <f t="shared" ref="N72:N75" si="49">IF(H72=0,0,L72/H72)</f>
        <v>0.17212121212121215</v>
      </c>
      <c r="O72" s="14"/>
      <c r="P72" s="1">
        <f>SUM(OSRRefP22_10x_0)</f>
        <v>859.15</v>
      </c>
      <c r="Q72" s="1"/>
      <c r="R72" s="5">
        <f t="shared" ref="R72:R75" si="50">IF(P$12=0,0,P72/P$12)</f>
        <v>1.1936781946956312E-2</v>
      </c>
      <c r="S72" s="1"/>
      <c r="T72" s="1">
        <f>SUM(OSRRefT22_10x_0)</f>
        <v>660</v>
      </c>
      <c r="U72" s="1"/>
      <c r="V72" s="5">
        <f t="shared" ref="V72:V75" si="51">IF(T$12=0,0,T72/T$12)</f>
        <v>6.1559698917108933E-3</v>
      </c>
      <c r="W72" s="1"/>
      <c r="X72" s="1">
        <f t="shared" ref="X72:X75" si="52">+P72-T72</f>
        <v>199.14999999999998</v>
      </c>
      <c r="Y72" s="1"/>
      <c r="Z72" s="5">
        <f t="shared" ref="Z72:Z75" si="53">IF(T72=0,0,X72/T72)</f>
        <v>0.3017424242424242</v>
      </c>
    </row>
    <row r="73" spans="1:26" s="24" customFormat="1" hidden="1" outlineLevel="2" x14ac:dyDescent="0.25">
      <c r="A73" s="28"/>
      <c r="B73" s="11" t="str">
        <f>CONCATENATE("          ", "6309", " - ", "TELEPHONE")</f>
        <v xml:space="preserve">          6309 - TELEPHONE</v>
      </c>
      <c r="C73" s="11"/>
      <c r="D73" s="7">
        <v>193.4</v>
      </c>
      <c r="E73" s="2"/>
      <c r="F73" s="6">
        <f t="shared" si="46"/>
        <v>1.8422714616528436E-2</v>
      </c>
      <c r="G73" s="2"/>
      <c r="H73" s="7">
        <v>165</v>
      </c>
      <c r="I73" s="2"/>
      <c r="J73" s="6">
        <f t="shared" si="47"/>
        <v>1.1224489795918367E-2</v>
      </c>
      <c r="K73" s="2"/>
      <c r="L73" s="7">
        <f t="shared" si="48"/>
        <v>28.400000000000006</v>
      </c>
      <c r="M73" s="2"/>
      <c r="N73" s="6">
        <f t="shared" si="49"/>
        <v>0.17212121212121215</v>
      </c>
      <c r="O73" s="11"/>
      <c r="P73" s="7">
        <v>859.15</v>
      </c>
      <c r="Q73" s="2"/>
      <c r="R73" s="6">
        <f t="shared" si="50"/>
        <v>1.1936781946956312E-2</v>
      </c>
      <c r="S73" s="2"/>
      <c r="T73" s="7">
        <v>660</v>
      </c>
      <c r="U73" s="2"/>
      <c r="V73" s="6">
        <f t="shared" si="51"/>
        <v>6.1559698917108933E-3</v>
      </c>
      <c r="W73" s="2"/>
      <c r="X73" s="7">
        <f t="shared" si="52"/>
        <v>199.14999999999998</v>
      </c>
      <c r="Y73" s="2"/>
      <c r="Z73" s="6">
        <f t="shared" si="53"/>
        <v>0.3017424242424242</v>
      </c>
    </row>
    <row r="74" spans="1:26" s="27" customFormat="1" outlineLevel="1" collapsed="1" x14ac:dyDescent="0.25">
      <c r="A74" s="29"/>
      <c r="B74" s="14" t="str">
        <f>CONCATENATE("     ","Utilities                                         ")</f>
        <v xml:space="preserve">     Utilities                                         </v>
      </c>
      <c r="C74" s="14"/>
      <c r="D74" s="1">
        <f>SUM(OSRRefD22_11x_0)</f>
        <v>0</v>
      </c>
      <c r="E74" s="1"/>
      <c r="F74" s="5">
        <f t="shared" si="46"/>
        <v>0</v>
      </c>
      <c r="G74" s="1"/>
      <c r="H74" s="1">
        <f>SUM(OSRRefH22_11x_0)</f>
        <v>0</v>
      </c>
      <c r="I74" s="1"/>
      <c r="J74" s="5">
        <f t="shared" si="47"/>
        <v>0</v>
      </c>
      <c r="K74" s="1"/>
      <c r="L74" s="1">
        <f t="shared" si="48"/>
        <v>0</v>
      </c>
      <c r="M74" s="1"/>
      <c r="N74" s="5">
        <f t="shared" si="49"/>
        <v>0</v>
      </c>
      <c r="O74" s="14"/>
      <c r="P74" s="1">
        <f>SUM(OSRRefP22_11x_0)</f>
        <v>15.02</v>
      </c>
      <c r="Q74" s="1"/>
      <c r="R74" s="5">
        <f t="shared" si="50"/>
        <v>2.0868354169037282E-4</v>
      </c>
      <c r="S74" s="1"/>
      <c r="T74" s="1">
        <f>SUM(OSRRefT22_11x_0)</f>
        <v>0</v>
      </c>
      <c r="U74" s="1"/>
      <c r="V74" s="5">
        <f t="shared" si="51"/>
        <v>0</v>
      </c>
      <c r="W74" s="1"/>
      <c r="X74" s="1">
        <f t="shared" si="52"/>
        <v>15.02</v>
      </c>
      <c r="Y74" s="1"/>
      <c r="Z74" s="5">
        <f t="shared" si="53"/>
        <v>0</v>
      </c>
    </row>
    <row r="75" spans="1:26" s="24" customFormat="1" hidden="1" outlineLevel="2" x14ac:dyDescent="0.25">
      <c r="A75" s="28"/>
      <c r="B75" s="11" t="str">
        <f>CONCATENATE("          ", "6274", " - ", "UTILITIES")</f>
        <v xml:space="preserve">          6274 - UTILITIES</v>
      </c>
      <c r="C75" s="11"/>
      <c r="D75" s="7"/>
      <c r="E75" s="2"/>
      <c r="F75" s="6">
        <f t="shared" si="46"/>
        <v>0</v>
      </c>
      <c r="G75" s="2"/>
      <c r="H75" s="7"/>
      <c r="I75" s="2"/>
      <c r="J75" s="6">
        <f t="shared" si="47"/>
        <v>0</v>
      </c>
      <c r="K75" s="2"/>
      <c r="L75" s="7">
        <f t="shared" si="48"/>
        <v>0</v>
      </c>
      <c r="M75" s="2"/>
      <c r="N75" s="6">
        <f t="shared" si="49"/>
        <v>0</v>
      </c>
      <c r="O75" s="11"/>
      <c r="P75" s="7">
        <v>15.02</v>
      </c>
      <c r="Q75" s="2"/>
      <c r="R75" s="6">
        <f t="shared" si="50"/>
        <v>2.0868354169037282E-4</v>
      </c>
      <c r="S75" s="2"/>
      <c r="T75" s="7"/>
      <c r="U75" s="2"/>
      <c r="V75" s="6">
        <f t="shared" si="51"/>
        <v>0</v>
      </c>
      <c r="W75" s="2"/>
      <c r="X75" s="7">
        <f t="shared" si="52"/>
        <v>15.02</v>
      </c>
      <c r="Y75" s="2"/>
      <c r="Z75" s="6">
        <f t="shared" si="53"/>
        <v>0</v>
      </c>
    </row>
    <row r="76" spans="1:26" s="63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5" t="s">
        <v>0</v>
      </c>
      <c r="C77" s="10"/>
      <c r="D77" s="4">
        <f>SUM(OSRRefD25x_0)</f>
        <v>6782</v>
      </c>
      <c r="E77" s="4"/>
      <c r="F77" s="12">
        <f t="shared" ref="F77:F78" si="54">IF(D$12=0,0,D77/D$12)</f>
        <v>0.64603335330556289</v>
      </c>
      <c r="G77" s="4"/>
      <c r="H77" s="4">
        <f>SUM(OSRRefH25x_0)</f>
        <v>6875</v>
      </c>
      <c r="I77" s="4"/>
      <c r="J77" s="12">
        <f t="shared" ref="J77:J78" si="55">IF(H$12=0,0,H77/H$12)</f>
        <v>0.46768707482993199</v>
      </c>
      <c r="K77" s="4"/>
      <c r="L77" s="4">
        <f t="shared" ref="L77:L78" si="56">+D77-H77</f>
        <v>-93</v>
      </c>
      <c r="M77" s="4"/>
      <c r="N77" s="12">
        <f t="shared" ref="N77:N78" si="57">IF(H77=0,0,L77/H77)</f>
        <v>-1.3527272727272728E-2</v>
      </c>
      <c r="O77" s="10"/>
      <c r="P77" s="4">
        <f>SUM(OSRRefP25x_0)</f>
        <v>27128</v>
      </c>
      <c r="Q77" s="4"/>
      <c r="R77" s="12">
        <f t="shared" ref="R77:R78" si="58">IF(P$12=0,0,P77/P$12)</f>
        <v>0.37690859646980251</v>
      </c>
      <c r="S77" s="4"/>
      <c r="T77" s="4">
        <f>SUM(OSRRefT25x_0)</f>
        <v>27500</v>
      </c>
      <c r="U77" s="4"/>
      <c r="V77" s="12">
        <f t="shared" ref="V77:V78" si="59">IF(T$12=0,0,T77/T$12)</f>
        <v>0.25649874548795387</v>
      </c>
      <c r="W77" s="4"/>
      <c r="X77" s="4">
        <f t="shared" ref="X77:X78" si="60">+P77-T77</f>
        <v>-372</v>
      </c>
      <c r="Y77" s="4"/>
      <c r="Z77" s="12">
        <f t="shared" ref="Z77:Z78" si="61">IF(T77=0,0,X77/T77)</f>
        <v>-1.3527272727272728E-2</v>
      </c>
    </row>
    <row r="78" spans="1:26" s="24" customFormat="1" hidden="1" outlineLevel="1" x14ac:dyDescent="0.25">
      <c r="A78" s="51"/>
      <c r="B78" s="11" t="str">
        <f>CONCATENATE("          ", "9150", " - ", "MISC. INCOME")</f>
        <v xml:space="preserve">          9150 - MISC. INCOME</v>
      </c>
      <c r="C78" s="11"/>
      <c r="D78" s="2">
        <f>--6782</f>
        <v>6782</v>
      </c>
      <c r="E78" s="2"/>
      <c r="F78" s="22">
        <f t="shared" si="54"/>
        <v>0.64603335330556289</v>
      </c>
      <c r="G78" s="2"/>
      <c r="H78" s="2">
        <v>6875</v>
      </c>
      <c r="I78" s="2"/>
      <c r="J78" s="22">
        <f t="shared" si="55"/>
        <v>0.46768707482993199</v>
      </c>
      <c r="K78" s="2"/>
      <c r="L78" s="2">
        <f t="shared" si="56"/>
        <v>-93</v>
      </c>
      <c r="M78" s="2"/>
      <c r="N78" s="22">
        <f t="shared" si="57"/>
        <v>-1.3527272727272728E-2</v>
      </c>
      <c r="O78" s="11"/>
      <c r="P78" s="2">
        <f>--27128</f>
        <v>27128</v>
      </c>
      <c r="Q78" s="2"/>
      <c r="R78" s="22">
        <f t="shared" si="58"/>
        <v>0.37690859646980251</v>
      </c>
      <c r="S78" s="2"/>
      <c r="T78" s="2">
        <v>27500</v>
      </c>
      <c r="U78" s="2"/>
      <c r="V78" s="22">
        <f t="shared" si="59"/>
        <v>0.25649874548795387</v>
      </c>
      <c r="W78" s="2"/>
      <c r="X78" s="2">
        <f t="shared" si="60"/>
        <v>-372</v>
      </c>
      <c r="Y78" s="2"/>
      <c r="Z78" s="22">
        <f t="shared" si="61"/>
        <v>-1.3527272727272728E-2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6" t="s">
        <v>3</v>
      </c>
      <c r="C80" s="26"/>
      <c r="D80" s="20">
        <f>+D26-D28+D77</f>
        <v>-66669.39999999998</v>
      </c>
      <c r="E80" s="13"/>
      <c r="F80" s="19">
        <f>IF(D$12=0,0,D80/D$12)</f>
        <v>-6.3507307645045534</v>
      </c>
      <c r="G80" s="13"/>
      <c r="H80" s="20">
        <f>+H26-H28+H77</f>
        <v>-17248.243496240408</v>
      </c>
      <c r="I80" s="13"/>
      <c r="J80" s="19">
        <f>IF(H$12=0,0,H80/H$12)</f>
        <v>-1.1733498977034291</v>
      </c>
      <c r="K80" s="15"/>
      <c r="L80" s="20">
        <f>+D80-H80</f>
        <v>-49421.156503759572</v>
      </c>
      <c r="M80" s="15"/>
      <c r="N80" s="19">
        <f>IF(H80=0,0,L80/H80)</f>
        <v>2.8652863414487326</v>
      </c>
      <c r="O80" s="25"/>
      <c r="P80" s="20">
        <f>+P26-P28+P77</f>
        <v>-21902.680000000008</v>
      </c>
      <c r="Q80" s="13"/>
      <c r="R80" s="19">
        <f>IF(P$12=0,0,P80/P$12)</f>
        <v>-0.30430950964786263</v>
      </c>
      <c r="S80" s="13"/>
      <c r="T80" s="20">
        <f>+T26-T28+T77</f>
        <v>-1751.2791064654884</v>
      </c>
      <c r="U80" s="13"/>
      <c r="V80" s="19">
        <f>IF(T$12=0,0,T80/T$12)</f>
        <v>-1.6334577956642275E-2</v>
      </c>
      <c r="W80" s="15"/>
      <c r="X80" s="20">
        <f>+P80-T80</f>
        <v>-20151.400893534519</v>
      </c>
      <c r="Y80" s="15"/>
      <c r="Z80" s="19">
        <f>IF(T80=0,0,X80/T80)</f>
        <v>11.506675788649702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4202.3999999999996</v>
      </c>
      <c r="E82" s="4"/>
      <c r="F82" s="12">
        <f>IF(D$12=0,0,D82/D$12)</f>
        <v>0.40030825183298396</v>
      </c>
      <c r="G82" s="4"/>
      <c r="H82" s="4">
        <v>4178</v>
      </c>
      <c r="I82" s="4"/>
      <c r="J82" s="12">
        <f>IF(H$12=0,0,H82/H$12)</f>
        <v>0.28421768707482992</v>
      </c>
      <c r="K82" s="4"/>
      <c r="L82" s="4">
        <f>+D82-H82</f>
        <v>24.399999999999636</v>
      </c>
      <c r="M82" s="4"/>
      <c r="N82" s="12">
        <f>IF(H82=0,0,L82/H82)</f>
        <v>5.8401148875058964E-3</v>
      </c>
      <c r="O82" s="10"/>
      <c r="P82" s="4">
        <v>15591.34</v>
      </c>
      <c r="Q82" s="4"/>
      <c r="R82" s="12">
        <f>IF(P$12=0,0,P82/P$12)</f>
        <v>0.2166215746270824</v>
      </c>
      <c r="S82" s="4"/>
      <c r="T82" s="4">
        <v>17552</v>
      </c>
      <c r="U82" s="4"/>
      <c r="V82" s="12">
        <f>IF(T$12=0,0,T82/T$12)</f>
        <v>0.16371149021107514</v>
      </c>
      <c r="W82" s="4"/>
      <c r="X82" s="4">
        <f>+P82-T82</f>
        <v>-1960.6599999999999</v>
      </c>
      <c r="Y82" s="4"/>
      <c r="Z82" s="12">
        <f>IF(T82=0,0,X82/T82)</f>
        <v>-0.11170578851412943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4</v>
      </c>
      <c r="C84" s="26"/>
      <c r="D84" s="34">
        <f>+D80-D82</f>
        <v>-70871.799999999974</v>
      </c>
      <c r="E84" s="13"/>
      <c r="F84" s="35">
        <f>IF(D$12=0,0,D84/D$12)</f>
        <v>-6.7510390163375362</v>
      </c>
      <c r="G84" s="13"/>
      <c r="H84" s="34">
        <f>+H80-H82</f>
        <v>-21426.243496240408</v>
      </c>
      <c r="I84" s="13"/>
      <c r="J84" s="35">
        <f>IF(H$12=0,0,H84/H$12)</f>
        <v>-1.457567584778259</v>
      </c>
      <c r="K84" s="15"/>
      <c r="L84" s="34">
        <f>D84-H84</f>
        <v>-49445.556503759566</v>
      </c>
      <c r="M84" s="15"/>
      <c r="N84" s="35">
        <f>IF(H84=0,0,L84/H84)</f>
        <v>2.3077100058363293</v>
      </c>
      <c r="O84" s="25"/>
      <c r="P84" s="34">
        <f>+P80-P82</f>
        <v>-37494.020000000004</v>
      </c>
      <c r="Q84" s="13"/>
      <c r="R84" s="35">
        <f>IF(P$12=0,0,P84/P$12)</f>
        <v>-0.52093108427494494</v>
      </c>
      <c r="S84" s="13"/>
      <c r="T84" s="34">
        <f>+T80-T82</f>
        <v>-19303.279106465488</v>
      </c>
      <c r="U84" s="13"/>
      <c r="V84" s="35">
        <f>IF(T$12=0,0,T84/T$12)</f>
        <v>-0.18004606816771743</v>
      </c>
      <c r="W84" s="15"/>
      <c r="X84" s="34">
        <f>P84-T84</f>
        <v>-18190.740893534516</v>
      </c>
      <c r="Y84" s="15"/>
      <c r="Z84" s="35">
        <f>IF(T84=0,0,X84/T84)</f>
        <v>0.94236532524889327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5</v>
      </c>
      <c r="C87" s="26"/>
      <c r="D87" s="30">
        <f>SUM(D84:D86)</f>
        <v>-70871.799999999974</v>
      </c>
      <c r="E87" s="13"/>
      <c r="F87" s="32">
        <f>IF(D$12=0,0,D87/D$12)</f>
        <v>-6.7510390163375362</v>
      </c>
      <c r="G87" s="13"/>
      <c r="H87" s="30">
        <f>SUM(H84:H86)</f>
        <v>-21426.243496240408</v>
      </c>
      <c r="I87" s="13"/>
      <c r="J87" s="32">
        <f>IF(H$12=0,0,H87/H$12)</f>
        <v>-1.457567584778259</v>
      </c>
      <c r="K87" s="15"/>
      <c r="L87" s="30">
        <f>+D87-H87</f>
        <v>-49445.556503759566</v>
      </c>
      <c r="M87" s="15"/>
      <c r="N87" s="32">
        <f>IF(H87=0,0,L87/H87)</f>
        <v>2.3077100058363293</v>
      </c>
      <c r="O87" s="25"/>
      <c r="P87" s="30">
        <f>SUM(P84:P86)</f>
        <v>-37494.020000000004</v>
      </c>
      <c r="Q87" s="13"/>
      <c r="R87" s="32">
        <f>IF(P$12=0,0,P87/P$12)</f>
        <v>-0.52093108427494494</v>
      </c>
      <c r="S87" s="13"/>
      <c r="T87" s="30">
        <f>SUM(T84:T86)</f>
        <v>-19303.279106465488</v>
      </c>
      <c r="U87" s="13"/>
      <c r="V87" s="32">
        <f>IF(T$12=0,0,T87/T$12)</f>
        <v>-0.18004606816771743</v>
      </c>
      <c r="W87" s="15"/>
      <c r="X87" s="30">
        <f>+P87-T87</f>
        <v>-18190.740893534516</v>
      </c>
      <c r="Y87" s="15"/>
      <c r="Z87" s="32">
        <f>IF(T87=0,0,X87/T87)</f>
        <v>0.94236532524889327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60">
        <v>44151.567842743054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58" t="s">
        <v>314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3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","316", " - ", "Campus Copy Center")</f>
        <v>Department 316 - Campus Copy Center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10497.909999999998</v>
      </c>
      <c r="E12" s="4"/>
      <c r="F12" s="12"/>
      <c r="G12" s="4"/>
      <c r="H12" s="4">
        <f>SUM(OSRRefH13x_0)</f>
        <v>14700</v>
      </c>
      <c r="I12" s="4"/>
      <c r="J12" s="12"/>
      <c r="K12" s="4"/>
      <c r="L12" s="4">
        <f t="shared" ref="L12:L22" si="0">+D12-H12</f>
        <v>-4202.090000000002</v>
      </c>
      <c r="M12" s="4"/>
      <c r="N12" s="12">
        <f t="shared" ref="N12:N22" si="1">IF(H12=0,0,L12/H12)</f>
        <v>-0.28585646258503417</v>
      </c>
      <c r="O12" s="10"/>
      <c r="P12" s="4">
        <f>SUM(OSRRefP13x_0)</f>
        <v>71975.009999999995</v>
      </c>
      <c r="Q12" s="4"/>
      <c r="R12" s="12"/>
      <c r="S12" s="4"/>
      <c r="T12" s="4">
        <f>SUM(OSRRefT13x_0)</f>
        <v>107213</v>
      </c>
      <c r="U12" s="4"/>
      <c r="V12" s="12"/>
      <c r="W12" s="4"/>
      <c r="X12" s="4">
        <f t="shared" ref="X12:X22" si="2">+P12-T12</f>
        <v>-35237.990000000005</v>
      </c>
      <c r="Y12" s="4"/>
      <c r="Z12" s="12">
        <f t="shared" ref="Z12:Z22" si="3">IF(T12=0,0,X12/T12)</f>
        <v>-0.32867273558243876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-1.35</f>
        <v>-1.35</v>
      </c>
      <c r="E13" s="2"/>
      <c r="F13" s="22"/>
      <c r="G13" s="2"/>
      <c r="H13" s="2">
        <v>11700</v>
      </c>
      <c r="I13" s="2"/>
      <c r="J13" s="22"/>
      <c r="K13" s="2"/>
      <c r="L13" s="2">
        <f t="shared" si="0"/>
        <v>-11701.35</v>
      </c>
      <c r="M13" s="2"/>
      <c r="N13" s="22">
        <f t="shared" si="1"/>
        <v>-1.0001153846153847</v>
      </c>
      <c r="O13" s="11"/>
      <c r="P13" s="2">
        <f>-8.65</f>
        <v>-8.65</v>
      </c>
      <c r="Q13" s="2"/>
      <c r="R13" s="22"/>
      <c r="S13" s="2"/>
      <c r="T13" s="2">
        <v>98713</v>
      </c>
      <c r="U13" s="2"/>
      <c r="V13" s="22"/>
      <c r="W13" s="2"/>
      <c r="X13" s="2">
        <f t="shared" si="2"/>
        <v>-98721.65</v>
      </c>
      <c r="Y13" s="2"/>
      <c r="Z13" s="22">
        <f t="shared" si="3"/>
        <v>-1.000087627769392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--8147.55</f>
        <v>8147.55</v>
      </c>
      <c r="E14" s="2"/>
      <c r="F14" s="22"/>
      <c r="G14" s="2"/>
      <c r="H14" s="2"/>
      <c r="I14" s="2"/>
      <c r="J14" s="22"/>
      <c r="K14" s="2"/>
      <c r="L14" s="2">
        <f t="shared" si="0"/>
        <v>8147.55</v>
      </c>
      <c r="M14" s="2"/>
      <c r="N14" s="22">
        <f t="shared" si="1"/>
        <v>0</v>
      </c>
      <c r="O14" s="11"/>
      <c r="P14" s="2">
        <f>--60369.32</f>
        <v>60369.32</v>
      </c>
      <c r="Q14" s="2"/>
      <c r="R14" s="22"/>
      <c r="S14" s="2"/>
      <c r="T14" s="2"/>
      <c r="U14" s="2"/>
      <c r="V14" s="22"/>
      <c r="W14" s="2"/>
      <c r="X14" s="2">
        <f t="shared" si="2"/>
        <v>60369.32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--2053.86</f>
        <v>2053.86</v>
      </c>
      <c r="E15" s="2"/>
      <c r="F15" s="22"/>
      <c r="G15" s="2"/>
      <c r="H15" s="2"/>
      <c r="I15" s="2"/>
      <c r="J15" s="22"/>
      <c r="K15" s="2"/>
      <c r="L15" s="2">
        <f t="shared" si="0"/>
        <v>2053.86</v>
      </c>
      <c r="M15" s="2"/>
      <c r="N15" s="22">
        <f t="shared" si="1"/>
        <v>0</v>
      </c>
      <c r="O15" s="11"/>
      <c r="P15" s="2">
        <f>--11487.58</f>
        <v>11487.58</v>
      </c>
      <c r="Q15" s="2"/>
      <c r="R15" s="22"/>
      <c r="S15" s="2"/>
      <c r="T15" s="2"/>
      <c r="U15" s="2"/>
      <c r="V15" s="22"/>
      <c r="W15" s="2"/>
      <c r="X15" s="2">
        <f t="shared" si="2"/>
        <v>11487.58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--7.98</f>
        <v>7.98</v>
      </c>
      <c r="Q16" s="2"/>
      <c r="R16" s="22"/>
      <c r="S16" s="2"/>
      <c r="T16" s="2"/>
      <c r="U16" s="2"/>
      <c r="V16" s="22"/>
      <c r="W16" s="2"/>
      <c r="X16" s="2">
        <f t="shared" si="2"/>
        <v>7.98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22"/>
      <c r="G17" s="2"/>
      <c r="H17" s="2">
        <v>3000</v>
      </c>
      <c r="I17" s="2"/>
      <c r="J17" s="22"/>
      <c r="K17" s="2"/>
      <c r="L17" s="2">
        <f t="shared" si="0"/>
        <v>-3000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8500</v>
      </c>
      <c r="U17" s="2"/>
      <c r="V17" s="22"/>
      <c r="W17" s="2"/>
      <c r="X17" s="2">
        <f t="shared" si="2"/>
        <v>-8500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--54</f>
        <v>54</v>
      </c>
      <c r="E18" s="2"/>
      <c r="F18" s="22"/>
      <c r="G18" s="2"/>
      <c r="H18" s="2"/>
      <c r="I18" s="2"/>
      <c r="J18" s="22"/>
      <c r="K18" s="2"/>
      <c r="L18" s="2">
        <f t="shared" si="0"/>
        <v>54</v>
      </c>
      <c r="M18" s="2"/>
      <c r="N18" s="22">
        <f t="shared" si="1"/>
        <v>0</v>
      </c>
      <c r="O18" s="11"/>
      <c r="P18" s="2">
        <f>--511.5</f>
        <v>511.5</v>
      </c>
      <c r="Q18" s="2"/>
      <c r="R18" s="22"/>
      <c r="S18" s="2"/>
      <c r="T18" s="2"/>
      <c r="U18" s="2"/>
      <c r="V18" s="22"/>
      <c r="W18" s="2"/>
      <c r="X18" s="2">
        <f t="shared" si="2"/>
        <v>511.5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--245</f>
        <v>245</v>
      </c>
      <c r="E19" s="2"/>
      <c r="F19" s="22"/>
      <c r="G19" s="2"/>
      <c r="H19" s="2"/>
      <c r="I19" s="2"/>
      <c r="J19" s="22"/>
      <c r="K19" s="2"/>
      <c r="L19" s="2">
        <f t="shared" si="0"/>
        <v>245</v>
      </c>
      <c r="M19" s="2"/>
      <c r="N19" s="22">
        <f t="shared" si="1"/>
        <v>0</v>
      </c>
      <c r="O19" s="11"/>
      <c r="P19" s="2">
        <f>--250.98</f>
        <v>250.98</v>
      </c>
      <c r="Q19" s="2"/>
      <c r="R19" s="22"/>
      <c r="S19" s="2"/>
      <c r="T19" s="2"/>
      <c r="U19" s="2"/>
      <c r="V19" s="22"/>
      <c r="W19" s="2"/>
      <c r="X19" s="2">
        <f t="shared" si="2"/>
        <v>250.98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--21.3</f>
        <v>21.3</v>
      </c>
      <c r="E20" s="2"/>
      <c r="F20" s="22"/>
      <c r="G20" s="2"/>
      <c r="H20" s="2"/>
      <c r="I20" s="2"/>
      <c r="J20" s="22"/>
      <c r="K20" s="2"/>
      <c r="L20" s="2">
        <f t="shared" si="0"/>
        <v>21.3</v>
      </c>
      <c r="M20" s="2"/>
      <c r="N20" s="22">
        <f t="shared" si="1"/>
        <v>0</v>
      </c>
      <c r="O20" s="11"/>
      <c r="P20" s="2">
        <f t="shared" ref="P20:P21" si="5">--86.5</f>
        <v>86.5</v>
      </c>
      <c r="Q20" s="2"/>
      <c r="R20" s="22"/>
      <c r="S20" s="2"/>
      <c r="T20" s="2"/>
      <c r="U20" s="2"/>
      <c r="V20" s="22"/>
      <c r="W20" s="2"/>
      <c r="X20" s="2">
        <f t="shared" si="2"/>
        <v>86.5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--38.5</f>
        <v>38.5</v>
      </c>
      <c r="E21" s="2"/>
      <c r="F21" s="22"/>
      <c r="G21" s="2"/>
      <c r="H21" s="2"/>
      <c r="I21" s="2"/>
      <c r="J21" s="22"/>
      <c r="K21" s="2"/>
      <c r="L21" s="2">
        <f t="shared" si="0"/>
        <v>38.5</v>
      </c>
      <c r="M21" s="2"/>
      <c r="N21" s="22">
        <f t="shared" si="1"/>
        <v>0</v>
      </c>
      <c r="O21" s="11"/>
      <c r="P21" s="2">
        <f t="shared" si="5"/>
        <v>86.5</v>
      </c>
      <c r="Q21" s="2"/>
      <c r="R21" s="22"/>
      <c r="S21" s="2"/>
      <c r="T21" s="2"/>
      <c r="U21" s="2"/>
      <c r="V21" s="22"/>
      <c r="W21" s="2"/>
      <c r="X21" s="2">
        <f t="shared" si="2"/>
        <v>86.5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-60.95</f>
        <v>-60.95</v>
      </c>
      <c r="E22" s="2"/>
      <c r="F22" s="22"/>
      <c r="G22" s="2"/>
      <c r="H22" s="2"/>
      <c r="I22" s="2"/>
      <c r="J22" s="22"/>
      <c r="K22" s="2"/>
      <c r="L22" s="2">
        <f t="shared" si="0"/>
        <v>-60.95</v>
      </c>
      <c r="M22" s="2"/>
      <c r="N22" s="22">
        <f t="shared" si="1"/>
        <v>0</v>
      </c>
      <c r="O22" s="11"/>
      <c r="P22" s="2">
        <f>-816.7</f>
        <v>-816.7</v>
      </c>
      <c r="Q22" s="2"/>
      <c r="R22" s="22"/>
      <c r="S22" s="2"/>
      <c r="T22" s="2"/>
      <c r="U22" s="2"/>
      <c r="V22" s="22"/>
      <c r="W22" s="2"/>
      <c r="X22" s="2">
        <f t="shared" si="2"/>
        <v>-816.7</v>
      </c>
      <c r="Y22" s="2"/>
      <c r="Z22" s="22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6</v>
      </c>
      <c r="C26" s="26"/>
      <c r="D26" s="20">
        <f>D12-D24</f>
        <v>10497.909999999998</v>
      </c>
      <c r="E26" s="13"/>
      <c r="F26" s="19">
        <f>IF(D$12=0,0,D26/D$12)</f>
        <v>1</v>
      </c>
      <c r="G26" s="13"/>
      <c r="H26" s="20">
        <f>H12-H24</f>
        <v>14700</v>
      </c>
      <c r="I26" s="13"/>
      <c r="J26" s="19">
        <f>IF(H$12=0,0,H26/H$12)</f>
        <v>1</v>
      </c>
      <c r="K26" s="15"/>
      <c r="L26" s="20">
        <f>+D26-H26</f>
        <v>-4202.090000000002</v>
      </c>
      <c r="M26" s="15"/>
      <c r="N26" s="19">
        <f>IF(H26=0,0,L26/H26)</f>
        <v>-0.28585646258503417</v>
      </c>
      <c r="O26" s="25"/>
      <c r="P26" s="20">
        <f>P12-P24</f>
        <v>71975.009999999995</v>
      </c>
      <c r="Q26" s="13"/>
      <c r="R26" s="19">
        <f>IF(P$12=0,0,P26/P$12)</f>
        <v>1</v>
      </c>
      <c r="S26" s="13"/>
      <c r="T26" s="20">
        <f>T12-T24</f>
        <v>107213</v>
      </c>
      <c r="U26" s="13"/>
      <c r="V26" s="19">
        <f>IF(T$12=0,0,T26/T$12)</f>
        <v>1</v>
      </c>
      <c r="W26" s="15"/>
      <c r="X26" s="20">
        <f>+P26-T26</f>
        <v>-35237.990000000005</v>
      </c>
      <c r="Y26" s="15"/>
      <c r="Z26" s="19">
        <f>IF(T26=0,0,X26/T26)</f>
        <v>-0.32867273558243876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9</v>
      </c>
      <c r="C28" s="10"/>
      <c r="D28" s="21">
        <f>SUM(OSRRefD22x_0)</f>
        <v>83949.309999999983</v>
      </c>
      <c r="E28" s="21"/>
      <c r="F28" s="31">
        <f t="shared" ref="F28:F38" si="6">IF(D$12=0,0,D28/D$12)</f>
        <v>7.9967641178101161</v>
      </c>
      <c r="G28" s="21"/>
      <c r="H28" s="21">
        <f>SUM(OSRRefH22x_0)</f>
        <v>38823.243496240408</v>
      </c>
      <c r="I28" s="21"/>
      <c r="J28" s="31">
        <f t="shared" ref="J28:J38" si="7">IF(H$12=0,0,H28/H$12)</f>
        <v>2.6410369725333611</v>
      </c>
      <c r="K28" s="4"/>
      <c r="L28" s="21">
        <f t="shared" ref="L28:L38" si="8">+D28-H28</f>
        <v>45126.066503759575</v>
      </c>
      <c r="M28" s="4"/>
      <c r="N28" s="31">
        <f t="shared" ref="N28:N38" si="9">IF(H28=0,0,L28/H28)</f>
        <v>1.1623466367030753</v>
      </c>
      <c r="O28" s="10"/>
      <c r="P28" s="21">
        <f>SUM(OSRRefP22x_0)</f>
        <v>121005.69</v>
      </c>
      <c r="Q28" s="21"/>
      <c r="R28" s="31">
        <f t="shared" ref="R28:R38" si="10">IF(P$12=0,0,P28/P$12)</f>
        <v>1.6812181061176652</v>
      </c>
      <c r="S28" s="21"/>
      <c r="T28" s="21">
        <f>SUM(OSRRefT22x_0)</f>
        <v>136464.27910646549</v>
      </c>
      <c r="U28" s="21"/>
      <c r="V28" s="31">
        <f t="shared" ref="V28:V38" si="11">IF(T$12=0,0,T28/T$12)</f>
        <v>1.2728333234445961</v>
      </c>
      <c r="W28" s="4"/>
      <c r="X28" s="21">
        <f t="shared" ref="X28:X38" si="12">+P28-T28</f>
        <v>-15458.589106465486</v>
      </c>
      <c r="Y28" s="4"/>
      <c r="Z28" s="31">
        <f t="shared" ref="Z28:Z38" si="13">IF(T28=0,0,X28/T28)</f>
        <v>-0.11327938129805487</v>
      </c>
    </row>
    <row r="29" spans="1:26" s="27" customFormat="1" outlineLevel="1" collapsed="1" x14ac:dyDescent="0.25">
      <c r="A29" s="29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10414.129999999999</v>
      </c>
      <c r="E29" s="1"/>
      <c r="F29" s="5">
        <f t="shared" si="6"/>
        <v>0.99201936385432921</v>
      </c>
      <c r="G29" s="1"/>
      <c r="H29" s="1">
        <f>SUM(OSRRefH22_0x_0)</f>
        <v>7335.3577943173032</v>
      </c>
      <c r="I29" s="1"/>
      <c r="J29" s="5">
        <f t="shared" si="7"/>
        <v>0.49900393158621109</v>
      </c>
      <c r="K29" s="1"/>
      <c r="L29" s="1">
        <f t="shared" si="8"/>
        <v>3078.772205682696</v>
      </c>
      <c r="M29" s="1"/>
      <c r="N29" s="5">
        <f t="shared" si="9"/>
        <v>0.41971670530752009</v>
      </c>
      <c r="O29" s="14"/>
      <c r="P29" s="1">
        <f>SUM(OSRRefP22_0x_0)</f>
        <v>36273.040000000001</v>
      </c>
      <c r="Q29" s="1"/>
      <c r="R29" s="5">
        <f t="shared" si="10"/>
        <v>0.50396714081734761</v>
      </c>
      <c r="S29" s="1"/>
      <c r="T29" s="1">
        <f>SUM(OSRRefT22_0x_0)</f>
        <v>27501.490579542289</v>
      </c>
      <c r="U29" s="1"/>
      <c r="V29" s="5">
        <f t="shared" si="11"/>
        <v>0.25651264846186833</v>
      </c>
      <c r="W29" s="1"/>
      <c r="X29" s="1">
        <f t="shared" si="12"/>
        <v>8771.5494204577117</v>
      </c>
      <c r="Y29" s="1"/>
      <c r="Z29" s="5">
        <f t="shared" si="13"/>
        <v>0.31894814555915962</v>
      </c>
    </row>
    <row r="30" spans="1:26" s="24" customFormat="1" hidden="1" outlineLevel="2" x14ac:dyDescent="0.25">
      <c r="A30" s="28"/>
      <c r="B30" s="11" t="str">
        <f>CONCATENATE("          ", "6111", " - ", "F.I.C.A.")</f>
        <v xml:space="preserve">          6111 - F.I.C.A.</v>
      </c>
      <c r="C30" s="11"/>
      <c r="D30" s="7">
        <v>2004</v>
      </c>
      <c r="E30" s="2"/>
      <c r="F30" s="6">
        <f t="shared" si="6"/>
        <v>0.19089514008026362</v>
      </c>
      <c r="G30" s="2"/>
      <c r="H30" s="7">
        <v>1301.96978922115</v>
      </c>
      <c r="I30" s="2"/>
      <c r="J30" s="6">
        <f t="shared" si="7"/>
        <v>8.8569373416404765E-2</v>
      </c>
      <c r="K30" s="2"/>
      <c r="L30" s="7">
        <f t="shared" si="8"/>
        <v>702.03021077885001</v>
      </c>
      <c r="M30" s="2"/>
      <c r="N30" s="6">
        <f t="shared" si="9"/>
        <v>0.5392062216734006</v>
      </c>
      <c r="O30" s="11"/>
      <c r="P30" s="7">
        <v>5558.26</v>
      </c>
      <c r="Q30" s="2"/>
      <c r="R30" s="6">
        <f t="shared" si="10"/>
        <v>7.7224859017039391E-2</v>
      </c>
      <c r="S30" s="2"/>
      <c r="T30" s="7">
        <v>4762.7794111961402</v>
      </c>
      <c r="U30" s="2"/>
      <c r="V30" s="6">
        <f t="shared" si="11"/>
        <v>4.4423525236642385E-2</v>
      </c>
      <c r="W30" s="2"/>
      <c r="X30" s="7">
        <f t="shared" si="12"/>
        <v>795.48058880385997</v>
      </c>
      <c r="Y30" s="2"/>
      <c r="Z30" s="6">
        <f t="shared" si="13"/>
        <v>0.16702024597945433</v>
      </c>
    </row>
    <row r="31" spans="1:26" s="24" customFormat="1" hidden="1" outlineLevel="2" x14ac:dyDescent="0.25">
      <c r="A31" s="28"/>
      <c r="B31" s="11" t="str">
        <f>CONCATENATE("          ", "6112", " - ", "COMPENSATION INSURANCE")</f>
        <v xml:space="preserve">          6112 - COMPENSATION INSURANCE</v>
      </c>
      <c r="C31" s="11"/>
      <c r="D31" s="7">
        <v>308.31</v>
      </c>
      <c r="E31" s="2"/>
      <c r="F31" s="6">
        <f t="shared" si="6"/>
        <v>2.9368702913246548E-2</v>
      </c>
      <c r="G31" s="2"/>
      <c r="H31" s="7">
        <v>347.44001490384596</v>
      </c>
      <c r="I31" s="2"/>
      <c r="J31" s="6">
        <f t="shared" si="7"/>
        <v>2.3635375163526935E-2</v>
      </c>
      <c r="K31" s="2"/>
      <c r="L31" s="7">
        <f t="shared" si="8"/>
        <v>-39.130014903845961</v>
      </c>
      <c r="M31" s="2"/>
      <c r="N31" s="6">
        <f t="shared" si="9"/>
        <v>-0.11262380044127961</v>
      </c>
      <c r="O31" s="11"/>
      <c r="P31" s="7">
        <v>1230.6500000000001</v>
      </c>
      <c r="Q31" s="2"/>
      <c r="R31" s="6">
        <f t="shared" si="10"/>
        <v>1.7098295644557747E-2</v>
      </c>
      <c r="S31" s="2"/>
      <c r="T31" s="7">
        <v>1228.652503653846</v>
      </c>
      <c r="U31" s="2"/>
      <c r="V31" s="6">
        <f t="shared" si="11"/>
        <v>1.145992093919437E-2</v>
      </c>
      <c r="W31" s="2"/>
      <c r="X31" s="7">
        <f t="shared" si="12"/>
        <v>1.9974963461540938</v>
      </c>
      <c r="Y31" s="2"/>
      <c r="Z31" s="6">
        <f t="shared" si="13"/>
        <v>1.625761832750766E-3</v>
      </c>
    </row>
    <row r="32" spans="1:26" s="24" customFormat="1" hidden="1" outlineLevel="2" x14ac:dyDescent="0.25">
      <c r="A32" s="28"/>
      <c r="B32" s="11" t="str">
        <f>CONCATENATE("          ", "6113", " - ", "GROUP INSURANCE")</f>
        <v xml:space="preserve">          6113 - GROUP INSURANCE</v>
      </c>
      <c r="C32" s="11"/>
      <c r="D32" s="7">
        <v>3423.78</v>
      </c>
      <c r="E32" s="2"/>
      <c r="F32" s="6">
        <f t="shared" si="6"/>
        <v>0.32613920294611032</v>
      </c>
      <c r="G32" s="2"/>
      <c r="H32" s="7">
        <v>2645</v>
      </c>
      <c r="I32" s="2"/>
      <c r="J32" s="6">
        <f t="shared" si="7"/>
        <v>0.17993197278911566</v>
      </c>
      <c r="K32" s="2"/>
      <c r="L32" s="7">
        <f t="shared" si="8"/>
        <v>778.7800000000002</v>
      </c>
      <c r="M32" s="2"/>
      <c r="N32" s="6">
        <f t="shared" si="9"/>
        <v>0.29443478260869571</v>
      </c>
      <c r="O32" s="11"/>
      <c r="P32" s="7">
        <v>12893.77</v>
      </c>
      <c r="Q32" s="2"/>
      <c r="R32" s="6">
        <f t="shared" si="10"/>
        <v>0.17914231620113705</v>
      </c>
      <c r="S32" s="2"/>
      <c r="T32" s="7">
        <v>10580</v>
      </c>
      <c r="U32" s="2"/>
      <c r="V32" s="6">
        <f t="shared" si="11"/>
        <v>9.8682062809547347E-2</v>
      </c>
      <c r="W32" s="2"/>
      <c r="X32" s="7">
        <f t="shared" si="12"/>
        <v>2313.7700000000004</v>
      </c>
      <c r="Y32" s="2"/>
      <c r="Z32" s="6">
        <f t="shared" si="13"/>
        <v>0.21869281663516071</v>
      </c>
    </row>
    <row r="33" spans="1:26" s="24" customFormat="1" hidden="1" outlineLevel="2" x14ac:dyDescent="0.25">
      <c r="A33" s="28"/>
      <c r="B33" s="11" t="str">
        <f>CONCATENATE("          ", "6114", " - ", "STATE UNEMPLOYMENT INSURANCE")</f>
        <v xml:space="preserve">          6114 - STATE UNEMPLOYMENT INSURANCE</v>
      </c>
      <c r="C33" s="11"/>
      <c r="D33" s="7">
        <v>43.33</v>
      </c>
      <c r="E33" s="2"/>
      <c r="F33" s="6">
        <f t="shared" si="6"/>
        <v>4.1274882333721674E-3</v>
      </c>
      <c r="G33" s="2"/>
      <c r="H33" s="7">
        <v>53.527607500000002</v>
      </c>
      <c r="I33" s="2"/>
      <c r="J33" s="6">
        <f t="shared" si="7"/>
        <v>3.6413338435374149E-3</v>
      </c>
      <c r="K33" s="2"/>
      <c r="L33" s="7">
        <f t="shared" si="8"/>
        <v>-10.197607500000004</v>
      </c>
      <c r="M33" s="2"/>
      <c r="N33" s="6">
        <f t="shared" si="9"/>
        <v>-0.19051117687260735</v>
      </c>
      <c r="O33" s="11"/>
      <c r="P33" s="7">
        <v>172.95</v>
      </c>
      <c r="Q33" s="2"/>
      <c r="R33" s="6">
        <f t="shared" si="10"/>
        <v>2.4029173458954712E-3</v>
      </c>
      <c r="S33" s="2"/>
      <c r="T33" s="7">
        <v>185.21528699999999</v>
      </c>
      <c r="U33" s="2"/>
      <c r="V33" s="6">
        <f t="shared" si="11"/>
        <v>1.7275450458433211E-3</v>
      </c>
      <c r="W33" s="2"/>
      <c r="X33" s="7">
        <f t="shared" si="12"/>
        <v>-12.265287000000001</v>
      </c>
      <c r="Y33" s="2"/>
      <c r="Z33" s="6">
        <f t="shared" si="13"/>
        <v>-6.6221785462017513E-2</v>
      </c>
    </row>
    <row r="34" spans="1:26" s="24" customFormat="1" hidden="1" outlineLevel="2" x14ac:dyDescent="0.25">
      <c r="A34" s="28"/>
      <c r="B34" s="11" t="str">
        <f>CONCATENATE("          ", "6115", " - ", "P.E.R.S.")</f>
        <v xml:space="preserve">          6115 - P.E.R.S.</v>
      </c>
      <c r="C34" s="11"/>
      <c r="D34" s="7">
        <v>1202.9100000000001</v>
      </c>
      <c r="E34" s="2"/>
      <c r="F34" s="6">
        <f t="shared" si="6"/>
        <v>0.1145856651466816</v>
      </c>
      <c r="G34" s="2"/>
      <c r="H34" s="7">
        <v>1239.9085557692301</v>
      </c>
      <c r="I34" s="2"/>
      <c r="J34" s="6">
        <f t="shared" si="7"/>
        <v>8.4347520800627906E-2</v>
      </c>
      <c r="K34" s="2"/>
      <c r="L34" s="7">
        <f t="shared" si="8"/>
        <v>-36.998555769230052</v>
      </c>
      <c r="M34" s="2"/>
      <c r="N34" s="6">
        <f t="shared" si="9"/>
        <v>-2.9839745517584899E-2</v>
      </c>
      <c r="O34" s="11"/>
      <c r="P34" s="7">
        <v>6498.27</v>
      </c>
      <c r="Q34" s="2"/>
      <c r="R34" s="6">
        <f t="shared" si="10"/>
        <v>9.0285086448754936E-2</v>
      </c>
      <c r="S34" s="2"/>
      <c r="T34" s="7">
        <v>4463.6708007692305</v>
      </c>
      <c r="U34" s="2"/>
      <c r="V34" s="6">
        <f t="shared" si="11"/>
        <v>4.1633671297037024E-2</v>
      </c>
      <c r="W34" s="2"/>
      <c r="X34" s="7">
        <f t="shared" si="12"/>
        <v>2034.59919923077</v>
      </c>
      <c r="Y34" s="2"/>
      <c r="Z34" s="6">
        <f t="shared" si="13"/>
        <v>0.45581300459705604</v>
      </c>
    </row>
    <row r="35" spans="1:26" s="24" customFormat="1" hidden="1" outlineLevel="2" x14ac:dyDescent="0.25">
      <c r="A35" s="28"/>
      <c r="B35" s="11" t="str">
        <f>CONCATENATE("          ", "6116", " - ", "EDUCATIONAL BENEFITS")</f>
        <v xml:space="preserve">          6116 - EDUCATIONAL BENEFITS</v>
      </c>
      <c r="C35" s="11"/>
      <c r="D35" s="7"/>
      <c r="E35" s="2"/>
      <c r="F35" s="6">
        <f t="shared" si="6"/>
        <v>0</v>
      </c>
      <c r="G35" s="2"/>
      <c r="H35" s="7">
        <v>0</v>
      </c>
      <c r="I35" s="2"/>
      <c r="J35" s="6">
        <f t="shared" si="7"/>
        <v>0</v>
      </c>
      <c r="K35" s="2"/>
      <c r="L35" s="7">
        <f t="shared" si="8"/>
        <v>0</v>
      </c>
      <c r="M35" s="2"/>
      <c r="N35" s="6">
        <f t="shared" si="9"/>
        <v>0</v>
      </c>
      <c r="O35" s="11"/>
      <c r="P35" s="7"/>
      <c r="Q35" s="2"/>
      <c r="R35" s="6">
        <f t="shared" si="10"/>
        <v>0</v>
      </c>
      <c r="S35" s="2"/>
      <c r="T35" s="7">
        <v>0</v>
      </c>
      <c r="U35" s="2"/>
      <c r="V35" s="6">
        <f t="shared" si="11"/>
        <v>0</v>
      </c>
      <c r="W35" s="2"/>
      <c r="X35" s="7">
        <f t="shared" si="12"/>
        <v>0</v>
      </c>
      <c r="Y35" s="2"/>
      <c r="Z35" s="6">
        <f t="shared" si="13"/>
        <v>0</v>
      </c>
    </row>
    <row r="36" spans="1:26" s="24" customFormat="1" hidden="1" outlineLevel="2" x14ac:dyDescent="0.25">
      <c r="A36" s="28"/>
      <c r="B36" s="11" t="str">
        <f>CONCATENATE("          ", "6118", " - ", "VACATION")</f>
        <v xml:space="preserve">          6118 - VACATION</v>
      </c>
      <c r="C36" s="11"/>
      <c r="D36" s="7">
        <v>1824.15</v>
      </c>
      <c r="E36" s="2"/>
      <c r="F36" s="6">
        <f t="shared" si="6"/>
        <v>0.17376315857156333</v>
      </c>
      <c r="G36" s="2"/>
      <c r="H36" s="7">
        <v>1195.7663557692301</v>
      </c>
      <c r="I36" s="2"/>
      <c r="J36" s="6">
        <f t="shared" si="7"/>
        <v>8.1344650052328576E-2</v>
      </c>
      <c r="K36" s="2"/>
      <c r="L36" s="7">
        <f t="shared" si="8"/>
        <v>628.38364423076996</v>
      </c>
      <c r="M36" s="2"/>
      <c r="N36" s="6">
        <f t="shared" si="9"/>
        <v>0.52550704508368118</v>
      </c>
      <c r="O36" s="11"/>
      <c r="P36" s="7">
        <v>5235.2299999999996</v>
      </c>
      <c r="Q36" s="2"/>
      <c r="R36" s="6">
        <f t="shared" si="10"/>
        <v>7.2736773499579924E-2</v>
      </c>
      <c r="S36" s="2"/>
      <c r="T36" s="7">
        <v>4304.75888076923</v>
      </c>
      <c r="U36" s="2"/>
      <c r="V36" s="6">
        <f t="shared" si="11"/>
        <v>4.0151463728924947E-2</v>
      </c>
      <c r="W36" s="2"/>
      <c r="X36" s="7">
        <f t="shared" si="12"/>
        <v>930.47111923076955</v>
      </c>
      <c r="Y36" s="2"/>
      <c r="Z36" s="6">
        <f t="shared" si="13"/>
        <v>0.21614941626289205</v>
      </c>
    </row>
    <row r="37" spans="1:26" s="24" customFormat="1" hidden="1" outlineLevel="2" x14ac:dyDescent="0.25">
      <c r="A37" s="28"/>
      <c r="B37" s="11" t="str">
        <f>CONCATENATE("          ", "6119", " - ", "SICK LEAVE")</f>
        <v xml:space="preserve">          6119 - SICK LEAVE</v>
      </c>
      <c r="C37" s="11"/>
      <c r="D37" s="7">
        <v>1107.75</v>
      </c>
      <c r="E37" s="2"/>
      <c r="F37" s="6">
        <f t="shared" si="6"/>
        <v>0.10552100370454692</v>
      </c>
      <c r="G37" s="2"/>
      <c r="H37" s="7">
        <v>551.74547115384598</v>
      </c>
      <c r="I37" s="2"/>
      <c r="J37" s="6">
        <f t="shared" si="7"/>
        <v>3.7533705520669793E-2</v>
      </c>
      <c r="K37" s="2"/>
      <c r="L37" s="7">
        <f t="shared" si="8"/>
        <v>556.00452884615402</v>
      </c>
      <c r="M37" s="2"/>
      <c r="N37" s="6">
        <f t="shared" si="9"/>
        <v>1.0077192435914357</v>
      </c>
      <c r="O37" s="11"/>
      <c r="P37" s="7">
        <v>3217.27</v>
      </c>
      <c r="Q37" s="2"/>
      <c r="R37" s="6">
        <f t="shared" si="10"/>
        <v>4.4699820118121555E-2</v>
      </c>
      <c r="S37" s="2"/>
      <c r="T37" s="7">
        <v>1976.4136961538461</v>
      </c>
      <c r="U37" s="2"/>
      <c r="V37" s="6">
        <f t="shared" si="11"/>
        <v>1.8434459404678968E-2</v>
      </c>
      <c r="W37" s="2"/>
      <c r="X37" s="7">
        <f t="shared" si="12"/>
        <v>1240.8563038461539</v>
      </c>
      <c r="Y37" s="2"/>
      <c r="Z37" s="6">
        <f t="shared" si="13"/>
        <v>0.62783227330436608</v>
      </c>
    </row>
    <row r="38" spans="1:26" s="24" customFormat="1" hidden="1" outlineLevel="2" x14ac:dyDescent="0.25">
      <c r="A38" s="28"/>
      <c r="B38" s="11" t="str">
        <f>CONCATENATE("          ", "6156", " - ", "EMPLOYEE MEALS")</f>
        <v xml:space="preserve">          6156 - EMPLOYEE MEALS</v>
      </c>
      <c r="C38" s="11"/>
      <c r="D38" s="7">
        <v>499.9</v>
      </c>
      <c r="E38" s="2"/>
      <c r="F38" s="6">
        <f t="shared" si="6"/>
        <v>4.7619002258544804E-2</v>
      </c>
      <c r="G38" s="2"/>
      <c r="H38" s="7"/>
      <c r="I38" s="2"/>
      <c r="J38" s="6">
        <f t="shared" si="7"/>
        <v>0</v>
      </c>
      <c r="K38" s="2"/>
      <c r="L38" s="7">
        <f t="shared" si="8"/>
        <v>499.9</v>
      </c>
      <c r="M38" s="2"/>
      <c r="N38" s="6">
        <f t="shared" si="9"/>
        <v>0</v>
      </c>
      <c r="O38" s="11"/>
      <c r="P38" s="7">
        <v>1466.64</v>
      </c>
      <c r="Q38" s="2"/>
      <c r="R38" s="6">
        <f t="shared" si="10"/>
        <v>2.0377072542261548E-2</v>
      </c>
      <c r="S38" s="2"/>
      <c r="T38" s="7"/>
      <c r="U38" s="2"/>
      <c r="V38" s="6">
        <f t="shared" si="11"/>
        <v>0</v>
      </c>
      <c r="W38" s="2"/>
      <c r="X38" s="7">
        <f t="shared" si="12"/>
        <v>1466.64</v>
      </c>
      <c r="Y38" s="2"/>
      <c r="Z38" s="6">
        <f t="shared" si="13"/>
        <v>0</v>
      </c>
    </row>
    <row r="39" spans="1:26" s="27" customFormat="1" outlineLevel="1" collapsed="1" x14ac:dyDescent="0.25">
      <c r="A39" s="29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15617.39</v>
      </c>
      <c r="E39" s="1"/>
      <c r="F39" s="5">
        <f t="shared" ref="F39:F49" si="14">IF(D$12=0,0,D39/D$12)</f>
        <v>1.4876665926836867</v>
      </c>
      <c r="G39" s="1"/>
      <c r="H39" s="1">
        <f>SUM(OSRRefH22_1x_0)</f>
        <v>12746.8857019231</v>
      </c>
      <c r="I39" s="1"/>
      <c r="J39" s="5">
        <f t="shared" ref="J39:J49" si="15">IF(H$12=0,0,H39/H$12)</f>
        <v>0.8671350817634762</v>
      </c>
      <c r="K39" s="1"/>
      <c r="L39" s="1">
        <f t="shared" ref="L39:L49" si="16">+D39-H39</f>
        <v>2870.5042980768994</v>
      </c>
      <c r="M39" s="1"/>
      <c r="N39" s="5">
        <f t="shared" ref="N39:N49" si="17">IF(H39=0,0,L39/H39)</f>
        <v>0.22519259725093727</v>
      </c>
      <c r="O39" s="14"/>
      <c r="P39" s="1">
        <f>SUM(OSRRefP22_1x_0)</f>
        <v>60168.05</v>
      </c>
      <c r="Q39" s="1"/>
      <c r="R39" s="5">
        <f t="shared" ref="R39:R49" si="18">IF(P$12=0,0,P39/P$12)</f>
        <v>0.83595750802952318</v>
      </c>
      <c r="S39" s="1"/>
      <c r="T39" s="1">
        <f>SUM(OSRRefT22_1x_0)</f>
        <v>45888.788526923199</v>
      </c>
      <c r="U39" s="1"/>
      <c r="V39" s="5">
        <f t="shared" ref="V39:V49" si="19">IF(T$12=0,0,T39/T$12)</f>
        <v>0.42801515233155679</v>
      </c>
      <c r="W39" s="1"/>
      <c r="X39" s="1">
        <f t="shared" ref="X39:X49" si="20">+P39-T39</f>
        <v>14279.261473076804</v>
      </c>
      <c r="Y39" s="1"/>
      <c r="Z39" s="5">
        <f t="shared" ref="Z39:Z49" si="21">IF(T39=0,0,X39/T39)</f>
        <v>0.31117102742207031</v>
      </c>
    </row>
    <row r="40" spans="1:26" s="24" customFormat="1" hidden="1" outlineLevel="2" x14ac:dyDescent="0.25">
      <c r="A40" s="28"/>
      <c r="B40" s="11" t="str">
        <f>CONCATENATE("          ", "6001", " - ", "ADMINISTRATIVE SALARIES")</f>
        <v xml:space="preserve">          6001 - ADMINISTRATIVE SALARIES</v>
      </c>
      <c r="C40" s="11"/>
      <c r="D40" s="7"/>
      <c r="E40" s="2"/>
      <c r="F40" s="6">
        <f t="shared" si="14"/>
        <v>0</v>
      </c>
      <c r="G40" s="2"/>
      <c r="H40" s="7">
        <v>0</v>
      </c>
      <c r="I40" s="2"/>
      <c r="J40" s="6">
        <f t="shared" si="15"/>
        <v>0</v>
      </c>
      <c r="K40" s="2"/>
      <c r="L40" s="7">
        <f t="shared" si="16"/>
        <v>0</v>
      </c>
      <c r="M40" s="2"/>
      <c r="N40" s="6">
        <f t="shared" si="17"/>
        <v>0</v>
      </c>
      <c r="O40" s="11"/>
      <c r="P40" s="7"/>
      <c r="Q40" s="2"/>
      <c r="R40" s="6">
        <f t="shared" si="18"/>
        <v>0</v>
      </c>
      <c r="S40" s="2"/>
      <c r="T40" s="7">
        <v>0</v>
      </c>
      <c r="U40" s="2"/>
      <c r="V40" s="6">
        <f t="shared" si="19"/>
        <v>0</v>
      </c>
      <c r="W40" s="2"/>
      <c r="X40" s="7">
        <f t="shared" si="20"/>
        <v>0</v>
      </c>
      <c r="Y40" s="2"/>
      <c r="Z40" s="6">
        <f t="shared" si="21"/>
        <v>0</v>
      </c>
    </row>
    <row r="41" spans="1:26" s="24" customFormat="1" hidden="1" outlineLevel="2" x14ac:dyDescent="0.25">
      <c r="A41" s="28"/>
      <c r="B41" s="11" t="str">
        <f>CONCATENATE("          ", "6002", " - ", "STAFF SALARIES")</f>
        <v xml:space="preserve">          6002 - STAFF SALARIES</v>
      </c>
      <c r="C41" s="11"/>
      <c r="D41" s="7">
        <v>14754.47</v>
      </c>
      <c r="E41" s="2"/>
      <c r="F41" s="6">
        <f t="shared" si="14"/>
        <v>1.4054673739820596</v>
      </c>
      <c r="G41" s="2"/>
      <c r="H41" s="7">
        <v>12746.8857019231</v>
      </c>
      <c r="I41" s="2"/>
      <c r="J41" s="6">
        <f t="shared" si="15"/>
        <v>0.8671350817634762</v>
      </c>
      <c r="K41" s="2"/>
      <c r="L41" s="7">
        <f t="shared" si="16"/>
        <v>2007.5842980768994</v>
      </c>
      <c r="M41" s="2"/>
      <c r="N41" s="6">
        <f t="shared" si="17"/>
        <v>0.15749606178503811</v>
      </c>
      <c r="O41" s="11"/>
      <c r="P41" s="7">
        <v>56768.43</v>
      </c>
      <c r="Q41" s="2"/>
      <c r="R41" s="6">
        <f t="shared" si="18"/>
        <v>0.78872416968056003</v>
      </c>
      <c r="S41" s="2"/>
      <c r="T41" s="7">
        <v>45888.788526923199</v>
      </c>
      <c r="U41" s="2"/>
      <c r="V41" s="6">
        <f t="shared" si="19"/>
        <v>0.42801515233155679</v>
      </c>
      <c r="W41" s="2"/>
      <c r="X41" s="7">
        <f t="shared" si="20"/>
        <v>10879.641473076801</v>
      </c>
      <c r="Y41" s="2"/>
      <c r="Z41" s="6">
        <f t="shared" si="21"/>
        <v>0.23708713658225378</v>
      </c>
    </row>
    <row r="42" spans="1:26" s="24" customFormat="1" hidden="1" outlineLevel="2" x14ac:dyDescent="0.25">
      <c r="A42" s="28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14"/>
        <v>0</v>
      </c>
      <c r="G42" s="2"/>
      <c r="H42" s="7">
        <v>0</v>
      </c>
      <c r="I42" s="2"/>
      <c r="J42" s="6">
        <f t="shared" si="15"/>
        <v>0</v>
      </c>
      <c r="K42" s="2"/>
      <c r="L42" s="7">
        <f t="shared" si="16"/>
        <v>0</v>
      </c>
      <c r="M42" s="2"/>
      <c r="N42" s="6">
        <f t="shared" si="17"/>
        <v>0</v>
      </c>
      <c r="O42" s="11"/>
      <c r="P42" s="7"/>
      <c r="Q42" s="2"/>
      <c r="R42" s="6">
        <f t="shared" si="18"/>
        <v>0</v>
      </c>
      <c r="S42" s="2"/>
      <c r="T42" s="7">
        <v>0</v>
      </c>
      <c r="U42" s="2"/>
      <c r="V42" s="6">
        <f t="shared" si="19"/>
        <v>0</v>
      </c>
      <c r="W42" s="2"/>
      <c r="X42" s="7">
        <f t="shared" si="20"/>
        <v>0</v>
      </c>
      <c r="Y42" s="2"/>
      <c r="Z42" s="6">
        <f t="shared" si="21"/>
        <v>0</v>
      </c>
    </row>
    <row r="43" spans="1:26" s="24" customFormat="1" hidden="1" outlineLevel="2" x14ac:dyDescent="0.25">
      <c r="A43" s="28"/>
      <c r="B43" s="11" t="str">
        <f>CONCATENATE("          ", "6004", " - ", "STAFF HOURLY")</f>
        <v xml:space="preserve">          6004 - STAFF HOURLY</v>
      </c>
      <c r="C43" s="11"/>
      <c r="D43" s="7"/>
      <c r="E43" s="2"/>
      <c r="F43" s="6">
        <f t="shared" si="14"/>
        <v>0</v>
      </c>
      <c r="G43" s="2"/>
      <c r="H43" s="7">
        <v>0</v>
      </c>
      <c r="I43" s="2"/>
      <c r="J43" s="6">
        <f t="shared" si="15"/>
        <v>0</v>
      </c>
      <c r="K43" s="2"/>
      <c r="L43" s="7">
        <f t="shared" si="16"/>
        <v>0</v>
      </c>
      <c r="M43" s="2"/>
      <c r="N43" s="6">
        <f t="shared" si="17"/>
        <v>0</v>
      </c>
      <c r="O43" s="11"/>
      <c r="P43" s="7"/>
      <c r="Q43" s="2"/>
      <c r="R43" s="6">
        <f t="shared" si="18"/>
        <v>0</v>
      </c>
      <c r="S43" s="2"/>
      <c r="T43" s="7">
        <v>0</v>
      </c>
      <c r="U43" s="2"/>
      <c r="V43" s="6">
        <f t="shared" si="19"/>
        <v>0</v>
      </c>
      <c r="W43" s="2"/>
      <c r="X43" s="7">
        <f t="shared" si="20"/>
        <v>0</v>
      </c>
      <c r="Y43" s="2"/>
      <c r="Z43" s="6">
        <f t="shared" si="21"/>
        <v>0</v>
      </c>
    </row>
    <row r="44" spans="1:26" s="24" customFormat="1" hidden="1" outlineLevel="2" x14ac:dyDescent="0.25">
      <c r="A44" s="28"/>
      <c r="B44" s="11" t="str">
        <f>CONCATENATE("          ", "6005", " - ", "TEMPORARY WAGES-HOURLY")</f>
        <v xml:space="preserve">          6005 - TEMPORARY WAGES-HOURLY</v>
      </c>
      <c r="C44" s="11"/>
      <c r="D44" s="7"/>
      <c r="E44" s="2"/>
      <c r="F44" s="6">
        <f t="shared" si="14"/>
        <v>0</v>
      </c>
      <c r="G44" s="2"/>
      <c r="H44" s="7">
        <v>0</v>
      </c>
      <c r="I44" s="2"/>
      <c r="J44" s="6">
        <f t="shared" si="15"/>
        <v>0</v>
      </c>
      <c r="K44" s="2"/>
      <c r="L44" s="7">
        <f t="shared" si="16"/>
        <v>0</v>
      </c>
      <c r="M44" s="2"/>
      <c r="N44" s="6">
        <f t="shared" si="17"/>
        <v>0</v>
      </c>
      <c r="O44" s="11"/>
      <c r="P44" s="7">
        <v>383.25</v>
      </c>
      <c r="Q44" s="2"/>
      <c r="R44" s="6">
        <f t="shared" si="18"/>
        <v>5.3247648037839804E-3</v>
      </c>
      <c r="S44" s="2"/>
      <c r="T44" s="7">
        <v>0</v>
      </c>
      <c r="U44" s="2"/>
      <c r="V44" s="6">
        <f t="shared" si="19"/>
        <v>0</v>
      </c>
      <c r="W44" s="2"/>
      <c r="X44" s="7">
        <f t="shared" si="20"/>
        <v>383.25</v>
      </c>
      <c r="Y44" s="2"/>
      <c r="Z44" s="6">
        <f t="shared" si="21"/>
        <v>0</v>
      </c>
    </row>
    <row r="45" spans="1:26" s="24" customFormat="1" hidden="1" outlineLevel="2" x14ac:dyDescent="0.25">
      <c r="A45" s="28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14"/>
        <v>0</v>
      </c>
      <c r="G45" s="2"/>
      <c r="H45" s="7">
        <v>0</v>
      </c>
      <c r="I45" s="2"/>
      <c r="J45" s="6">
        <f t="shared" si="15"/>
        <v>0</v>
      </c>
      <c r="K45" s="2"/>
      <c r="L45" s="7">
        <f t="shared" si="16"/>
        <v>0</v>
      </c>
      <c r="M45" s="2"/>
      <c r="N45" s="6">
        <f t="shared" si="17"/>
        <v>0</v>
      </c>
      <c r="O45" s="11"/>
      <c r="P45" s="7"/>
      <c r="Q45" s="2"/>
      <c r="R45" s="6">
        <f t="shared" si="18"/>
        <v>0</v>
      </c>
      <c r="S45" s="2"/>
      <c r="T45" s="7">
        <v>0</v>
      </c>
      <c r="U45" s="2"/>
      <c r="V45" s="6">
        <f t="shared" si="19"/>
        <v>0</v>
      </c>
      <c r="W45" s="2"/>
      <c r="X45" s="7">
        <f t="shared" si="20"/>
        <v>0</v>
      </c>
      <c r="Y45" s="2"/>
      <c r="Z45" s="6">
        <f t="shared" si="21"/>
        <v>0</v>
      </c>
    </row>
    <row r="46" spans="1:26" s="24" customFormat="1" hidden="1" outlineLevel="2" x14ac:dyDescent="0.25">
      <c r="A46" s="28"/>
      <c r="B46" s="11" t="str">
        <f>CONCATENATE("          ", "6007", " - ", "STUDENT HOURLY")</f>
        <v xml:space="preserve">          6007 - STUDENT HOURLY</v>
      </c>
      <c r="C46" s="11"/>
      <c r="D46" s="7">
        <v>862.92</v>
      </c>
      <c r="E46" s="2"/>
      <c r="F46" s="6">
        <f t="shared" si="14"/>
        <v>8.2199218701627288E-2</v>
      </c>
      <c r="G46" s="2"/>
      <c r="H46" s="7">
        <v>0</v>
      </c>
      <c r="I46" s="2"/>
      <c r="J46" s="6">
        <f t="shared" si="15"/>
        <v>0</v>
      </c>
      <c r="K46" s="2"/>
      <c r="L46" s="7">
        <f t="shared" si="16"/>
        <v>862.92</v>
      </c>
      <c r="M46" s="2"/>
      <c r="N46" s="6">
        <f t="shared" si="17"/>
        <v>0</v>
      </c>
      <c r="O46" s="11"/>
      <c r="P46" s="7">
        <v>3016.37</v>
      </c>
      <c r="Q46" s="2"/>
      <c r="R46" s="6">
        <f t="shared" si="18"/>
        <v>4.1908573545179087E-2</v>
      </c>
      <c r="S46" s="2"/>
      <c r="T46" s="7">
        <v>0</v>
      </c>
      <c r="U46" s="2"/>
      <c r="V46" s="6">
        <f t="shared" si="19"/>
        <v>0</v>
      </c>
      <c r="W46" s="2"/>
      <c r="X46" s="7">
        <f t="shared" si="20"/>
        <v>3016.37</v>
      </c>
      <c r="Y46" s="2"/>
      <c r="Z46" s="6">
        <f t="shared" si="21"/>
        <v>0</v>
      </c>
    </row>
    <row r="47" spans="1:26" s="24" customFormat="1" hidden="1" outlineLevel="2" x14ac:dyDescent="0.25">
      <c r="A47" s="28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14"/>
        <v>0</v>
      </c>
      <c r="G47" s="2"/>
      <c r="H47" s="7">
        <v>0</v>
      </c>
      <c r="I47" s="2"/>
      <c r="J47" s="6">
        <f t="shared" si="15"/>
        <v>0</v>
      </c>
      <c r="K47" s="2"/>
      <c r="L47" s="7">
        <f t="shared" si="16"/>
        <v>0</v>
      </c>
      <c r="M47" s="2"/>
      <c r="N47" s="6">
        <f t="shared" si="17"/>
        <v>0</v>
      </c>
      <c r="O47" s="11"/>
      <c r="P47" s="7"/>
      <c r="Q47" s="2"/>
      <c r="R47" s="6">
        <f t="shared" si="18"/>
        <v>0</v>
      </c>
      <c r="S47" s="2"/>
      <c r="T47" s="7">
        <v>0</v>
      </c>
      <c r="U47" s="2"/>
      <c r="V47" s="6">
        <f t="shared" si="19"/>
        <v>0</v>
      </c>
      <c r="W47" s="2"/>
      <c r="X47" s="7">
        <f t="shared" si="20"/>
        <v>0</v>
      </c>
      <c r="Y47" s="2"/>
      <c r="Z47" s="6">
        <f t="shared" si="21"/>
        <v>0</v>
      </c>
    </row>
    <row r="48" spans="1:26" s="24" customFormat="1" hidden="1" outlineLevel="2" x14ac:dyDescent="0.25">
      <c r="A48" s="28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14"/>
        <v>0</v>
      </c>
      <c r="G48" s="2"/>
      <c r="H48" s="7">
        <v>0</v>
      </c>
      <c r="I48" s="2"/>
      <c r="J48" s="6">
        <f t="shared" si="15"/>
        <v>0</v>
      </c>
      <c r="K48" s="2"/>
      <c r="L48" s="7">
        <f t="shared" si="16"/>
        <v>0</v>
      </c>
      <c r="M48" s="2"/>
      <c r="N48" s="6">
        <f t="shared" si="17"/>
        <v>0</v>
      </c>
      <c r="O48" s="11"/>
      <c r="P48" s="7"/>
      <c r="Q48" s="2"/>
      <c r="R48" s="6">
        <f t="shared" si="18"/>
        <v>0</v>
      </c>
      <c r="S48" s="2"/>
      <c r="T48" s="7">
        <v>0</v>
      </c>
      <c r="U48" s="2"/>
      <c r="V48" s="6">
        <f t="shared" si="19"/>
        <v>0</v>
      </c>
      <c r="W48" s="2"/>
      <c r="X48" s="7">
        <f t="shared" si="20"/>
        <v>0</v>
      </c>
      <c r="Y48" s="2"/>
      <c r="Z48" s="6">
        <f t="shared" si="21"/>
        <v>0</v>
      </c>
    </row>
    <row r="49" spans="1:26" s="24" customFormat="1" hidden="1" outlineLevel="2" x14ac:dyDescent="0.25">
      <c r="A49" s="28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14"/>
        <v>0</v>
      </c>
      <c r="G49" s="2"/>
      <c r="H49" s="7">
        <v>0</v>
      </c>
      <c r="I49" s="2"/>
      <c r="J49" s="6">
        <f t="shared" si="15"/>
        <v>0</v>
      </c>
      <c r="K49" s="2"/>
      <c r="L49" s="7">
        <f t="shared" si="16"/>
        <v>0</v>
      </c>
      <c r="M49" s="2"/>
      <c r="N49" s="6">
        <f t="shared" si="17"/>
        <v>0</v>
      </c>
      <c r="O49" s="11"/>
      <c r="P49" s="7"/>
      <c r="Q49" s="2"/>
      <c r="R49" s="6">
        <f t="shared" si="18"/>
        <v>0</v>
      </c>
      <c r="S49" s="2"/>
      <c r="T49" s="7">
        <v>0</v>
      </c>
      <c r="U49" s="2"/>
      <c r="V49" s="6">
        <f t="shared" si="19"/>
        <v>0</v>
      </c>
      <c r="W49" s="2"/>
      <c r="X49" s="7">
        <f t="shared" si="20"/>
        <v>0</v>
      </c>
      <c r="Y49" s="2"/>
      <c r="Z49" s="6">
        <f t="shared" si="21"/>
        <v>0</v>
      </c>
    </row>
    <row r="50" spans="1:26" s="27" customFormat="1" outlineLevel="1" collapsed="1" x14ac:dyDescent="0.25">
      <c r="A50" s="29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0" si="22">IF(D$12=0,0,D50/D$12)</f>
        <v>0</v>
      </c>
      <c r="G50" s="1"/>
      <c r="H50" s="1">
        <f>SUM(OSRRefH22_2x_0)</f>
        <v>50</v>
      </c>
      <c r="I50" s="1"/>
      <c r="J50" s="5">
        <f t="shared" ref="J50:J60" si="23">IF(H$12=0,0,H50/H$12)</f>
        <v>3.4013605442176869E-3</v>
      </c>
      <c r="K50" s="1"/>
      <c r="L50" s="1">
        <f t="shared" ref="L50:L60" si="24">+D50-H50</f>
        <v>-50</v>
      </c>
      <c r="M50" s="1"/>
      <c r="N50" s="5">
        <f t="shared" ref="N50:N60" si="25">IF(H50=0,0,L50/H50)</f>
        <v>-1</v>
      </c>
      <c r="O50" s="14"/>
      <c r="P50" s="1">
        <f>SUM(OSRRefP22_2x_0)</f>
        <v>0</v>
      </c>
      <c r="Q50" s="1"/>
      <c r="R50" s="5">
        <f t="shared" ref="R50:R60" si="26">IF(P$12=0,0,P50/P$12)</f>
        <v>0</v>
      </c>
      <c r="S50" s="1"/>
      <c r="T50" s="1">
        <f>SUM(OSRRefT22_2x_0)</f>
        <v>200</v>
      </c>
      <c r="U50" s="1"/>
      <c r="V50" s="5">
        <f t="shared" ref="V50:V60" si="27">IF(T$12=0,0,T50/T$12)</f>
        <v>1.8654454217305737E-3</v>
      </c>
      <c r="W50" s="1"/>
      <c r="X50" s="1">
        <f t="shared" ref="X50:X60" si="28">+P50-T50</f>
        <v>-200</v>
      </c>
      <c r="Y50" s="1"/>
      <c r="Z50" s="5">
        <f t="shared" ref="Z50:Z60" si="29">IF(T50=0,0,X50/T50)</f>
        <v>-1</v>
      </c>
    </row>
    <row r="51" spans="1:26" s="24" customFormat="1" hidden="1" outlineLevel="2" x14ac:dyDescent="0.25">
      <c r="A51" s="28"/>
      <c r="B51" s="11" t="str">
        <f>CONCATENATE("          ", "6362", " - ", "ADVERTISING EXPENSE")</f>
        <v xml:space="preserve">          6362 - ADVERTISING EXPENSE</v>
      </c>
      <c r="C51" s="11"/>
      <c r="D51" s="7"/>
      <c r="E51" s="2"/>
      <c r="F51" s="6">
        <f t="shared" si="22"/>
        <v>0</v>
      </c>
      <c r="G51" s="2"/>
      <c r="H51" s="7">
        <v>50</v>
      </c>
      <c r="I51" s="2"/>
      <c r="J51" s="6">
        <f t="shared" si="23"/>
        <v>3.4013605442176869E-3</v>
      </c>
      <c r="K51" s="2"/>
      <c r="L51" s="7">
        <f t="shared" si="24"/>
        <v>-50</v>
      </c>
      <c r="M51" s="2"/>
      <c r="N51" s="6">
        <f t="shared" si="25"/>
        <v>-1</v>
      </c>
      <c r="O51" s="11"/>
      <c r="P51" s="7"/>
      <c r="Q51" s="2"/>
      <c r="R51" s="6">
        <f t="shared" si="26"/>
        <v>0</v>
      </c>
      <c r="S51" s="2"/>
      <c r="T51" s="7">
        <v>200</v>
      </c>
      <c r="U51" s="2"/>
      <c r="V51" s="6">
        <f t="shared" si="27"/>
        <v>1.8654454217305737E-3</v>
      </c>
      <c r="W51" s="2"/>
      <c r="X51" s="7">
        <f t="shared" si="28"/>
        <v>-200</v>
      </c>
      <c r="Y51" s="2"/>
      <c r="Z51" s="6">
        <f t="shared" si="29"/>
        <v>-1</v>
      </c>
    </row>
    <row r="52" spans="1:26" s="27" customFormat="1" outlineLevel="1" collapsed="1" x14ac:dyDescent="0.25">
      <c r="A52" s="29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SUM(OSRRefD22_3x_0)</f>
        <v>169.88</v>
      </c>
      <c r="E52" s="1"/>
      <c r="F52" s="5">
        <f t="shared" si="22"/>
        <v>1.61822686610954E-2</v>
      </c>
      <c r="G52" s="1"/>
      <c r="H52" s="1">
        <f>SUM(OSRRefH22_3x_0)</f>
        <v>170</v>
      </c>
      <c r="I52" s="1"/>
      <c r="J52" s="5">
        <f t="shared" si="23"/>
        <v>1.1564625850340135E-2</v>
      </c>
      <c r="K52" s="1"/>
      <c r="L52" s="1">
        <f t="shared" si="24"/>
        <v>-0.12000000000000455</v>
      </c>
      <c r="M52" s="1"/>
      <c r="N52" s="5">
        <f t="shared" si="25"/>
        <v>-7.0588235294120319E-4</v>
      </c>
      <c r="O52" s="14"/>
      <c r="P52" s="1">
        <f>SUM(OSRRefP22_3x_0)</f>
        <v>679.52</v>
      </c>
      <c r="Q52" s="1"/>
      <c r="R52" s="5">
        <f t="shared" si="26"/>
        <v>9.4410546104821656E-3</v>
      </c>
      <c r="S52" s="1"/>
      <c r="T52" s="1">
        <f>SUM(OSRRefT22_3x_0)</f>
        <v>680</v>
      </c>
      <c r="U52" s="1"/>
      <c r="V52" s="5">
        <f t="shared" si="27"/>
        <v>6.342514433883951E-3</v>
      </c>
      <c r="W52" s="1"/>
      <c r="X52" s="1">
        <f t="shared" si="28"/>
        <v>-0.48000000000001819</v>
      </c>
      <c r="Y52" s="1"/>
      <c r="Z52" s="5">
        <f t="shared" si="29"/>
        <v>-7.0588235294120319E-4</v>
      </c>
    </row>
    <row r="53" spans="1:26" s="24" customFormat="1" hidden="1" outlineLevel="2" x14ac:dyDescent="0.25">
      <c r="A53" s="28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169.88</v>
      </c>
      <c r="E53" s="2"/>
      <c r="F53" s="6">
        <f t="shared" si="22"/>
        <v>1.61822686610954E-2</v>
      </c>
      <c r="G53" s="2"/>
      <c r="H53" s="7">
        <v>170</v>
      </c>
      <c r="I53" s="2"/>
      <c r="J53" s="6">
        <f t="shared" si="23"/>
        <v>1.1564625850340135E-2</v>
      </c>
      <c r="K53" s="2"/>
      <c r="L53" s="7">
        <f t="shared" si="24"/>
        <v>-0.12000000000000455</v>
      </c>
      <c r="M53" s="2"/>
      <c r="N53" s="6">
        <f t="shared" si="25"/>
        <v>-7.0588235294120319E-4</v>
      </c>
      <c r="O53" s="11"/>
      <c r="P53" s="7">
        <v>679.52</v>
      </c>
      <c r="Q53" s="2"/>
      <c r="R53" s="6">
        <f t="shared" si="26"/>
        <v>9.4410546104821656E-3</v>
      </c>
      <c r="S53" s="2"/>
      <c r="T53" s="7">
        <v>680</v>
      </c>
      <c r="U53" s="2"/>
      <c r="V53" s="6">
        <f t="shared" si="27"/>
        <v>6.342514433883951E-3</v>
      </c>
      <c r="W53" s="2"/>
      <c r="X53" s="7">
        <f t="shared" si="28"/>
        <v>-0.48000000000001819</v>
      </c>
      <c r="Y53" s="2"/>
      <c r="Z53" s="6">
        <f t="shared" si="29"/>
        <v>-7.0588235294120319E-4</v>
      </c>
    </row>
    <row r="54" spans="1:26" s="27" customFormat="1" outlineLevel="1" collapsed="1" x14ac:dyDescent="0.25">
      <c r="A54" s="29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0</v>
      </c>
      <c r="E54" s="1"/>
      <c r="F54" s="5">
        <f t="shared" si="22"/>
        <v>0</v>
      </c>
      <c r="G54" s="1"/>
      <c r="H54" s="1">
        <f>SUM(OSRRefH22_4x_0)</f>
        <v>50</v>
      </c>
      <c r="I54" s="1"/>
      <c r="J54" s="5">
        <f t="shared" si="23"/>
        <v>3.4013605442176869E-3</v>
      </c>
      <c r="K54" s="1"/>
      <c r="L54" s="1">
        <f t="shared" si="24"/>
        <v>-50</v>
      </c>
      <c r="M54" s="1"/>
      <c r="N54" s="5">
        <f t="shared" si="25"/>
        <v>-1</v>
      </c>
      <c r="O54" s="14"/>
      <c r="P54" s="1">
        <f>SUM(OSRRefP22_4x_0)</f>
        <v>0</v>
      </c>
      <c r="Q54" s="1"/>
      <c r="R54" s="5">
        <f t="shared" si="26"/>
        <v>0</v>
      </c>
      <c r="S54" s="1"/>
      <c r="T54" s="1">
        <f>SUM(OSRRefT22_4x_0)</f>
        <v>200</v>
      </c>
      <c r="U54" s="1"/>
      <c r="V54" s="5">
        <f t="shared" si="27"/>
        <v>1.8654454217305737E-3</v>
      </c>
      <c r="W54" s="1"/>
      <c r="X54" s="1">
        <f t="shared" si="28"/>
        <v>-200</v>
      </c>
      <c r="Y54" s="1"/>
      <c r="Z54" s="5">
        <f t="shared" si="29"/>
        <v>-1</v>
      </c>
    </row>
    <row r="55" spans="1:26" s="24" customFormat="1" hidden="1" outlineLevel="2" x14ac:dyDescent="0.25">
      <c r="A55" s="28"/>
      <c r="B55" s="11" t="str">
        <f>CONCATENATE("          ", "6382", " - ", "DISCOUNTS/MARK DOWNS")</f>
        <v xml:space="preserve">          6382 - DISCOUNTS/MARK DOWNS</v>
      </c>
      <c r="C55" s="11"/>
      <c r="D55" s="7"/>
      <c r="E55" s="2"/>
      <c r="F55" s="6">
        <f t="shared" si="22"/>
        <v>0</v>
      </c>
      <c r="G55" s="2"/>
      <c r="H55" s="7">
        <v>50</v>
      </c>
      <c r="I55" s="2"/>
      <c r="J55" s="6">
        <f t="shared" si="23"/>
        <v>3.4013605442176869E-3</v>
      </c>
      <c r="K55" s="2"/>
      <c r="L55" s="7">
        <f t="shared" si="24"/>
        <v>-50</v>
      </c>
      <c r="M55" s="2"/>
      <c r="N55" s="6">
        <f t="shared" si="25"/>
        <v>-1</v>
      </c>
      <c r="O55" s="11"/>
      <c r="P55" s="7"/>
      <c r="Q55" s="2"/>
      <c r="R55" s="6">
        <f t="shared" si="26"/>
        <v>0</v>
      </c>
      <c r="S55" s="2"/>
      <c r="T55" s="7">
        <v>200</v>
      </c>
      <c r="U55" s="2"/>
      <c r="V55" s="6">
        <f t="shared" si="27"/>
        <v>1.8654454217305737E-3</v>
      </c>
      <c r="W55" s="2"/>
      <c r="X55" s="7">
        <f t="shared" si="28"/>
        <v>-200</v>
      </c>
      <c r="Y55" s="2"/>
      <c r="Z55" s="6">
        <f t="shared" si="29"/>
        <v>-1</v>
      </c>
    </row>
    <row r="56" spans="1:26" s="27" customFormat="1" outlineLevel="1" collapsed="1" x14ac:dyDescent="0.25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SUM(OSRRefD22_5x_0)</f>
        <v>1205.6400000000001</v>
      </c>
      <c r="E56" s="1"/>
      <c r="F56" s="5">
        <f t="shared" si="22"/>
        <v>0.11484571690936581</v>
      </c>
      <c r="G56" s="1"/>
      <c r="H56" s="1">
        <f>SUM(OSRRefH22_5x_0)</f>
        <v>1206</v>
      </c>
      <c r="I56" s="1"/>
      <c r="J56" s="5">
        <f t="shared" si="23"/>
        <v>8.2040816326530611E-2</v>
      </c>
      <c r="K56" s="1"/>
      <c r="L56" s="1">
        <f t="shared" si="24"/>
        <v>-0.35999999999989996</v>
      </c>
      <c r="M56" s="1"/>
      <c r="N56" s="5">
        <f t="shared" si="25"/>
        <v>-2.9850746268648423E-4</v>
      </c>
      <c r="O56" s="14"/>
      <c r="P56" s="1">
        <f>SUM(OSRRefP22_5x_0)</f>
        <v>4822.5600000000004</v>
      </c>
      <c r="Q56" s="1"/>
      <c r="R56" s="5">
        <f t="shared" si="26"/>
        <v>6.7003255713337179E-2</v>
      </c>
      <c r="S56" s="1"/>
      <c r="T56" s="1">
        <f>SUM(OSRRefT22_5x_0)</f>
        <v>4824</v>
      </c>
      <c r="U56" s="1"/>
      <c r="V56" s="5">
        <f t="shared" si="27"/>
        <v>4.4994543572141436E-2</v>
      </c>
      <c r="W56" s="1"/>
      <c r="X56" s="1">
        <f t="shared" si="28"/>
        <v>-1.4399999999995998</v>
      </c>
      <c r="Y56" s="1"/>
      <c r="Z56" s="5">
        <f t="shared" si="29"/>
        <v>-2.9850746268648423E-4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7">
        <v>1205.6400000000001</v>
      </c>
      <c r="E57" s="2"/>
      <c r="F57" s="6">
        <f t="shared" si="22"/>
        <v>0.11484571690936581</v>
      </c>
      <c r="G57" s="2"/>
      <c r="H57" s="7">
        <v>1206</v>
      </c>
      <c r="I57" s="2"/>
      <c r="J57" s="6">
        <f t="shared" si="23"/>
        <v>8.2040816326530611E-2</v>
      </c>
      <c r="K57" s="2"/>
      <c r="L57" s="7">
        <f t="shared" si="24"/>
        <v>-0.35999999999989996</v>
      </c>
      <c r="M57" s="2"/>
      <c r="N57" s="6">
        <f t="shared" si="25"/>
        <v>-2.9850746268648423E-4</v>
      </c>
      <c r="O57" s="11"/>
      <c r="P57" s="7">
        <v>4822.5600000000004</v>
      </c>
      <c r="Q57" s="2"/>
      <c r="R57" s="6">
        <f t="shared" si="26"/>
        <v>6.7003255713337179E-2</v>
      </c>
      <c r="S57" s="2"/>
      <c r="T57" s="7">
        <v>4824</v>
      </c>
      <c r="U57" s="2"/>
      <c r="V57" s="6">
        <f t="shared" si="27"/>
        <v>4.4994543572141436E-2</v>
      </c>
      <c r="W57" s="2"/>
      <c r="X57" s="7">
        <f t="shared" si="28"/>
        <v>-1.4399999999995998</v>
      </c>
      <c r="Y57" s="2"/>
      <c r="Z57" s="6">
        <f t="shared" si="29"/>
        <v>-2.9850746268648423E-4</v>
      </c>
    </row>
    <row r="58" spans="1:26" s="27" customFormat="1" outlineLevel="1" collapsed="1" x14ac:dyDescent="0.25">
      <c r="A58" s="29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48851.520000000004</v>
      </c>
      <c r="E58" s="1"/>
      <c r="F58" s="5">
        <f t="shared" si="22"/>
        <v>4.6534519728212578</v>
      </c>
      <c r="G58" s="1"/>
      <c r="H58" s="1">
        <f>SUM(OSRRefH22_6x_0)</f>
        <v>5500</v>
      </c>
      <c r="I58" s="1"/>
      <c r="J58" s="5">
        <f t="shared" si="23"/>
        <v>0.37414965986394561</v>
      </c>
      <c r="K58" s="1"/>
      <c r="L58" s="1">
        <f t="shared" si="24"/>
        <v>43351.520000000004</v>
      </c>
      <c r="M58" s="1"/>
      <c r="N58" s="5">
        <f t="shared" si="25"/>
        <v>7.8820945454545459</v>
      </c>
      <c r="O58" s="14"/>
      <c r="P58" s="1">
        <f>SUM(OSRRefP22_6x_0)</f>
        <v>-33149.160000000018</v>
      </c>
      <c r="Q58" s="1"/>
      <c r="R58" s="5">
        <f t="shared" si="26"/>
        <v>-0.46056485438487638</v>
      </c>
      <c r="S58" s="1"/>
      <c r="T58" s="1">
        <f>SUM(OSRRefT22_6x_0)</f>
        <v>28310</v>
      </c>
      <c r="U58" s="1"/>
      <c r="V58" s="5">
        <f t="shared" si="27"/>
        <v>0.26405379944596269</v>
      </c>
      <c r="W58" s="1"/>
      <c r="X58" s="1">
        <f t="shared" si="28"/>
        <v>-61459.160000000018</v>
      </c>
      <c r="Y58" s="1"/>
      <c r="Z58" s="5">
        <f t="shared" si="29"/>
        <v>-2.1709346520664083</v>
      </c>
    </row>
    <row r="59" spans="1:26" s="24" customFormat="1" hidden="1" outlineLevel="2" x14ac:dyDescent="0.25">
      <c r="A59" s="28"/>
      <c r="B59" s="11" t="str">
        <f>CONCATENATE("          ", "6305", " - ", "FREIGHT OUT")</f>
        <v xml:space="preserve">          6305 - FREIGHT OUT</v>
      </c>
      <c r="C59" s="11"/>
      <c r="D59" s="7">
        <v>60553.990000000005</v>
      </c>
      <c r="E59" s="2"/>
      <c r="F59" s="6">
        <f t="shared" si="22"/>
        <v>5.768194812110222</v>
      </c>
      <c r="G59" s="2"/>
      <c r="H59" s="7">
        <v>3000</v>
      </c>
      <c r="I59" s="2"/>
      <c r="J59" s="6">
        <f t="shared" si="23"/>
        <v>0.20408163265306123</v>
      </c>
      <c r="K59" s="2"/>
      <c r="L59" s="7">
        <f t="shared" si="24"/>
        <v>57553.990000000005</v>
      </c>
      <c r="M59" s="2"/>
      <c r="N59" s="6">
        <f t="shared" si="25"/>
        <v>19.184663333333337</v>
      </c>
      <c r="O59" s="11"/>
      <c r="P59" s="7">
        <v>85594.78</v>
      </c>
      <c r="Q59" s="2"/>
      <c r="R59" s="6">
        <f t="shared" si="26"/>
        <v>1.189229150506544</v>
      </c>
      <c r="S59" s="2"/>
      <c r="T59" s="7">
        <v>13560</v>
      </c>
      <c r="U59" s="2"/>
      <c r="V59" s="6">
        <f t="shared" si="27"/>
        <v>0.1264771995933329</v>
      </c>
      <c r="W59" s="2"/>
      <c r="X59" s="7">
        <f t="shared" si="28"/>
        <v>72034.78</v>
      </c>
      <c r="Y59" s="2"/>
      <c r="Z59" s="6">
        <f t="shared" si="29"/>
        <v>5.3122994100294987</v>
      </c>
    </row>
    <row r="60" spans="1:26" s="24" customFormat="1" hidden="1" outlineLevel="2" x14ac:dyDescent="0.25">
      <c r="A60" s="28"/>
      <c r="B60" s="11" t="str">
        <f>CONCATENATE("          ", "6307", " - ", "POSTAGE")</f>
        <v xml:space="preserve">          6307 - POSTAGE</v>
      </c>
      <c r="C60" s="11"/>
      <c r="D60" s="7">
        <v>-11702.47</v>
      </c>
      <c r="E60" s="2"/>
      <c r="F60" s="6">
        <f t="shared" si="22"/>
        <v>-1.1147428392889633</v>
      </c>
      <c r="G60" s="2"/>
      <c r="H60" s="7">
        <v>2500</v>
      </c>
      <c r="I60" s="2"/>
      <c r="J60" s="6">
        <f t="shared" si="23"/>
        <v>0.17006802721088435</v>
      </c>
      <c r="K60" s="2"/>
      <c r="L60" s="7">
        <f t="shared" si="24"/>
        <v>-14202.47</v>
      </c>
      <c r="M60" s="2"/>
      <c r="N60" s="6">
        <f t="shared" si="25"/>
        <v>-5.6809880000000001</v>
      </c>
      <c r="O60" s="11"/>
      <c r="P60" s="7">
        <v>-118743.94000000002</v>
      </c>
      <c r="Q60" s="2"/>
      <c r="R60" s="6">
        <f t="shared" si="26"/>
        <v>-1.6497940048914204</v>
      </c>
      <c r="S60" s="2"/>
      <c r="T60" s="7">
        <v>14750</v>
      </c>
      <c r="U60" s="2"/>
      <c r="V60" s="6">
        <f t="shared" si="27"/>
        <v>0.13757659985262982</v>
      </c>
      <c r="W60" s="2"/>
      <c r="X60" s="7">
        <f t="shared" si="28"/>
        <v>-133493.94</v>
      </c>
      <c r="Y60" s="2"/>
      <c r="Z60" s="6">
        <f t="shared" si="29"/>
        <v>-9.0504366101694913</v>
      </c>
    </row>
    <row r="61" spans="1:26" s="27" customFormat="1" outlineLevel="1" collapsed="1" x14ac:dyDescent="0.25">
      <c r="A61" s="29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SUM(OSRRefD22_7x_0)</f>
        <v>5274.0899999999992</v>
      </c>
      <c r="E61" s="1"/>
      <c r="F61" s="5">
        <f t="shared" ref="F61:F63" si="30">IF(D$12=0,0,D61/D$12)</f>
        <v>0.5023942861007572</v>
      </c>
      <c r="G61" s="1"/>
      <c r="H61" s="1">
        <f>SUM(OSRRefH22_7x_0)</f>
        <v>9000</v>
      </c>
      <c r="I61" s="1"/>
      <c r="J61" s="5">
        <f t="shared" ref="J61:J63" si="31">IF(H$12=0,0,H61/H$12)</f>
        <v>0.61224489795918369</v>
      </c>
      <c r="K61" s="1"/>
      <c r="L61" s="1">
        <f t="shared" ref="L61:L63" si="32">+D61-H61</f>
        <v>-3725.9100000000008</v>
      </c>
      <c r="M61" s="1"/>
      <c r="N61" s="5">
        <f t="shared" ref="N61:N63" si="33">IF(H61=0,0,L61/H61)</f>
        <v>-0.41399000000000008</v>
      </c>
      <c r="O61" s="14"/>
      <c r="P61" s="1">
        <f>SUM(OSRRefP22_7x_0)</f>
        <v>24120.760000000002</v>
      </c>
      <c r="Q61" s="1"/>
      <c r="R61" s="5">
        <f t="shared" ref="R61:R63" si="34">IF(P$12=0,0,P61/P$12)</f>
        <v>0.33512687250755513</v>
      </c>
      <c r="S61" s="1"/>
      <c r="T61" s="1">
        <f>SUM(OSRRefT22_7x_0)</f>
        <v>20300</v>
      </c>
      <c r="U61" s="1"/>
      <c r="V61" s="5">
        <f t="shared" ref="V61:V63" si="35">IF(T$12=0,0,T61/T$12)</f>
        <v>0.18934271030565322</v>
      </c>
      <c r="W61" s="1"/>
      <c r="X61" s="1">
        <f t="shared" ref="X61:X63" si="36">+P61-T61</f>
        <v>3820.760000000002</v>
      </c>
      <c r="Y61" s="1"/>
      <c r="Z61" s="5">
        <f t="shared" ref="Z61:Z63" si="37">IF(T61=0,0,X61/T61)</f>
        <v>0.18821477832512326</v>
      </c>
    </row>
    <row r="62" spans="1:26" s="24" customFormat="1" hidden="1" outlineLevel="2" x14ac:dyDescent="0.25">
      <c r="A62" s="28"/>
      <c r="B62" s="11" t="str">
        <f>CONCATENATE("          ", "6371", " - ", "COMPUTER SOFTWARE MAINTENANCE")</f>
        <v xml:space="preserve">          6371 - COMPUTER SOFTWARE MAINTENANCE</v>
      </c>
      <c r="C62" s="11"/>
      <c r="D62" s="7">
        <v>7.69</v>
      </c>
      <c r="E62" s="2"/>
      <c r="F62" s="6">
        <f t="shared" si="30"/>
        <v>7.325267600884368E-4</v>
      </c>
      <c r="G62" s="2"/>
      <c r="H62" s="7"/>
      <c r="I62" s="2"/>
      <c r="J62" s="6">
        <f t="shared" si="31"/>
        <v>0</v>
      </c>
      <c r="K62" s="2"/>
      <c r="L62" s="7">
        <f t="shared" si="32"/>
        <v>7.69</v>
      </c>
      <c r="M62" s="2"/>
      <c r="N62" s="6">
        <f t="shared" si="33"/>
        <v>0</v>
      </c>
      <c r="O62" s="11"/>
      <c r="P62" s="7">
        <v>7.69</v>
      </c>
      <c r="Q62" s="2"/>
      <c r="R62" s="6">
        <f t="shared" si="34"/>
        <v>1.0684263885479142E-4</v>
      </c>
      <c r="S62" s="2"/>
      <c r="T62" s="7"/>
      <c r="U62" s="2"/>
      <c r="V62" s="6">
        <f t="shared" si="35"/>
        <v>0</v>
      </c>
      <c r="W62" s="2"/>
      <c r="X62" s="7">
        <f t="shared" si="36"/>
        <v>7.69</v>
      </c>
      <c r="Y62" s="2"/>
      <c r="Z62" s="6">
        <f t="shared" si="37"/>
        <v>0</v>
      </c>
    </row>
    <row r="63" spans="1:26" s="24" customFormat="1" hidden="1" outlineLevel="2" x14ac:dyDescent="0.25">
      <c r="A63" s="28"/>
      <c r="B63" s="11" t="str">
        <f>CONCATENATE("          ", "6373", " - ", "MAINTENANCE CONTRACTS")</f>
        <v xml:space="preserve">          6373 - MAINTENANCE CONTRACTS</v>
      </c>
      <c r="C63" s="11"/>
      <c r="D63" s="7">
        <v>5266.4</v>
      </c>
      <c r="E63" s="2"/>
      <c r="F63" s="6">
        <f t="shared" si="30"/>
        <v>0.50166175934066881</v>
      </c>
      <c r="G63" s="2"/>
      <c r="H63" s="7">
        <v>9000</v>
      </c>
      <c r="I63" s="2"/>
      <c r="J63" s="6">
        <f t="shared" si="31"/>
        <v>0.61224489795918369</v>
      </c>
      <c r="K63" s="2"/>
      <c r="L63" s="7">
        <f t="shared" si="32"/>
        <v>-3733.6000000000004</v>
      </c>
      <c r="M63" s="2"/>
      <c r="N63" s="6">
        <f t="shared" si="33"/>
        <v>-0.41484444444444446</v>
      </c>
      <c r="O63" s="11"/>
      <c r="P63" s="7">
        <v>24113.070000000003</v>
      </c>
      <c r="Q63" s="2"/>
      <c r="R63" s="6">
        <f t="shared" si="34"/>
        <v>0.33502002986870033</v>
      </c>
      <c r="S63" s="2"/>
      <c r="T63" s="7">
        <v>20300</v>
      </c>
      <c r="U63" s="2"/>
      <c r="V63" s="6">
        <f t="shared" si="35"/>
        <v>0.18934271030565322</v>
      </c>
      <c r="W63" s="2"/>
      <c r="X63" s="7">
        <f t="shared" si="36"/>
        <v>3813.0700000000033</v>
      </c>
      <c r="Y63" s="2"/>
      <c r="Z63" s="6">
        <f t="shared" si="37"/>
        <v>0.18783596059113317</v>
      </c>
    </row>
    <row r="64" spans="1:26" s="27" customFormat="1" outlineLevel="1" collapsed="1" x14ac:dyDescent="0.25">
      <c r="A64" s="29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1">
        <f>SUM(OSRRefD22_8x_0)</f>
        <v>320.39999999999998</v>
      </c>
      <c r="E64" s="1"/>
      <c r="F64" s="5">
        <f t="shared" ref="F64:F71" si="38">IF(D$12=0,0,D64/D$12)</f>
        <v>3.0520360719419392E-2</v>
      </c>
      <c r="G64" s="1"/>
      <c r="H64" s="1">
        <f>SUM(OSRRefH22_8x_0)</f>
        <v>900</v>
      </c>
      <c r="I64" s="1"/>
      <c r="J64" s="5">
        <f t="shared" ref="J64:J71" si="39">IF(H$12=0,0,H64/H$12)</f>
        <v>6.1224489795918366E-2</v>
      </c>
      <c r="K64" s="1"/>
      <c r="L64" s="1">
        <f t="shared" ref="L64:L71" si="40">+D64-H64</f>
        <v>-579.6</v>
      </c>
      <c r="M64" s="1"/>
      <c r="N64" s="5">
        <f t="shared" ref="N64:N71" si="41">IF(H64=0,0,L64/H64)</f>
        <v>-0.64400000000000002</v>
      </c>
      <c r="O64" s="14"/>
      <c r="P64" s="1">
        <f>SUM(OSRRefP22_8x_0)</f>
        <v>5705.2</v>
      </c>
      <c r="Q64" s="1"/>
      <c r="R64" s="5">
        <f t="shared" ref="R64:R71" si="42">IF(P$12=0,0,P64/P$12)</f>
        <v>7.9266400935546932E-2</v>
      </c>
      <c r="S64" s="1"/>
      <c r="T64" s="1">
        <f>SUM(OSRRefT22_8x_0)</f>
        <v>2550</v>
      </c>
      <c r="U64" s="1"/>
      <c r="V64" s="5">
        <f t="shared" ref="V64:V71" si="43">IF(T$12=0,0,T64/T$12)</f>
        <v>2.3784429127064816E-2</v>
      </c>
      <c r="W64" s="1"/>
      <c r="X64" s="1">
        <f t="shared" ref="X64:X71" si="44">+P64-T64</f>
        <v>3155.2</v>
      </c>
      <c r="Y64" s="1"/>
      <c r="Z64" s="5">
        <f t="shared" ref="Z64:Z71" si="45">IF(T64=0,0,X64/T64)</f>
        <v>1.2373333333333332</v>
      </c>
    </row>
    <row r="65" spans="1:26" s="24" customFormat="1" hidden="1" outlineLevel="2" x14ac:dyDescent="0.25">
      <c r="A65" s="28"/>
      <c r="B65" s="11" t="str">
        <f>CONCATENATE("          ", "6259", " - ", "ROYALTY &amp; COMMISSIONS")</f>
        <v xml:space="preserve">          6259 - ROYALTY &amp; COMMISSIONS</v>
      </c>
      <c r="C65" s="11"/>
      <c r="D65" s="7">
        <v>320.39999999999998</v>
      </c>
      <c r="E65" s="2"/>
      <c r="F65" s="6">
        <f t="shared" si="38"/>
        <v>3.0520360719419392E-2</v>
      </c>
      <c r="G65" s="2"/>
      <c r="H65" s="7">
        <v>900</v>
      </c>
      <c r="I65" s="2"/>
      <c r="J65" s="6">
        <f t="shared" si="39"/>
        <v>6.1224489795918366E-2</v>
      </c>
      <c r="K65" s="2"/>
      <c r="L65" s="7">
        <f t="shared" si="40"/>
        <v>-579.6</v>
      </c>
      <c r="M65" s="2"/>
      <c r="N65" s="6">
        <f t="shared" si="41"/>
        <v>-0.64400000000000002</v>
      </c>
      <c r="O65" s="11"/>
      <c r="P65" s="7">
        <v>5705.2</v>
      </c>
      <c r="Q65" s="2"/>
      <c r="R65" s="6">
        <f t="shared" si="42"/>
        <v>7.9266400935546932E-2</v>
      </c>
      <c r="S65" s="2"/>
      <c r="T65" s="7">
        <v>2550</v>
      </c>
      <c r="U65" s="2"/>
      <c r="V65" s="6">
        <f t="shared" si="43"/>
        <v>2.3784429127064816E-2</v>
      </c>
      <c r="W65" s="2"/>
      <c r="X65" s="7">
        <f t="shared" si="44"/>
        <v>3155.2</v>
      </c>
      <c r="Y65" s="2"/>
      <c r="Z65" s="6">
        <f t="shared" si="45"/>
        <v>1.2373333333333332</v>
      </c>
    </row>
    <row r="66" spans="1:26" s="27" customFormat="1" outlineLevel="1" collapsed="1" x14ac:dyDescent="0.25">
      <c r="A66" s="29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SUM(OSRRefD22_9x_0)</f>
        <v>1902.8600000000001</v>
      </c>
      <c r="E66" s="1"/>
      <c r="F66" s="5">
        <f t="shared" si="38"/>
        <v>0.18126084144367788</v>
      </c>
      <c r="G66" s="1"/>
      <c r="H66" s="1">
        <f>SUM(OSRRefH22_9x_0)</f>
        <v>1700</v>
      </c>
      <c r="I66" s="1"/>
      <c r="J66" s="5">
        <f t="shared" si="39"/>
        <v>0.11564625850340136</v>
      </c>
      <c r="K66" s="1"/>
      <c r="L66" s="1">
        <f t="shared" si="40"/>
        <v>202.86000000000013</v>
      </c>
      <c r="M66" s="1"/>
      <c r="N66" s="5">
        <f t="shared" si="41"/>
        <v>0.11932941176470596</v>
      </c>
      <c r="O66" s="14"/>
      <c r="P66" s="1">
        <f>SUM(OSRRefP22_9x_0)</f>
        <v>21511.55</v>
      </c>
      <c r="Q66" s="1"/>
      <c r="R66" s="5">
        <f t="shared" si="42"/>
        <v>0.29887526240010248</v>
      </c>
      <c r="S66" s="1"/>
      <c r="T66" s="1">
        <f>SUM(OSRRefT22_9x_0)</f>
        <v>5350</v>
      </c>
      <c r="U66" s="1"/>
      <c r="V66" s="5">
        <f t="shared" si="43"/>
        <v>4.9900665031292847E-2</v>
      </c>
      <c r="W66" s="1"/>
      <c r="X66" s="1">
        <f t="shared" si="44"/>
        <v>16161.55</v>
      </c>
      <c r="Y66" s="1"/>
      <c r="Z66" s="5">
        <f t="shared" si="45"/>
        <v>3.0208504672897196</v>
      </c>
    </row>
    <row r="67" spans="1:26" s="24" customFormat="1" hidden="1" outlineLevel="2" x14ac:dyDescent="0.25">
      <c r="A67" s="28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38"/>
        <v>0</v>
      </c>
      <c r="G67" s="2"/>
      <c r="H67" s="7"/>
      <c r="I67" s="2"/>
      <c r="J67" s="6">
        <f t="shared" si="39"/>
        <v>0</v>
      </c>
      <c r="K67" s="2"/>
      <c r="L67" s="7">
        <f t="shared" si="40"/>
        <v>0</v>
      </c>
      <c r="M67" s="2"/>
      <c r="N67" s="6">
        <f t="shared" si="41"/>
        <v>0</v>
      </c>
      <c r="O67" s="11"/>
      <c r="P67" s="7">
        <v>310.91000000000003</v>
      </c>
      <c r="Q67" s="2"/>
      <c r="R67" s="6">
        <f t="shared" si="42"/>
        <v>4.3196937381460602E-3</v>
      </c>
      <c r="S67" s="2"/>
      <c r="T67" s="7"/>
      <c r="U67" s="2"/>
      <c r="V67" s="6">
        <f t="shared" si="43"/>
        <v>0</v>
      </c>
      <c r="W67" s="2"/>
      <c r="X67" s="7">
        <f t="shared" si="44"/>
        <v>310.91000000000003</v>
      </c>
      <c r="Y67" s="2"/>
      <c r="Z67" s="6">
        <f t="shared" si="45"/>
        <v>0</v>
      </c>
    </row>
    <row r="68" spans="1:26" s="24" customFormat="1" hidden="1" outlineLevel="2" x14ac:dyDescent="0.25">
      <c r="A68" s="28"/>
      <c r="B68" s="11" t="str">
        <f>CONCATENATE("          ", "6241", " - ", "OFFICE EXPENSE")</f>
        <v xml:space="preserve">          6241 - OFFICE EXPENSE</v>
      </c>
      <c r="C68" s="11"/>
      <c r="D68" s="7">
        <v>6.6</v>
      </c>
      <c r="E68" s="2"/>
      <c r="F68" s="6">
        <f t="shared" si="38"/>
        <v>6.286965691266167E-4</v>
      </c>
      <c r="G68" s="2"/>
      <c r="H68" s="7"/>
      <c r="I68" s="2"/>
      <c r="J68" s="6">
        <f t="shared" si="39"/>
        <v>0</v>
      </c>
      <c r="K68" s="2"/>
      <c r="L68" s="7">
        <f t="shared" si="40"/>
        <v>6.6</v>
      </c>
      <c r="M68" s="2"/>
      <c r="N68" s="6">
        <f t="shared" si="41"/>
        <v>0</v>
      </c>
      <c r="O68" s="11"/>
      <c r="P68" s="7">
        <v>4596.8599999999997</v>
      </c>
      <c r="Q68" s="2"/>
      <c r="R68" s="6">
        <f t="shared" si="42"/>
        <v>6.3867445103515788E-2</v>
      </c>
      <c r="S68" s="2"/>
      <c r="T68" s="7"/>
      <c r="U68" s="2"/>
      <c r="V68" s="6">
        <f t="shared" si="43"/>
        <v>0</v>
      </c>
      <c r="W68" s="2"/>
      <c r="X68" s="7">
        <f t="shared" si="44"/>
        <v>4596.8599999999997</v>
      </c>
      <c r="Y68" s="2"/>
      <c r="Z68" s="6">
        <f t="shared" si="45"/>
        <v>0</v>
      </c>
    </row>
    <row r="69" spans="1:26" s="24" customFormat="1" hidden="1" outlineLevel="2" x14ac:dyDescent="0.25">
      <c r="A69" s="28"/>
      <c r="B69" s="11" t="str">
        <f>CONCATENATE("          ", "6243", " - ", "PAPER SUPPLIES")</f>
        <v xml:space="preserve">          6243 - PAPER SUPPLIES</v>
      </c>
      <c r="C69" s="11"/>
      <c r="D69" s="7">
        <v>449.01</v>
      </c>
      <c r="E69" s="2"/>
      <c r="F69" s="6">
        <f t="shared" si="38"/>
        <v>4.2771370682354877E-2</v>
      </c>
      <c r="G69" s="2"/>
      <c r="H69" s="7">
        <v>1400</v>
      </c>
      <c r="I69" s="2"/>
      <c r="J69" s="6">
        <f t="shared" si="39"/>
        <v>9.5238095238095233E-2</v>
      </c>
      <c r="K69" s="2"/>
      <c r="L69" s="7">
        <f t="shared" si="40"/>
        <v>-950.99</v>
      </c>
      <c r="M69" s="2"/>
      <c r="N69" s="6">
        <f t="shared" si="41"/>
        <v>-0.6792785714285714</v>
      </c>
      <c r="O69" s="11"/>
      <c r="P69" s="7">
        <v>3573.7</v>
      </c>
      <c r="Q69" s="2"/>
      <c r="R69" s="6">
        <f t="shared" si="42"/>
        <v>4.9651955588474392E-2</v>
      </c>
      <c r="S69" s="2"/>
      <c r="T69" s="7">
        <v>4100</v>
      </c>
      <c r="U69" s="2"/>
      <c r="V69" s="6">
        <f t="shared" si="43"/>
        <v>3.8241631145476761E-2</v>
      </c>
      <c r="W69" s="2"/>
      <c r="X69" s="7">
        <f t="shared" si="44"/>
        <v>-526.30000000000018</v>
      </c>
      <c r="Y69" s="2"/>
      <c r="Z69" s="6">
        <f t="shared" si="45"/>
        <v>-0.12836585365853662</v>
      </c>
    </row>
    <row r="70" spans="1:26" s="24" customFormat="1" hidden="1" outlineLevel="2" x14ac:dyDescent="0.25">
      <c r="A70" s="28"/>
      <c r="B70" s="11" t="str">
        <f>CONCATENATE("          ", "6245", " - ", "PRINTING")</f>
        <v xml:space="preserve">          6245 - PRINTING</v>
      </c>
      <c r="C70" s="11"/>
      <c r="D70" s="7">
        <v>353.09</v>
      </c>
      <c r="E70" s="2"/>
      <c r="F70" s="6">
        <f t="shared" si="38"/>
        <v>3.3634313877714712E-2</v>
      </c>
      <c r="G70" s="2"/>
      <c r="H70" s="7">
        <v>200</v>
      </c>
      <c r="I70" s="2"/>
      <c r="J70" s="6">
        <f t="shared" si="39"/>
        <v>1.3605442176870748E-2</v>
      </c>
      <c r="K70" s="2"/>
      <c r="L70" s="7">
        <f t="shared" si="40"/>
        <v>153.08999999999997</v>
      </c>
      <c r="M70" s="2"/>
      <c r="N70" s="6">
        <f t="shared" si="41"/>
        <v>0.76544999999999985</v>
      </c>
      <c r="O70" s="11"/>
      <c r="P70" s="7">
        <v>345.89</v>
      </c>
      <c r="Q70" s="2"/>
      <c r="R70" s="6">
        <f t="shared" si="42"/>
        <v>4.8056957546792978E-3</v>
      </c>
      <c r="S70" s="2"/>
      <c r="T70" s="7">
        <v>900</v>
      </c>
      <c r="U70" s="2"/>
      <c r="V70" s="6">
        <f t="shared" si="43"/>
        <v>8.3945043977875812E-3</v>
      </c>
      <c r="W70" s="2"/>
      <c r="X70" s="7">
        <f t="shared" si="44"/>
        <v>-554.11</v>
      </c>
      <c r="Y70" s="2"/>
      <c r="Z70" s="6">
        <f t="shared" si="45"/>
        <v>-0.61567777777777777</v>
      </c>
    </row>
    <row r="71" spans="1:26" s="24" customFormat="1" hidden="1" outlineLevel="2" x14ac:dyDescent="0.25">
      <c r="A71" s="28"/>
      <c r="B71" s="11" t="str">
        <f>CONCATENATE("          ", "6247", " - ", "STORE SUPPLIES")</f>
        <v xml:space="preserve">          6247 - STORE SUPPLIES</v>
      </c>
      <c r="C71" s="11"/>
      <c r="D71" s="7">
        <v>1094.1600000000001</v>
      </c>
      <c r="E71" s="2"/>
      <c r="F71" s="6">
        <f t="shared" si="38"/>
        <v>0.10422646031448167</v>
      </c>
      <c r="G71" s="2"/>
      <c r="H71" s="7">
        <v>100</v>
      </c>
      <c r="I71" s="2"/>
      <c r="J71" s="6">
        <f t="shared" si="39"/>
        <v>6.8027210884353739E-3</v>
      </c>
      <c r="K71" s="2"/>
      <c r="L71" s="7">
        <f t="shared" si="40"/>
        <v>994.16000000000008</v>
      </c>
      <c r="M71" s="2"/>
      <c r="N71" s="6">
        <f t="shared" si="41"/>
        <v>9.9416000000000011</v>
      </c>
      <c r="O71" s="11"/>
      <c r="P71" s="7">
        <v>12684.19</v>
      </c>
      <c r="Q71" s="2"/>
      <c r="R71" s="6">
        <f t="shared" si="42"/>
        <v>0.17623047221528695</v>
      </c>
      <c r="S71" s="2"/>
      <c r="T71" s="7">
        <v>350</v>
      </c>
      <c r="U71" s="2"/>
      <c r="V71" s="6">
        <f t="shared" si="43"/>
        <v>3.2645294880285038E-3</v>
      </c>
      <c r="W71" s="2"/>
      <c r="X71" s="7">
        <f t="shared" si="44"/>
        <v>12334.19</v>
      </c>
      <c r="Y71" s="2"/>
      <c r="Z71" s="6">
        <f t="shared" si="45"/>
        <v>35.240542857142856</v>
      </c>
    </row>
    <row r="72" spans="1:26" s="27" customFormat="1" outlineLevel="1" collapsed="1" x14ac:dyDescent="0.25">
      <c r="A72" s="29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SUM(OSRRefD22_10x_0)</f>
        <v>193.4</v>
      </c>
      <c r="E72" s="1"/>
      <c r="F72" s="5">
        <f t="shared" ref="F72:F75" si="46">IF(D$12=0,0,D72/D$12)</f>
        <v>1.8422714616528436E-2</v>
      </c>
      <c r="G72" s="1"/>
      <c r="H72" s="1">
        <f>SUM(OSRRefH22_10x_0)</f>
        <v>165</v>
      </c>
      <c r="I72" s="1"/>
      <c r="J72" s="5">
        <f t="shared" ref="J72:J75" si="47">IF(H$12=0,0,H72/H$12)</f>
        <v>1.1224489795918367E-2</v>
      </c>
      <c r="K72" s="1"/>
      <c r="L72" s="1">
        <f t="shared" ref="L72:L75" si="48">+D72-H72</f>
        <v>28.400000000000006</v>
      </c>
      <c r="M72" s="1"/>
      <c r="N72" s="5">
        <f t="shared" ref="N72:N75" si="49">IF(H72=0,0,L72/H72)</f>
        <v>0.17212121212121215</v>
      </c>
      <c r="O72" s="14"/>
      <c r="P72" s="1">
        <f>SUM(OSRRefP22_10x_0)</f>
        <v>859.15</v>
      </c>
      <c r="Q72" s="1"/>
      <c r="R72" s="5">
        <f t="shared" ref="R72:R75" si="50">IF(P$12=0,0,P72/P$12)</f>
        <v>1.1936781946956312E-2</v>
      </c>
      <c r="S72" s="1"/>
      <c r="T72" s="1">
        <f>SUM(OSRRefT22_10x_0)</f>
        <v>660</v>
      </c>
      <c r="U72" s="1"/>
      <c r="V72" s="5">
        <f t="shared" ref="V72:V75" si="51">IF(T$12=0,0,T72/T$12)</f>
        <v>6.1559698917108933E-3</v>
      </c>
      <c r="W72" s="1"/>
      <c r="X72" s="1">
        <f t="shared" ref="X72:X75" si="52">+P72-T72</f>
        <v>199.14999999999998</v>
      </c>
      <c r="Y72" s="1"/>
      <c r="Z72" s="5">
        <f t="shared" ref="Z72:Z75" si="53">IF(T72=0,0,X72/T72)</f>
        <v>0.3017424242424242</v>
      </c>
    </row>
    <row r="73" spans="1:26" s="24" customFormat="1" hidden="1" outlineLevel="2" x14ac:dyDescent="0.25">
      <c r="A73" s="28"/>
      <c r="B73" s="11" t="str">
        <f>CONCATENATE("          ", "6309", " - ", "TELEPHONE")</f>
        <v xml:space="preserve">          6309 - TELEPHONE</v>
      </c>
      <c r="C73" s="11"/>
      <c r="D73" s="7">
        <v>193.4</v>
      </c>
      <c r="E73" s="2"/>
      <c r="F73" s="6">
        <f t="shared" si="46"/>
        <v>1.8422714616528436E-2</v>
      </c>
      <c r="G73" s="2"/>
      <c r="H73" s="7">
        <v>165</v>
      </c>
      <c r="I73" s="2"/>
      <c r="J73" s="6">
        <f t="shared" si="47"/>
        <v>1.1224489795918367E-2</v>
      </c>
      <c r="K73" s="2"/>
      <c r="L73" s="7">
        <f t="shared" si="48"/>
        <v>28.400000000000006</v>
      </c>
      <c r="M73" s="2"/>
      <c r="N73" s="6">
        <f t="shared" si="49"/>
        <v>0.17212121212121215</v>
      </c>
      <c r="O73" s="11"/>
      <c r="P73" s="7">
        <v>859.15</v>
      </c>
      <c r="Q73" s="2"/>
      <c r="R73" s="6">
        <f t="shared" si="50"/>
        <v>1.1936781946956312E-2</v>
      </c>
      <c r="S73" s="2"/>
      <c r="T73" s="7">
        <v>660</v>
      </c>
      <c r="U73" s="2"/>
      <c r="V73" s="6">
        <f t="shared" si="51"/>
        <v>6.1559698917108933E-3</v>
      </c>
      <c r="W73" s="2"/>
      <c r="X73" s="7">
        <f t="shared" si="52"/>
        <v>199.14999999999998</v>
      </c>
      <c r="Y73" s="2"/>
      <c r="Z73" s="6">
        <f t="shared" si="53"/>
        <v>0.3017424242424242</v>
      </c>
    </row>
    <row r="74" spans="1:26" s="27" customFormat="1" outlineLevel="1" collapsed="1" x14ac:dyDescent="0.25">
      <c r="A74" s="29"/>
      <c r="B74" s="14" t="str">
        <f>CONCATENATE("     ","Utilities                                         ")</f>
        <v xml:space="preserve">     Utilities                                         </v>
      </c>
      <c r="C74" s="14"/>
      <c r="D74" s="1">
        <f>SUM(OSRRefD22_11x_0)</f>
        <v>0</v>
      </c>
      <c r="E74" s="1"/>
      <c r="F74" s="5">
        <f t="shared" si="46"/>
        <v>0</v>
      </c>
      <c r="G74" s="1"/>
      <c r="H74" s="1">
        <f>SUM(OSRRefH22_11x_0)</f>
        <v>0</v>
      </c>
      <c r="I74" s="1"/>
      <c r="J74" s="5">
        <f t="shared" si="47"/>
        <v>0</v>
      </c>
      <c r="K74" s="1"/>
      <c r="L74" s="1">
        <f t="shared" si="48"/>
        <v>0</v>
      </c>
      <c r="M74" s="1"/>
      <c r="N74" s="5">
        <f t="shared" si="49"/>
        <v>0</v>
      </c>
      <c r="O74" s="14"/>
      <c r="P74" s="1">
        <f>SUM(OSRRefP22_11x_0)</f>
        <v>15.02</v>
      </c>
      <c r="Q74" s="1"/>
      <c r="R74" s="5">
        <f t="shared" si="50"/>
        <v>2.0868354169037282E-4</v>
      </c>
      <c r="S74" s="1"/>
      <c r="T74" s="1">
        <f>SUM(OSRRefT22_11x_0)</f>
        <v>0</v>
      </c>
      <c r="U74" s="1"/>
      <c r="V74" s="5">
        <f t="shared" si="51"/>
        <v>0</v>
      </c>
      <c r="W74" s="1"/>
      <c r="X74" s="1">
        <f t="shared" si="52"/>
        <v>15.02</v>
      </c>
      <c r="Y74" s="1"/>
      <c r="Z74" s="5">
        <f t="shared" si="53"/>
        <v>0</v>
      </c>
    </row>
    <row r="75" spans="1:26" s="24" customFormat="1" hidden="1" outlineLevel="2" x14ac:dyDescent="0.25">
      <c r="A75" s="28"/>
      <c r="B75" s="11" t="str">
        <f>CONCATENATE("          ", "6274", " - ", "UTILITIES")</f>
        <v xml:space="preserve">          6274 - UTILITIES</v>
      </c>
      <c r="C75" s="11"/>
      <c r="D75" s="7"/>
      <c r="E75" s="2"/>
      <c r="F75" s="6">
        <f t="shared" si="46"/>
        <v>0</v>
      </c>
      <c r="G75" s="2"/>
      <c r="H75" s="7"/>
      <c r="I75" s="2"/>
      <c r="J75" s="6">
        <f t="shared" si="47"/>
        <v>0</v>
      </c>
      <c r="K75" s="2"/>
      <c r="L75" s="7">
        <f t="shared" si="48"/>
        <v>0</v>
      </c>
      <c r="M75" s="2"/>
      <c r="N75" s="6">
        <f t="shared" si="49"/>
        <v>0</v>
      </c>
      <c r="O75" s="11"/>
      <c r="P75" s="7">
        <v>15.02</v>
      </c>
      <c r="Q75" s="2"/>
      <c r="R75" s="6">
        <f t="shared" si="50"/>
        <v>2.0868354169037282E-4</v>
      </c>
      <c r="S75" s="2"/>
      <c r="T75" s="7"/>
      <c r="U75" s="2"/>
      <c r="V75" s="6">
        <f t="shared" si="51"/>
        <v>0</v>
      </c>
      <c r="W75" s="2"/>
      <c r="X75" s="7">
        <f t="shared" si="52"/>
        <v>15.02</v>
      </c>
      <c r="Y75" s="2"/>
      <c r="Z75" s="6">
        <f t="shared" si="53"/>
        <v>0</v>
      </c>
    </row>
    <row r="76" spans="1:26" s="63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5" t="s">
        <v>0</v>
      </c>
      <c r="C77" s="10"/>
      <c r="D77" s="4">
        <f>SUM(OSRRefD25x_0)</f>
        <v>6782</v>
      </c>
      <c r="E77" s="4"/>
      <c r="F77" s="12">
        <f t="shared" ref="F77:F78" si="54">IF(D$12=0,0,D77/D$12)</f>
        <v>0.64603335330556289</v>
      </c>
      <c r="G77" s="4"/>
      <c r="H77" s="4">
        <f>SUM(OSRRefH25x_0)</f>
        <v>6875</v>
      </c>
      <c r="I77" s="4"/>
      <c r="J77" s="12">
        <f t="shared" ref="J77:J78" si="55">IF(H$12=0,0,H77/H$12)</f>
        <v>0.46768707482993199</v>
      </c>
      <c r="K77" s="4"/>
      <c r="L77" s="4">
        <f t="shared" ref="L77:L78" si="56">+D77-H77</f>
        <v>-93</v>
      </c>
      <c r="M77" s="4"/>
      <c r="N77" s="12">
        <f t="shared" ref="N77:N78" si="57">IF(H77=0,0,L77/H77)</f>
        <v>-1.3527272727272728E-2</v>
      </c>
      <c r="O77" s="10"/>
      <c r="P77" s="4">
        <f>SUM(OSRRefP25x_0)</f>
        <v>27128</v>
      </c>
      <c r="Q77" s="4"/>
      <c r="R77" s="12">
        <f t="shared" ref="R77:R78" si="58">IF(P$12=0,0,P77/P$12)</f>
        <v>0.37690859646980251</v>
      </c>
      <c r="S77" s="4"/>
      <c r="T77" s="4">
        <f>SUM(OSRRefT25x_0)</f>
        <v>27500</v>
      </c>
      <c r="U77" s="4"/>
      <c r="V77" s="12">
        <f t="shared" ref="V77:V78" si="59">IF(T$12=0,0,T77/T$12)</f>
        <v>0.25649874548795387</v>
      </c>
      <c r="W77" s="4"/>
      <c r="X77" s="4">
        <f t="shared" ref="X77:X78" si="60">+P77-T77</f>
        <v>-372</v>
      </c>
      <c r="Y77" s="4"/>
      <c r="Z77" s="12">
        <f t="shared" ref="Z77:Z78" si="61">IF(T77=0,0,X77/T77)</f>
        <v>-1.3527272727272728E-2</v>
      </c>
    </row>
    <row r="78" spans="1:26" s="24" customFormat="1" hidden="1" outlineLevel="1" x14ac:dyDescent="0.25">
      <c r="A78" s="51"/>
      <c r="B78" s="11" t="str">
        <f>CONCATENATE("          ", "9150", " - ", "MISC. INCOME")</f>
        <v xml:space="preserve">          9150 - MISC. INCOME</v>
      </c>
      <c r="C78" s="11"/>
      <c r="D78" s="2">
        <f>--6782</f>
        <v>6782</v>
      </c>
      <c r="E78" s="2"/>
      <c r="F78" s="22">
        <f t="shared" si="54"/>
        <v>0.64603335330556289</v>
      </c>
      <c r="G78" s="2"/>
      <c r="H78" s="2">
        <v>6875</v>
      </c>
      <c r="I78" s="2"/>
      <c r="J78" s="22">
        <f t="shared" si="55"/>
        <v>0.46768707482993199</v>
      </c>
      <c r="K78" s="2"/>
      <c r="L78" s="2">
        <f t="shared" si="56"/>
        <v>-93</v>
      </c>
      <c r="M78" s="2"/>
      <c r="N78" s="22">
        <f t="shared" si="57"/>
        <v>-1.3527272727272728E-2</v>
      </c>
      <c r="O78" s="11"/>
      <c r="P78" s="2">
        <f>--27128</f>
        <v>27128</v>
      </c>
      <c r="Q78" s="2"/>
      <c r="R78" s="22">
        <f t="shared" si="58"/>
        <v>0.37690859646980251</v>
      </c>
      <c r="S78" s="2"/>
      <c r="T78" s="2">
        <v>27500</v>
      </c>
      <c r="U78" s="2"/>
      <c r="V78" s="22">
        <f t="shared" si="59"/>
        <v>0.25649874548795387</v>
      </c>
      <c r="W78" s="2"/>
      <c r="X78" s="2">
        <f t="shared" si="60"/>
        <v>-372</v>
      </c>
      <c r="Y78" s="2"/>
      <c r="Z78" s="22">
        <f t="shared" si="61"/>
        <v>-1.3527272727272728E-2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6" t="s">
        <v>3</v>
      </c>
      <c r="C80" s="26"/>
      <c r="D80" s="20">
        <f>+D26-D28+D77</f>
        <v>-66669.39999999998</v>
      </c>
      <c r="E80" s="13"/>
      <c r="F80" s="19">
        <f>IF(D$12=0,0,D80/D$12)</f>
        <v>-6.3507307645045534</v>
      </c>
      <c r="G80" s="13"/>
      <c r="H80" s="20">
        <f>+H26-H28+H77</f>
        <v>-17248.243496240408</v>
      </c>
      <c r="I80" s="13"/>
      <c r="J80" s="19">
        <f>IF(H$12=0,0,H80/H$12)</f>
        <v>-1.1733498977034291</v>
      </c>
      <c r="K80" s="15"/>
      <c r="L80" s="20">
        <f>+D80-H80</f>
        <v>-49421.156503759572</v>
      </c>
      <c r="M80" s="15"/>
      <c r="N80" s="19">
        <f>IF(H80=0,0,L80/H80)</f>
        <v>2.8652863414487326</v>
      </c>
      <c r="O80" s="25"/>
      <c r="P80" s="20">
        <f>+P26-P28+P77</f>
        <v>-21902.680000000008</v>
      </c>
      <c r="Q80" s="13"/>
      <c r="R80" s="19">
        <f>IF(P$12=0,0,P80/P$12)</f>
        <v>-0.30430950964786263</v>
      </c>
      <c r="S80" s="13"/>
      <c r="T80" s="20">
        <f>+T26-T28+T77</f>
        <v>-1751.2791064654884</v>
      </c>
      <c r="U80" s="13"/>
      <c r="V80" s="19">
        <f>IF(T$12=0,0,T80/T$12)</f>
        <v>-1.6334577956642275E-2</v>
      </c>
      <c r="W80" s="15"/>
      <c r="X80" s="20">
        <f>+P80-T80</f>
        <v>-20151.400893534519</v>
      </c>
      <c r="Y80" s="15"/>
      <c r="Z80" s="19">
        <f>IF(T80=0,0,X80/T80)</f>
        <v>11.506675788649702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4202.3999999999996</v>
      </c>
      <c r="E82" s="4"/>
      <c r="F82" s="12">
        <f>IF(D$12=0,0,D82/D$12)</f>
        <v>0.40030825183298396</v>
      </c>
      <c r="G82" s="4"/>
      <c r="H82" s="4">
        <v>4178</v>
      </c>
      <c r="I82" s="4"/>
      <c r="J82" s="12">
        <f>IF(H$12=0,0,H82/H$12)</f>
        <v>0.28421768707482992</v>
      </c>
      <c r="K82" s="4"/>
      <c r="L82" s="4">
        <f>+D82-H82</f>
        <v>24.399999999999636</v>
      </c>
      <c r="M82" s="4"/>
      <c r="N82" s="12">
        <f>IF(H82=0,0,L82/H82)</f>
        <v>5.8401148875058964E-3</v>
      </c>
      <c r="O82" s="10"/>
      <c r="P82" s="4">
        <v>15591.34</v>
      </c>
      <c r="Q82" s="4"/>
      <c r="R82" s="12">
        <f>IF(P$12=0,0,P82/P$12)</f>
        <v>0.2166215746270824</v>
      </c>
      <c r="S82" s="4"/>
      <c r="T82" s="4">
        <v>17552</v>
      </c>
      <c r="U82" s="4"/>
      <c r="V82" s="12">
        <f>IF(T$12=0,0,T82/T$12)</f>
        <v>0.16371149021107514</v>
      </c>
      <c r="W82" s="4"/>
      <c r="X82" s="4">
        <f>+P82-T82</f>
        <v>-1960.6599999999999</v>
      </c>
      <c r="Y82" s="4"/>
      <c r="Z82" s="12">
        <f>IF(T82=0,0,X82/T82)</f>
        <v>-0.11170578851412943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4</v>
      </c>
      <c r="C84" s="26"/>
      <c r="D84" s="34">
        <f>+D80-D82</f>
        <v>-70871.799999999974</v>
      </c>
      <c r="E84" s="13"/>
      <c r="F84" s="35">
        <f>IF(D$12=0,0,D84/D$12)</f>
        <v>-6.7510390163375362</v>
      </c>
      <c r="G84" s="13"/>
      <c r="H84" s="34">
        <f>+H80-H82</f>
        <v>-21426.243496240408</v>
      </c>
      <c r="I84" s="13"/>
      <c r="J84" s="35">
        <f>IF(H$12=0,0,H84/H$12)</f>
        <v>-1.457567584778259</v>
      </c>
      <c r="K84" s="15"/>
      <c r="L84" s="34">
        <f>D84-H84</f>
        <v>-49445.556503759566</v>
      </c>
      <c r="M84" s="15"/>
      <c r="N84" s="35">
        <f>IF(H84=0,0,L84/H84)</f>
        <v>2.3077100058363293</v>
      </c>
      <c r="O84" s="25"/>
      <c r="P84" s="34">
        <f>+P80-P82</f>
        <v>-37494.020000000004</v>
      </c>
      <c r="Q84" s="13"/>
      <c r="R84" s="35">
        <f>IF(P$12=0,0,P84/P$12)</f>
        <v>-0.52093108427494494</v>
      </c>
      <c r="S84" s="13"/>
      <c r="T84" s="34">
        <f>+T80-T82</f>
        <v>-19303.279106465488</v>
      </c>
      <c r="U84" s="13"/>
      <c r="V84" s="35">
        <f>IF(T$12=0,0,T84/T$12)</f>
        <v>-0.18004606816771743</v>
      </c>
      <c r="W84" s="15"/>
      <c r="X84" s="34">
        <f>P84-T84</f>
        <v>-18190.740893534516</v>
      </c>
      <c r="Y84" s="15"/>
      <c r="Z84" s="35">
        <f>IF(T84=0,0,X84/T84)</f>
        <v>0.94236532524889327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5</v>
      </c>
      <c r="C87" s="26"/>
      <c r="D87" s="30">
        <f>SUM(D84:D86)</f>
        <v>-70871.799999999974</v>
      </c>
      <c r="E87" s="13"/>
      <c r="F87" s="32">
        <f>IF(D$12=0,0,D87/D$12)</f>
        <v>-6.7510390163375362</v>
      </c>
      <c r="G87" s="13"/>
      <c r="H87" s="30">
        <f>SUM(H84:H86)</f>
        <v>-21426.243496240408</v>
      </c>
      <c r="I87" s="13"/>
      <c r="J87" s="32">
        <f>IF(H$12=0,0,H87/H$12)</f>
        <v>-1.457567584778259</v>
      </c>
      <c r="K87" s="15"/>
      <c r="L87" s="30">
        <f>+D87-H87</f>
        <v>-49445.556503759566</v>
      </c>
      <c r="M87" s="15"/>
      <c r="N87" s="32">
        <f>IF(H87=0,0,L87/H87)</f>
        <v>2.3077100058363293</v>
      </c>
      <c r="O87" s="25"/>
      <c r="P87" s="30">
        <f>SUM(P84:P86)</f>
        <v>-37494.020000000004</v>
      </c>
      <c r="Q87" s="13"/>
      <c r="R87" s="32">
        <f>IF(P$12=0,0,P87/P$12)</f>
        <v>-0.52093108427494494</v>
      </c>
      <c r="S87" s="13"/>
      <c r="T87" s="30">
        <f>SUM(T84:T86)</f>
        <v>-19303.279106465488</v>
      </c>
      <c r="U87" s="13"/>
      <c r="V87" s="32">
        <f>IF(T$12=0,0,T87/T$12)</f>
        <v>-0.18004606816771743</v>
      </c>
      <c r="W87" s="15"/>
      <c r="X87" s="30">
        <f>+P87-T87</f>
        <v>-18190.740893534516</v>
      </c>
      <c r="Y87" s="15"/>
      <c r="Z87" s="32">
        <f>IF(T87=0,0,X87/T87)</f>
        <v>0.94236532524889327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60">
        <v>44151.568363113423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58" t="s">
        <v>314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3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172836.80000000005</v>
      </c>
      <c r="E12" s="4"/>
      <c r="F12" s="12"/>
      <c r="G12" s="4"/>
      <c r="H12" s="4">
        <f>SUM(OSRRefH13x_0)</f>
        <v>131604</v>
      </c>
      <c r="I12" s="4"/>
      <c r="J12" s="12"/>
      <c r="K12" s="4"/>
      <c r="L12" s="4">
        <f t="shared" ref="L12:L30" si="0">+D12-H12</f>
        <v>41232.800000000047</v>
      </c>
      <c r="M12" s="4"/>
      <c r="N12" s="12">
        <f t="shared" ref="N12:N30" si="1">IF(H12=0,0,L12/H12)</f>
        <v>0.31330962584723904</v>
      </c>
      <c r="O12" s="10"/>
      <c r="P12" s="4">
        <f>SUM(OSRRefP13x_0)</f>
        <v>1136121.5299999998</v>
      </c>
      <c r="Q12" s="4"/>
      <c r="R12" s="12"/>
      <c r="S12" s="4"/>
      <c r="T12" s="4">
        <f>SUM(OSRRefT13x_0)</f>
        <v>1204565</v>
      </c>
      <c r="U12" s="4"/>
      <c r="V12" s="12"/>
      <c r="W12" s="4"/>
      <c r="X12" s="4">
        <f t="shared" ref="X12:X30" si="2">+P12-T12</f>
        <v>-68443.470000000205</v>
      </c>
      <c r="Y12" s="4"/>
      <c r="Z12" s="12">
        <f t="shared" ref="Z12:Z30" si="3">IF(T12=0,0,X12/T12)</f>
        <v>-5.6820071976190746E-2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-178.39</f>
        <v>-178.39</v>
      </c>
      <c r="E13" s="2"/>
      <c r="F13" s="22"/>
      <c r="G13" s="2"/>
      <c r="H13" s="2">
        <v>119073.99999999999</v>
      </c>
      <c r="I13" s="2"/>
      <c r="J13" s="22"/>
      <c r="K13" s="2"/>
      <c r="L13" s="2">
        <f t="shared" si="0"/>
        <v>-119252.38999999998</v>
      </c>
      <c r="M13" s="2"/>
      <c r="N13" s="22">
        <f t="shared" si="1"/>
        <v>-1.0014981440112871</v>
      </c>
      <c r="O13" s="11"/>
      <c r="P13" s="2">
        <f>-1902.09</f>
        <v>-1902.09</v>
      </c>
      <c r="Q13" s="2"/>
      <c r="R13" s="22"/>
      <c r="S13" s="2"/>
      <c r="T13" s="2">
        <v>1140255</v>
      </c>
      <c r="U13" s="2"/>
      <c r="V13" s="22"/>
      <c r="W13" s="2"/>
      <c r="X13" s="2">
        <f t="shared" si="2"/>
        <v>-1142157.0900000001</v>
      </c>
      <c r="Y13" s="2"/>
      <c r="Z13" s="22">
        <f t="shared" si="3"/>
        <v>-1.001668126866359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--5014.67</f>
        <v>5014.67</v>
      </c>
      <c r="E14" s="2"/>
      <c r="F14" s="22"/>
      <c r="G14" s="2"/>
      <c r="H14" s="2"/>
      <c r="I14" s="2"/>
      <c r="J14" s="22"/>
      <c r="K14" s="2"/>
      <c r="L14" s="2">
        <f t="shared" si="0"/>
        <v>5014.67</v>
      </c>
      <c r="M14" s="2"/>
      <c r="N14" s="22">
        <f t="shared" si="1"/>
        <v>0</v>
      </c>
      <c r="O14" s="11"/>
      <c r="P14" s="2">
        <f>--55045.34</f>
        <v>55045.34</v>
      </c>
      <c r="Q14" s="2"/>
      <c r="R14" s="22"/>
      <c r="S14" s="2"/>
      <c r="T14" s="2"/>
      <c r="U14" s="2"/>
      <c r="V14" s="22"/>
      <c r="W14" s="2"/>
      <c r="X14" s="2">
        <f t="shared" si="2"/>
        <v>55045.34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--152786.78</f>
        <v>152786.78</v>
      </c>
      <c r="E15" s="2"/>
      <c r="F15" s="22"/>
      <c r="G15" s="2"/>
      <c r="H15" s="2"/>
      <c r="I15" s="2"/>
      <c r="J15" s="22"/>
      <c r="K15" s="2"/>
      <c r="L15" s="2">
        <f t="shared" si="0"/>
        <v>152786.78</v>
      </c>
      <c r="M15" s="2"/>
      <c r="N15" s="22">
        <f t="shared" si="1"/>
        <v>0</v>
      </c>
      <c r="O15" s="11"/>
      <c r="P15" s="2">
        <f>--892099.99</f>
        <v>892099.99</v>
      </c>
      <c r="Q15" s="2"/>
      <c r="R15" s="22"/>
      <c r="S15" s="2"/>
      <c r="T15" s="2"/>
      <c r="U15" s="2"/>
      <c r="V15" s="22"/>
      <c r="W15" s="2"/>
      <c r="X15" s="2">
        <f t="shared" si="2"/>
        <v>892099.99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--3392.4</f>
        <v>3392.4</v>
      </c>
      <c r="E16" s="2"/>
      <c r="F16" s="22"/>
      <c r="G16" s="2"/>
      <c r="H16" s="2"/>
      <c r="I16" s="2"/>
      <c r="J16" s="22"/>
      <c r="K16" s="2"/>
      <c r="L16" s="2">
        <f t="shared" si="0"/>
        <v>3392.4</v>
      </c>
      <c r="M16" s="2"/>
      <c r="N16" s="22">
        <f t="shared" si="1"/>
        <v>0</v>
      </c>
      <c r="O16" s="11"/>
      <c r="P16" s="2">
        <f>--72045.1</f>
        <v>72045.100000000006</v>
      </c>
      <c r="Q16" s="2"/>
      <c r="R16" s="22"/>
      <c r="S16" s="2"/>
      <c r="T16" s="2"/>
      <c r="U16" s="2"/>
      <c r="V16" s="22"/>
      <c r="W16" s="2"/>
      <c r="X16" s="2">
        <f t="shared" si="2"/>
        <v>72045.100000000006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--139</f>
        <v>139</v>
      </c>
      <c r="E17" s="2"/>
      <c r="F17" s="22"/>
      <c r="G17" s="2"/>
      <c r="H17" s="2"/>
      <c r="I17" s="2"/>
      <c r="J17" s="22"/>
      <c r="K17" s="2"/>
      <c r="L17" s="2">
        <f t="shared" si="0"/>
        <v>139</v>
      </c>
      <c r="M17" s="2"/>
      <c r="N17" s="22">
        <f t="shared" si="1"/>
        <v>0</v>
      </c>
      <c r="O17" s="11"/>
      <c r="P17" s="2">
        <f>--1120.96</f>
        <v>1120.96</v>
      </c>
      <c r="Q17" s="2"/>
      <c r="R17" s="22"/>
      <c r="S17" s="2"/>
      <c r="T17" s="2"/>
      <c r="U17" s="2"/>
      <c r="V17" s="22"/>
      <c r="W17" s="2"/>
      <c r="X17" s="2">
        <f t="shared" si="2"/>
        <v>1120.96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--1385.25</f>
        <v>1385.25</v>
      </c>
      <c r="E18" s="2"/>
      <c r="F18" s="22"/>
      <c r="G18" s="2"/>
      <c r="H18" s="2"/>
      <c r="I18" s="2"/>
      <c r="J18" s="22"/>
      <c r="K18" s="2"/>
      <c r="L18" s="2">
        <f t="shared" si="0"/>
        <v>1385.25</v>
      </c>
      <c r="M18" s="2"/>
      <c r="N18" s="22">
        <f t="shared" si="1"/>
        <v>0</v>
      </c>
      <c r="O18" s="11"/>
      <c r="P18" s="2">
        <f>--29366.66</f>
        <v>29366.66</v>
      </c>
      <c r="Q18" s="2"/>
      <c r="R18" s="22"/>
      <c r="S18" s="2"/>
      <c r="T18" s="2"/>
      <c r="U18" s="2"/>
      <c r="V18" s="22"/>
      <c r="W18" s="2"/>
      <c r="X18" s="2">
        <f t="shared" si="2"/>
        <v>29366.66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12530</v>
      </c>
      <c r="I19" s="2"/>
      <c r="J19" s="22"/>
      <c r="K19" s="2"/>
      <c r="L19" s="2">
        <f t="shared" si="0"/>
        <v>-12530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64310</v>
      </c>
      <c r="U19" s="2"/>
      <c r="V19" s="22"/>
      <c r="W19" s="2"/>
      <c r="X19" s="2">
        <f t="shared" si="2"/>
        <v>-64310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--194.97</f>
        <v>194.97</v>
      </c>
      <c r="E20" s="2"/>
      <c r="F20" s="22"/>
      <c r="G20" s="2"/>
      <c r="H20" s="2"/>
      <c r="I20" s="2"/>
      <c r="J20" s="22"/>
      <c r="K20" s="2"/>
      <c r="L20" s="2">
        <f t="shared" si="0"/>
        <v>194.97</v>
      </c>
      <c r="M20" s="2"/>
      <c r="N20" s="22">
        <f t="shared" si="1"/>
        <v>0</v>
      </c>
      <c r="O20" s="11"/>
      <c r="P20" s="2">
        <f>--3504.13</f>
        <v>3504.13</v>
      </c>
      <c r="Q20" s="2"/>
      <c r="R20" s="22"/>
      <c r="S20" s="2"/>
      <c r="T20" s="2"/>
      <c r="U20" s="2"/>
      <c r="V20" s="22"/>
      <c r="W20" s="2"/>
      <c r="X20" s="2">
        <f t="shared" si="2"/>
        <v>3504.13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--24570</f>
        <v>24570</v>
      </c>
      <c r="E21" s="2"/>
      <c r="F21" s="22"/>
      <c r="G21" s="2"/>
      <c r="H21" s="2"/>
      <c r="I21" s="2"/>
      <c r="J21" s="22"/>
      <c r="K21" s="2"/>
      <c r="L21" s="2">
        <f t="shared" si="0"/>
        <v>24570</v>
      </c>
      <c r="M21" s="2"/>
      <c r="N21" s="22">
        <f t="shared" si="1"/>
        <v>0</v>
      </c>
      <c r="O21" s="11"/>
      <c r="P21" s="2">
        <f>--145294.38</f>
        <v>145294.38</v>
      </c>
      <c r="Q21" s="2"/>
      <c r="R21" s="22"/>
      <c r="S21" s="2"/>
      <c r="T21" s="2"/>
      <c r="U21" s="2"/>
      <c r="V21" s="22"/>
      <c r="W21" s="2"/>
      <c r="X21" s="2">
        <f t="shared" si="2"/>
        <v>145294.38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--1269.91</f>
        <v>1269.9100000000001</v>
      </c>
      <c r="E22" s="2"/>
      <c r="F22" s="22"/>
      <c r="G22" s="2"/>
      <c r="H22" s="2"/>
      <c r="I22" s="2"/>
      <c r="J22" s="22"/>
      <c r="K22" s="2"/>
      <c r="L22" s="2">
        <f t="shared" si="0"/>
        <v>1269.9100000000001</v>
      </c>
      <c r="M22" s="2"/>
      <c r="N22" s="22">
        <f t="shared" si="1"/>
        <v>0</v>
      </c>
      <c r="O22" s="11"/>
      <c r="P22" s="2">
        <f>--6336.39</f>
        <v>6336.39</v>
      </c>
      <c r="Q22" s="2"/>
      <c r="R22" s="22"/>
      <c r="S22" s="2"/>
      <c r="T22" s="2"/>
      <c r="U22" s="2"/>
      <c r="V22" s="22"/>
      <c r="W22" s="2"/>
      <c r="X22" s="2">
        <f t="shared" si="2"/>
        <v>6336.39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--4590.76</f>
        <v>4590.76</v>
      </c>
      <c r="E23" s="2"/>
      <c r="F23" s="22"/>
      <c r="G23" s="2"/>
      <c r="H23" s="2"/>
      <c r="I23" s="2"/>
      <c r="J23" s="22"/>
      <c r="K23" s="2"/>
      <c r="L23" s="2">
        <f t="shared" si="0"/>
        <v>4590.76</v>
      </c>
      <c r="M23" s="2"/>
      <c r="N23" s="22">
        <f t="shared" si="1"/>
        <v>0</v>
      </c>
      <c r="O23" s="11"/>
      <c r="P23" s="2">
        <f>--23816.85</f>
        <v>23816.85</v>
      </c>
      <c r="Q23" s="2"/>
      <c r="R23" s="22"/>
      <c r="S23" s="2"/>
      <c r="T23" s="2"/>
      <c r="U23" s="2"/>
      <c r="V23" s="22"/>
      <c r="W23" s="2"/>
      <c r="X23" s="2">
        <f t="shared" si="2"/>
        <v>23816.85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--855.98</f>
        <v>855.98</v>
      </c>
      <c r="E24" s="2"/>
      <c r="F24" s="22"/>
      <c r="G24" s="2"/>
      <c r="H24" s="2"/>
      <c r="I24" s="2"/>
      <c r="J24" s="22"/>
      <c r="K24" s="2"/>
      <c r="L24" s="2">
        <f t="shared" si="0"/>
        <v>855.98</v>
      </c>
      <c r="M24" s="2"/>
      <c r="N24" s="22">
        <f t="shared" si="1"/>
        <v>0</v>
      </c>
      <c r="O24" s="11"/>
      <c r="P24" s="2">
        <f>--1729.77</f>
        <v>1729.77</v>
      </c>
      <c r="Q24" s="2"/>
      <c r="R24" s="22"/>
      <c r="S24" s="2"/>
      <c r="T24" s="2"/>
      <c r="U24" s="2"/>
      <c r="V24" s="22"/>
      <c r="W24" s="2"/>
      <c r="X24" s="2">
        <f t="shared" si="2"/>
        <v>1729.77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-357.99</f>
        <v>-357.99</v>
      </c>
      <c r="E25" s="2"/>
      <c r="F25" s="22"/>
      <c r="G25" s="2"/>
      <c r="H25" s="2"/>
      <c r="I25" s="2"/>
      <c r="J25" s="22"/>
      <c r="K25" s="2"/>
      <c r="L25" s="2">
        <f t="shared" si="0"/>
        <v>-357.99</v>
      </c>
      <c r="M25" s="2"/>
      <c r="N25" s="22">
        <f t="shared" si="1"/>
        <v>0</v>
      </c>
      <c r="O25" s="11"/>
      <c r="P25" s="2">
        <f>-14632.15</f>
        <v>-14632.15</v>
      </c>
      <c r="Q25" s="2"/>
      <c r="R25" s="22"/>
      <c r="S25" s="2"/>
      <c r="T25" s="2"/>
      <c r="U25" s="2"/>
      <c r="V25" s="22"/>
      <c r="W25" s="2"/>
      <c r="X25" s="2">
        <f t="shared" si="2"/>
        <v>-14632.15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-20038</f>
        <v>-20038</v>
      </c>
      <c r="E26" s="2"/>
      <c r="F26" s="22"/>
      <c r="G26" s="2"/>
      <c r="H26" s="2"/>
      <c r="I26" s="2"/>
      <c r="J26" s="22"/>
      <c r="K26" s="2"/>
      <c r="L26" s="2">
        <f t="shared" si="0"/>
        <v>-20038</v>
      </c>
      <c r="M26" s="2"/>
      <c r="N26" s="22">
        <f t="shared" si="1"/>
        <v>0</v>
      </c>
      <c r="O26" s="11"/>
      <c r="P26" s="2">
        <f>-68323</f>
        <v>-68323</v>
      </c>
      <c r="Q26" s="2"/>
      <c r="R26" s="22"/>
      <c r="S26" s="2"/>
      <c r="T26" s="2"/>
      <c r="U26" s="2"/>
      <c r="V26" s="22"/>
      <c r="W26" s="2"/>
      <c r="X26" s="2">
        <f t="shared" si="2"/>
        <v>-68323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-629.58</f>
        <v>-629.58000000000004</v>
      </c>
      <c r="E27" s="2"/>
      <c r="F27" s="22"/>
      <c r="G27" s="2"/>
      <c r="H27" s="2"/>
      <c r="I27" s="2"/>
      <c r="J27" s="22"/>
      <c r="K27" s="2"/>
      <c r="L27" s="2">
        <f t="shared" si="0"/>
        <v>-629.58000000000004</v>
      </c>
      <c r="M27" s="2"/>
      <c r="N27" s="22">
        <f t="shared" si="1"/>
        <v>0</v>
      </c>
      <c r="O27" s="11"/>
      <c r="P27" s="2">
        <f>-2632.31</f>
        <v>-2632.31</v>
      </c>
      <c r="Q27" s="2"/>
      <c r="R27" s="22"/>
      <c r="S27" s="2"/>
      <c r="T27" s="2"/>
      <c r="U27" s="2"/>
      <c r="V27" s="22"/>
      <c r="W27" s="2"/>
      <c r="X27" s="2">
        <f t="shared" si="2"/>
        <v>-2632.31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0</f>
        <v>0</v>
      </c>
      <c r="E28" s="2"/>
      <c r="F28" s="22"/>
      <c r="G28" s="2"/>
      <c r="H28" s="2"/>
      <c r="I28" s="2"/>
      <c r="J28" s="22"/>
      <c r="K28" s="2"/>
      <c r="L28" s="2">
        <f t="shared" si="0"/>
        <v>0</v>
      </c>
      <c r="M28" s="2"/>
      <c r="N28" s="22">
        <f t="shared" si="1"/>
        <v>0</v>
      </c>
      <c r="O28" s="11"/>
      <c r="P28" s="2">
        <f>-552.98</f>
        <v>-552.98</v>
      </c>
      <c r="Q28" s="2"/>
      <c r="R28" s="22"/>
      <c r="S28" s="2"/>
      <c r="T28" s="2"/>
      <c r="U28" s="2"/>
      <c r="V28" s="22"/>
      <c r="W28" s="2"/>
      <c r="X28" s="2">
        <f t="shared" si="2"/>
        <v>-552.98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-158.96</f>
        <v>-158.96</v>
      </c>
      <c r="E29" s="2"/>
      <c r="F29" s="22"/>
      <c r="G29" s="2"/>
      <c r="H29" s="2"/>
      <c r="I29" s="2"/>
      <c r="J29" s="22"/>
      <c r="K29" s="2"/>
      <c r="L29" s="2">
        <f t="shared" si="0"/>
        <v>-158.96</v>
      </c>
      <c r="M29" s="2"/>
      <c r="N29" s="22">
        <f t="shared" si="1"/>
        <v>0</v>
      </c>
      <c r="O29" s="11"/>
      <c r="P29" s="2">
        <f>-571.36</f>
        <v>-571.36</v>
      </c>
      <c r="Q29" s="2"/>
      <c r="R29" s="22"/>
      <c r="S29" s="2"/>
      <c r="T29" s="2"/>
      <c r="U29" s="2"/>
      <c r="V29" s="22"/>
      <c r="W29" s="2"/>
      <c r="X29" s="2">
        <f t="shared" si="2"/>
        <v>-571.36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5" t="s">
        <v>8</v>
      </c>
      <c r="C32" s="10"/>
      <c r="D32" s="4">
        <f>SUM(OSRRefD16x_0)</f>
        <v>156723</v>
      </c>
      <c r="E32" s="4"/>
      <c r="F32" s="12">
        <f t="shared" ref="F32:F43" si="4">IF(D$12=0,0,D32/D$12)</f>
        <v>0.90676869740703347</v>
      </c>
      <c r="G32" s="4"/>
      <c r="H32" s="4">
        <f>SUM(OSRRefH16x_0)</f>
        <v>102776</v>
      </c>
      <c r="I32" s="4"/>
      <c r="J32" s="12">
        <f t="shared" ref="J32:J43" si="5">IF(H$12=0,0,H32/H$12)</f>
        <v>0.78094890732804478</v>
      </c>
      <c r="K32" s="4"/>
      <c r="L32" s="4">
        <f t="shared" ref="L32:L43" si="6">+D32-H32</f>
        <v>53947</v>
      </c>
      <c r="M32" s="4"/>
      <c r="N32" s="12">
        <f t="shared" ref="N32:N43" si="7">IF(H32=0,0,L32/H32)</f>
        <v>0.52489880906048103</v>
      </c>
      <c r="O32" s="10"/>
      <c r="P32" s="4">
        <f>SUM(OSRRefP16x_0)</f>
        <v>1081275</v>
      </c>
      <c r="Q32" s="4"/>
      <c r="R32" s="12">
        <f t="shared" ref="R32:R43" si="8">IF(P$12=0,0,P32/P$12)</f>
        <v>0.95172476838811437</v>
      </c>
      <c r="S32" s="4"/>
      <c r="T32" s="4">
        <f>SUM(OSRRefT16x_0)</f>
        <v>940720</v>
      </c>
      <c r="U32" s="4"/>
      <c r="V32" s="12">
        <f t="shared" ref="V32:V43" si="9">IF(T$12=0,0,T32/T$12)</f>
        <v>0.7809624221191882</v>
      </c>
      <c r="W32" s="4"/>
      <c r="X32" s="4">
        <f t="shared" ref="X32:X43" si="10">+P32-T32</f>
        <v>140555</v>
      </c>
      <c r="Y32" s="4"/>
      <c r="Z32" s="12">
        <f t="shared" ref="Z32:Z43" si="11">IF(T32=0,0,X32/T32)</f>
        <v>0.14941215239391104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102776</v>
      </c>
      <c r="I33" s="2"/>
      <c r="J33" s="22">
        <f t="shared" si="5"/>
        <v>0.78094890732804478</v>
      </c>
      <c r="K33" s="2"/>
      <c r="L33" s="2">
        <f t="shared" si="6"/>
        <v>-102776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940720</v>
      </c>
      <c r="U33" s="2"/>
      <c r="V33" s="22">
        <f t="shared" si="9"/>
        <v>0.7809624221191882</v>
      </c>
      <c r="W33" s="2"/>
      <c r="X33" s="2">
        <f t="shared" si="10"/>
        <v>-940720</v>
      </c>
      <c r="Y33" s="2"/>
      <c r="Z33" s="22">
        <f t="shared" si="11"/>
        <v>-1</v>
      </c>
    </row>
    <row r="34" spans="1:26" s="24" customFormat="1" hidden="1" outlineLevel="1" x14ac:dyDescent="0.2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6249.76</v>
      </c>
      <c r="E34" s="2"/>
      <c r="F34" s="22">
        <f t="shared" si="4"/>
        <v>3.6159891874878489E-2</v>
      </c>
      <c r="G34" s="2"/>
      <c r="H34" s="2"/>
      <c r="I34" s="2"/>
      <c r="J34" s="22">
        <f t="shared" si="5"/>
        <v>0</v>
      </c>
      <c r="K34" s="2"/>
      <c r="L34" s="2">
        <f t="shared" si="6"/>
        <v>6249.76</v>
      </c>
      <c r="M34" s="2"/>
      <c r="N34" s="22">
        <f t="shared" si="7"/>
        <v>0</v>
      </c>
      <c r="O34" s="11"/>
      <c r="P34" s="2">
        <v>21947.21</v>
      </c>
      <c r="Q34" s="2"/>
      <c r="R34" s="22">
        <f t="shared" si="8"/>
        <v>1.931766049711249E-2</v>
      </c>
      <c r="S34" s="2"/>
      <c r="T34" s="2"/>
      <c r="U34" s="2"/>
      <c r="V34" s="22">
        <f t="shared" si="9"/>
        <v>0</v>
      </c>
      <c r="W34" s="2"/>
      <c r="X34" s="2">
        <f t="shared" si="10"/>
        <v>21947.21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175404.87</v>
      </c>
      <c r="E35" s="2"/>
      <c r="F35" s="22">
        <f t="shared" si="4"/>
        <v>1.0148583519250527</v>
      </c>
      <c r="G35" s="2"/>
      <c r="H35" s="2"/>
      <c r="I35" s="2"/>
      <c r="J35" s="22">
        <f t="shared" si="5"/>
        <v>0</v>
      </c>
      <c r="K35" s="2"/>
      <c r="L35" s="2">
        <f t="shared" si="6"/>
        <v>175404.87</v>
      </c>
      <c r="M35" s="2"/>
      <c r="N35" s="22">
        <f t="shared" si="7"/>
        <v>0</v>
      </c>
      <c r="O35" s="11"/>
      <c r="P35" s="2">
        <v>888778.08000000007</v>
      </c>
      <c r="Q35" s="2"/>
      <c r="R35" s="22">
        <f t="shared" si="8"/>
        <v>0.78229138039484225</v>
      </c>
      <c r="S35" s="2"/>
      <c r="T35" s="2"/>
      <c r="U35" s="2"/>
      <c r="V35" s="22">
        <f t="shared" si="9"/>
        <v>0</v>
      </c>
      <c r="W35" s="2"/>
      <c r="X35" s="2">
        <f t="shared" si="10"/>
        <v>888778.08000000007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11838.95</v>
      </c>
      <c r="E36" s="2"/>
      <c r="F36" s="22">
        <f t="shared" si="4"/>
        <v>6.8497854623552373E-2</v>
      </c>
      <c r="G36" s="2"/>
      <c r="H36" s="2"/>
      <c r="I36" s="2"/>
      <c r="J36" s="22">
        <f t="shared" si="5"/>
        <v>0</v>
      </c>
      <c r="K36" s="2"/>
      <c r="L36" s="2">
        <f t="shared" si="6"/>
        <v>11838.95</v>
      </c>
      <c r="M36" s="2"/>
      <c r="N36" s="22">
        <f t="shared" si="7"/>
        <v>0</v>
      </c>
      <c r="O36" s="11"/>
      <c r="P36" s="2">
        <v>73272.95</v>
      </c>
      <c r="Q36" s="2"/>
      <c r="R36" s="22">
        <f t="shared" si="8"/>
        <v>6.4493936665384735E-2</v>
      </c>
      <c r="S36" s="2"/>
      <c r="T36" s="2"/>
      <c r="U36" s="2"/>
      <c r="V36" s="22">
        <f t="shared" si="9"/>
        <v>0</v>
      </c>
      <c r="W36" s="2"/>
      <c r="X36" s="2">
        <f t="shared" si="10"/>
        <v>73272.95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5843.52</v>
      </c>
      <c r="E37" s="2"/>
      <c r="F37" s="22">
        <f t="shared" si="4"/>
        <v>3.380946650250409E-2</v>
      </c>
      <c r="G37" s="2"/>
      <c r="H37" s="2"/>
      <c r="I37" s="2"/>
      <c r="J37" s="22">
        <f t="shared" si="5"/>
        <v>0</v>
      </c>
      <c r="K37" s="2"/>
      <c r="L37" s="2">
        <f t="shared" si="6"/>
        <v>5843.52</v>
      </c>
      <c r="M37" s="2"/>
      <c r="N37" s="22">
        <f t="shared" si="7"/>
        <v>0</v>
      </c>
      <c r="O37" s="11"/>
      <c r="P37" s="2">
        <v>20681.2</v>
      </c>
      <c r="Q37" s="2"/>
      <c r="R37" s="22">
        <f t="shared" si="8"/>
        <v>1.820333428590162E-2</v>
      </c>
      <c r="S37" s="2"/>
      <c r="T37" s="2"/>
      <c r="U37" s="2"/>
      <c r="V37" s="22">
        <f t="shared" si="9"/>
        <v>0</v>
      </c>
      <c r="W37" s="2"/>
      <c r="X37" s="2">
        <f t="shared" si="10"/>
        <v>20681.2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773.47</v>
      </c>
      <c r="E38" s="2"/>
      <c r="F38" s="22">
        <f t="shared" si="4"/>
        <v>4.4751464965794314E-3</v>
      </c>
      <c r="G38" s="2"/>
      <c r="H38" s="2"/>
      <c r="I38" s="2"/>
      <c r="J38" s="22">
        <f t="shared" si="5"/>
        <v>0</v>
      </c>
      <c r="K38" s="2"/>
      <c r="L38" s="2">
        <f t="shared" si="6"/>
        <v>773.47</v>
      </c>
      <c r="M38" s="2"/>
      <c r="N38" s="22">
        <f t="shared" si="7"/>
        <v>0</v>
      </c>
      <c r="O38" s="11"/>
      <c r="P38" s="2">
        <v>22529.439999999999</v>
      </c>
      <c r="Q38" s="2"/>
      <c r="R38" s="22">
        <f t="shared" si="8"/>
        <v>1.9830132081028341E-2</v>
      </c>
      <c r="S38" s="2"/>
      <c r="T38" s="2"/>
      <c r="U38" s="2"/>
      <c r="V38" s="22">
        <f t="shared" si="9"/>
        <v>0</v>
      </c>
      <c r="W38" s="2"/>
      <c r="X38" s="2">
        <f t="shared" si="10"/>
        <v>22529.439999999999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-200232.35</v>
      </c>
      <c r="E39" s="2"/>
      <c r="F39" s="22">
        <f t="shared" si="4"/>
        <v>-1.1585053067402309</v>
      </c>
      <c r="G39" s="2"/>
      <c r="H39" s="2"/>
      <c r="I39" s="2"/>
      <c r="J39" s="22">
        <f t="shared" si="5"/>
        <v>0</v>
      </c>
      <c r="K39" s="2"/>
      <c r="L39" s="2">
        <f t="shared" si="6"/>
        <v>-200232.35</v>
      </c>
      <c r="M39" s="2"/>
      <c r="N39" s="22">
        <f t="shared" si="7"/>
        <v>0</v>
      </c>
      <c r="O39" s="11"/>
      <c r="P39" s="2">
        <v>-1027552.17</v>
      </c>
      <c r="Q39" s="2"/>
      <c r="R39" s="22">
        <f t="shared" si="8"/>
        <v>-0.90443860350045491</v>
      </c>
      <c r="S39" s="2"/>
      <c r="T39" s="2"/>
      <c r="U39" s="2"/>
      <c r="V39" s="22">
        <f t="shared" si="9"/>
        <v>0</v>
      </c>
      <c r="W39" s="2"/>
      <c r="X39" s="2">
        <f t="shared" si="10"/>
        <v>-1027552.17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"5300", " - ", "COG$ OFFSET")</f>
        <v xml:space="preserve">          5300 - COG$ OFFSET</v>
      </c>
      <c r="C40" s="11"/>
      <c r="D40" s="2">
        <v>156723</v>
      </c>
      <c r="E40" s="2"/>
      <c r="F40" s="22">
        <f t="shared" si="4"/>
        <v>0.90676869740703347</v>
      </c>
      <c r="G40" s="2"/>
      <c r="H40" s="2"/>
      <c r="I40" s="2"/>
      <c r="J40" s="22">
        <f t="shared" si="5"/>
        <v>0</v>
      </c>
      <c r="K40" s="2"/>
      <c r="L40" s="2">
        <f t="shared" si="6"/>
        <v>156723</v>
      </c>
      <c r="M40" s="2"/>
      <c r="N40" s="22">
        <f t="shared" si="7"/>
        <v>0</v>
      </c>
      <c r="O40" s="11"/>
      <c r="P40" s="2">
        <v>1081275</v>
      </c>
      <c r="Q40" s="2"/>
      <c r="R40" s="22">
        <f t="shared" si="8"/>
        <v>0.95172476838811437</v>
      </c>
      <c r="S40" s="2"/>
      <c r="T40" s="2"/>
      <c r="U40" s="2"/>
      <c r="V40" s="22">
        <f t="shared" si="9"/>
        <v>0</v>
      </c>
      <c r="W40" s="2"/>
      <c r="X40" s="2">
        <f t="shared" si="10"/>
        <v>1081275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"5582", " - ", "FREIGHT-IN-COMPUTER HARDWARE")</f>
        <v xml:space="preserve">          5582 - FREIGHT-IN-COMPUTER HARDWARE</v>
      </c>
      <c r="C41" s="11"/>
      <c r="D41" s="2">
        <v>70</v>
      </c>
      <c r="E41" s="2"/>
      <c r="F41" s="22">
        <f t="shared" si="4"/>
        <v>4.0500634124214274E-4</v>
      </c>
      <c r="G41" s="2"/>
      <c r="H41" s="2"/>
      <c r="I41" s="2"/>
      <c r="J41" s="22">
        <f t="shared" si="5"/>
        <v>0</v>
      </c>
      <c r="K41" s="2"/>
      <c r="L41" s="2">
        <f t="shared" si="6"/>
        <v>70</v>
      </c>
      <c r="M41" s="2"/>
      <c r="N41" s="22">
        <f t="shared" si="7"/>
        <v>0</v>
      </c>
      <c r="O41" s="11"/>
      <c r="P41" s="2">
        <v>94</v>
      </c>
      <c r="Q41" s="2"/>
      <c r="R41" s="22">
        <f t="shared" si="8"/>
        <v>8.2737627549404874E-5</v>
      </c>
      <c r="S41" s="2"/>
      <c r="T41" s="2"/>
      <c r="U41" s="2"/>
      <c r="V41" s="22">
        <f t="shared" si="9"/>
        <v>0</v>
      </c>
      <c r="W41" s="2"/>
      <c r="X41" s="2">
        <f t="shared" si="10"/>
        <v>94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"5583", " - ", "FREIGHT-IN-COMPUTER EQUIPMENT")</f>
        <v xml:space="preserve">          5583 - FREIGHT-IN-COMPUTER EQUIPMENT</v>
      </c>
      <c r="C42" s="11"/>
      <c r="D42" s="2">
        <v>51.78</v>
      </c>
      <c r="E42" s="2"/>
      <c r="F42" s="22">
        <f t="shared" si="4"/>
        <v>2.9958897642168791E-4</v>
      </c>
      <c r="G42" s="2"/>
      <c r="H42" s="2"/>
      <c r="I42" s="2"/>
      <c r="J42" s="22">
        <f t="shared" si="5"/>
        <v>0</v>
      </c>
      <c r="K42" s="2"/>
      <c r="L42" s="2">
        <f t="shared" si="6"/>
        <v>51.78</v>
      </c>
      <c r="M42" s="2"/>
      <c r="N42" s="22">
        <f t="shared" si="7"/>
        <v>0</v>
      </c>
      <c r="O42" s="11"/>
      <c r="P42" s="2">
        <v>225.17</v>
      </c>
      <c r="Q42" s="2"/>
      <c r="R42" s="22">
        <f t="shared" si="8"/>
        <v>1.9819182548190951E-4</v>
      </c>
      <c r="S42" s="2"/>
      <c r="T42" s="2"/>
      <c r="U42" s="2"/>
      <c r="V42" s="22">
        <f t="shared" si="9"/>
        <v>0</v>
      </c>
      <c r="W42" s="2"/>
      <c r="X42" s="2">
        <f t="shared" si="10"/>
        <v>225.17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"5586", " - ", "FREIGHT-IN-COMPUTER SUPPLIES")</f>
        <v xml:space="preserve">          5586 - FREIGHT-IN-COMPUTER SUPPLIES</v>
      </c>
      <c r="C43" s="11"/>
      <c r="D43" s="2"/>
      <c r="E43" s="2"/>
      <c r="F43" s="22">
        <f t="shared" si="4"/>
        <v>0</v>
      </c>
      <c r="G43" s="2"/>
      <c r="H43" s="2"/>
      <c r="I43" s="2"/>
      <c r="J43" s="22">
        <f t="shared" si="5"/>
        <v>0</v>
      </c>
      <c r="K43" s="2"/>
      <c r="L43" s="2">
        <f t="shared" si="6"/>
        <v>0</v>
      </c>
      <c r="M43" s="2"/>
      <c r="N43" s="22">
        <f t="shared" si="7"/>
        <v>0</v>
      </c>
      <c r="O43" s="11"/>
      <c r="P43" s="2">
        <v>24.12</v>
      </c>
      <c r="Q43" s="2"/>
      <c r="R43" s="22">
        <f t="shared" si="8"/>
        <v>2.1230123154166442E-5</v>
      </c>
      <c r="S43" s="2"/>
      <c r="T43" s="2"/>
      <c r="U43" s="2"/>
      <c r="V43" s="22">
        <f t="shared" si="9"/>
        <v>0</v>
      </c>
      <c r="W43" s="2"/>
      <c r="X43" s="2">
        <f t="shared" si="10"/>
        <v>24.12</v>
      </c>
      <c r="Y43" s="2"/>
      <c r="Z43" s="22">
        <f t="shared" si="11"/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6" t="s">
        <v>6</v>
      </c>
      <c r="C45" s="26"/>
      <c r="D45" s="20">
        <f>D12-D32</f>
        <v>16113.800000000047</v>
      </c>
      <c r="E45" s="13"/>
      <c r="F45" s="19">
        <f>IF(D$12=0,0,D45/D$12)</f>
        <v>9.3231302592966553E-2</v>
      </c>
      <c r="G45" s="13"/>
      <c r="H45" s="20">
        <f>H12-H32</f>
        <v>28828</v>
      </c>
      <c r="I45" s="13"/>
      <c r="J45" s="19">
        <f>IF(H$12=0,0,H45/H$12)</f>
        <v>0.21905109267195527</v>
      </c>
      <c r="K45" s="15"/>
      <c r="L45" s="20">
        <f>+D45-H45</f>
        <v>-12714.199999999953</v>
      </c>
      <c r="M45" s="15"/>
      <c r="N45" s="19">
        <f>IF(H45=0,0,L45/H45)</f>
        <v>-0.44103649229915198</v>
      </c>
      <c r="O45" s="25"/>
      <c r="P45" s="20">
        <f>P12-P32</f>
        <v>54846.529999999795</v>
      </c>
      <c r="Q45" s="13"/>
      <c r="R45" s="19">
        <f>IF(P$12=0,0,P45/P$12)</f>
        <v>4.8275231611885572E-2</v>
      </c>
      <c r="S45" s="13"/>
      <c r="T45" s="20">
        <f>T12-T32</f>
        <v>263845</v>
      </c>
      <c r="U45" s="13"/>
      <c r="V45" s="19">
        <f>IF(T$12=0,0,T45/T$12)</f>
        <v>0.21903757788081174</v>
      </c>
      <c r="W45" s="15"/>
      <c r="X45" s="20">
        <f>+P45-T45</f>
        <v>-208998.4700000002</v>
      </c>
      <c r="Y45" s="15"/>
      <c r="Z45" s="19">
        <f>IF(T45=0,0,X45/T45)</f>
        <v>-0.79212594515719537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5" t="s">
        <v>9</v>
      </c>
      <c r="C47" s="10"/>
      <c r="D47" s="21">
        <f>SUM(OSRRefD22x_0)</f>
        <v>14663.089999999998</v>
      </c>
      <c r="E47" s="21"/>
      <c r="F47" s="31">
        <f t="shared" ref="F47:F58" si="12">IF(D$12=0,0,D47/D$12)</f>
        <v>8.4837777602917872E-2</v>
      </c>
      <c r="G47" s="21"/>
      <c r="H47" s="21">
        <f>SUM(OSRRefH22x_0)</f>
        <v>20718.104328557689</v>
      </c>
      <c r="I47" s="21"/>
      <c r="J47" s="31">
        <f t="shared" ref="J47:J58" si="13">IF(H$12=0,0,H47/H$12)</f>
        <v>0.15742761867844207</v>
      </c>
      <c r="K47" s="4"/>
      <c r="L47" s="21">
        <f t="shared" ref="L47:L58" si="14">+D47-H47</f>
        <v>-6055.0143285576905</v>
      </c>
      <c r="M47" s="4"/>
      <c r="N47" s="31">
        <f t="shared" ref="N47:N58" si="15">IF(H47=0,0,L47/H47)</f>
        <v>-0.29225715985084127</v>
      </c>
      <c r="O47" s="10"/>
      <c r="P47" s="21">
        <f>SUM(OSRRefP22x_0)</f>
        <v>53904.79</v>
      </c>
      <c r="Q47" s="21"/>
      <c r="R47" s="31">
        <f t="shared" ref="R47:R58" si="16">IF(P$12=0,0,P47/P$12)</f>
        <v>4.7446323810094518E-2</v>
      </c>
      <c r="S47" s="21"/>
      <c r="T47" s="21">
        <f>SUM(OSRRefT22x_0)</f>
        <v>81299.939082807687</v>
      </c>
      <c r="U47" s="21"/>
      <c r="V47" s="31">
        <f t="shared" ref="V47:V58" si="17">IF(T$12=0,0,T47/T$12)</f>
        <v>6.7493193877298185E-2</v>
      </c>
      <c r="W47" s="4"/>
      <c r="X47" s="21">
        <f t="shared" ref="X47:X58" si="18">+P47-T47</f>
        <v>-27395.149082807686</v>
      </c>
      <c r="Y47" s="4"/>
      <c r="Z47" s="31">
        <f t="shared" ref="Z47:Z58" si="19">IF(T47=0,0,X47/T47)</f>
        <v>-0.33696395583893957</v>
      </c>
    </row>
    <row r="48" spans="1:26" s="27" customFormat="1" outlineLevel="1" collapsed="1" x14ac:dyDescent="0.25">
      <c r="A48" s="29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3471.1499999999996</v>
      </c>
      <c r="E48" s="1"/>
      <c r="F48" s="5">
        <f t="shared" si="12"/>
        <v>2.0083396591466626E-2</v>
      </c>
      <c r="G48" s="1"/>
      <c r="H48" s="1">
        <f>SUM(OSRRefH22_0x_0)</f>
        <v>2935.6830785576899</v>
      </c>
      <c r="I48" s="1"/>
      <c r="J48" s="5">
        <f t="shared" si="13"/>
        <v>2.2306944154871354E-2</v>
      </c>
      <c r="K48" s="1"/>
      <c r="L48" s="1">
        <f t="shared" si="14"/>
        <v>535.46692144230974</v>
      </c>
      <c r="M48" s="1"/>
      <c r="N48" s="5">
        <f t="shared" si="15"/>
        <v>0.18239943042672926</v>
      </c>
      <c r="O48" s="14"/>
      <c r="P48" s="1">
        <f>SUM(OSRRefP22_0x_0)</f>
        <v>11959.910000000002</v>
      </c>
      <c r="Q48" s="1"/>
      <c r="R48" s="5">
        <f t="shared" si="16"/>
        <v>1.0526963607493649E-2</v>
      </c>
      <c r="S48" s="1"/>
      <c r="T48" s="1">
        <f>SUM(OSRRefT22_0x_0)</f>
        <v>10872.876582807685</v>
      </c>
      <c r="U48" s="1"/>
      <c r="V48" s="5">
        <f t="shared" si="17"/>
        <v>9.0263925838852069E-3</v>
      </c>
      <c r="W48" s="1"/>
      <c r="X48" s="1">
        <f t="shared" si="18"/>
        <v>1087.0334171923168</v>
      </c>
      <c r="Y48" s="1"/>
      <c r="Z48" s="5">
        <f t="shared" si="19"/>
        <v>9.9976616943408189E-2</v>
      </c>
    </row>
    <row r="49" spans="1:26" s="24" customFormat="1" hidden="1" outlineLevel="2" x14ac:dyDescent="0.25">
      <c r="A49" s="28"/>
      <c r="B49" s="11" t="str">
        <f>CONCATENATE("          ", "6111", " - ", "F.I.C.A.")</f>
        <v xml:space="preserve">          6111 - F.I.C.A.</v>
      </c>
      <c r="C49" s="11"/>
      <c r="D49" s="7">
        <v>929.65</v>
      </c>
      <c r="E49" s="2"/>
      <c r="F49" s="6">
        <f t="shared" si="12"/>
        <v>5.3787735019394005E-3</v>
      </c>
      <c r="G49" s="2"/>
      <c r="H49" s="7">
        <v>532.10352375000002</v>
      </c>
      <c r="I49" s="2"/>
      <c r="J49" s="6">
        <f t="shared" si="13"/>
        <v>4.0432169519923405E-3</v>
      </c>
      <c r="K49" s="2"/>
      <c r="L49" s="7">
        <f t="shared" si="14"/>
        <v>397.54647624999996</v>
      </c>
      <c r="M49" s="2"/>
      <c r="N49" s="6">
        <f t="shared" si="15"/>
        <v>0.74712242732070411</v>
      </c>
      <c r="O49" s="11"/>
      <c r="P49" s="7">
        <v>2499.0100000000002</v>
      </c>
      <c r="Q49" s="2"/>
      <c r="R49" s="6">
        <f t="shared" si="16"/>
        <v>2.199597432151471E-3</v>
      </c>
      <c r="S49" s="2"/>
      <c r="T49" s="7">
        <v>2342.9162054999997</v>
      </c>
      <c r="U49" s="2"/>
      <c r="V49" s="6">
        <f t="shared" si="17"/>
        <v>1.9450309493468593E-3</v>
      </c>
      <c r="W49" s="2"/>
      <c r="X49" s="7">
        <f t="shared" si="18"/>
        <v>156.09379450000051</v>
      </c>
      <c r="Y49" s="2"/>
      <c r="Z49" s="6">
        <f t="shared" si="19"/>
        <v>6.66237205298124E-2</v>
      </c>
    </row>
    <row r="50" spans="1:26" s="24" customFormat="1" hidden="1" outlineLevel="2" x14ac:dyDescent="0.25">
      <c r="A50" s="28"/>
      <c r="B50" s="11" t="str">
        <f>CONCATENATE("          ", "6112", " - ", "COMPENSATION INSURANCE")</f>
        <v xml:space="preserve">          6112 - COMPENSATION INSURANCE</v>
      </c>
      <c r="C50" s="11"/>
      <c r="D50" s="7">
        <v>156.43</v>
      </c>
      <c r="E50" s="2"/>
      <c r="F50" s="6">
        <f t="shared" si="12"/>
        <v>9.0507345657869136E-4</v>
      </c>
      <c r="G50" s="2"/>
      <c r="H50" s="7">
        <v>256.87018749999999</v>
      </c>
      <c r="I50" s="2"/>
      <c r="J50" s="6">
        <f t="shared" si="13"/>
        <v>1.9518417943223609E-3</v>
      </c>
      <c r="K50" s="2"/>
      <c r="L50" s="7">
        <f t="shared" si="14"/>
        <v>-100.44018749999998</v>
      </c>
      <c r="M50" s="2"/>
      <c r="N50" s="6">
        <f t="shared" si="15"/>
        <v>-0.39101535478888527</v>
      </c>
      <c r="O50" s="11"/>
      <c r="P50" s="7">
        <v>468.93</v>
      </c>
      <c r="Q50" s="2"/>
      <c r="R50" s="6">
        <f t="shared" si="16"/>
        <v>4.1274633709300457E-4</v>
      </c>
      <c r="S50" s="2"/>
      <c r="T50" s="7">
        <v>806.73597500000005</v>
      </c>
      <c r="U50" s="2"/>
      <c r="V50" s="6">
        <f t="shared" si="17"/>
        <v>6.6973220623212538E-4</v>
      </c>
      <c r="W50" s="2"/>
      <c r="X50" s="7">
        <f t="shared" si="18"/>
        <v>-337.80597500000005</v>
      </c>
      <c r="Y50" s="2"/>
      <c r="Z50" s="6">
        <f t="shared" si="19"/>
        <v>-0.41873176041269267</v>
      </c>
    </row>
    <row r="51" spans="1:26" s="24" customFormat="1" hidden="1" outlineLevel="2" x14ac:dyDescent="0.25">
      <c r="A51" s="28"/>
      <c r="B51" s="11" t="str">
        <f>CONCATENATE("          ", "6113", " - ", "GROUP INSURANCE")</f>
        <v xml:space="preserve">          6113 - GROUP INSURANCE</v>
      </c>
      <c r="C51" s="11"/>
      <c r="D51" s="7">
        <v>1035.69</v>
      </c>
      <c r="E51" s="2"/>
      <c r="F51" s="6">
        <f t="shared" si="12"/>
        <v>5.992300250872498E-3</v>
      </c>
      <c r="G51" s="2"/>
      <c r="H51" s="7">
        <v>1099.8076923076899</v>
      </c>
      <c r="I51" s="2"/>
      <c r="J51" s="6">
        <f t="shared" si="13"/>
        <v>8.3569472987727565E-3</v>
      </c>
      <c r="K51" s="2"/>
      <c r="L51" s="7">
        <f t="shared" si="14"/>
        <v>-64.117692307689822</v>
      </c>
      <c r="M51" s="2"/>
      <c r="N51" s="6">
        <f t="shared" si="15"/>
        <v>-5.8299003322257008E-2</v>
      </c>
      <c r="O51" s="11"/>
      <c r="P51" s="7">
        <v>4142.76</v>
      </c>
      <c r="Q51" s="2"/>
      <c r="R51" s="6">
        <f t="shared" si="16"/>
        <v>3.6464056798571551E-3</v>
      </c>
      <c r="S51" s="2"/>
      <c r="T51" s="7">
        <v>4092.3076923076878</v>
      </c>
      <c r="U51" s="2"/>
      <c r="V51" s="6">
        <f t="shared" si="17"/>
        <v>3.3973323916166318E-3</v>
      </c>
      <c r="W51" s="2"/>
      <c r="X51" s="7">
        <f t="shared" si="18"/>
        <v>50.452307692312388</v>
      </c>
      <c r="Y51" s="2"/>
      <c r="Z51" s="6">
        <f t="shared" si="19"/>
        <v>1.2328571428572589E-2</v>
      </c>
    </row>
    <row r="52" spans="1:26" s="24" customFormat="1" hidden="1" outlineLevel="2" x14ac:dyDescent="0.25">
      <c r="A52" s="28"/>
      <c r="B52" s="11" t="str">
        <f>CONCATENATE("          ", "6114", " - ", "STATE UNEMPLOYMENT INSURANCE")</f>
        <v xml:space="preserve">          6114 - STATE UNEMPLOYMENT INSURANCE</v>
      </c>
      <c r="C52" s="11"/>
      <c r="D52" s="7">
        <v>21.98</v>
      </c>
      <c r="E52" s="2"/>
      <c r="F52" s="6">
        <f t="shared" si="12"/>
        <v>1.2717199115003282E-4</v>
      </c>
      <c r="G52" s="2"/>
      <c r="H52" s="7">
        <v>36.100675000000003</v>
      </c>
      <c r="I52" s="2"/>
      <c r="J52" s="6">
        <f t="shared" si="13"/>
        <v>2.743129008236832E-4</v>
      </c>
      <c r="K52" s="2"/>
      <c r="L52" s="7">
        <f t="shared" si="14"/>
        <v>-14.120675000000002</v>
      </c>
      <c r="M52" s="2"/>
      <c r="N52" s="6">
        <f t="shared" si="15"/>
        <v>-0.3911471184403062</v>
      </c>
      <c r="O52" s="11"/>
      <c r="P52" s="7">
        <v>80.599999999999994</v>
      </c>
      <c r="Q52" s="2"/>
      <c r="R52" s="6">
        <f t="shared" si="16"/>
        <v>7.0943114685979072E-5</v>
      </c>
      <c r="S52" s="2"/>
      <c r="T52" s="7">
        <v>113.37911</v>
      </c>
      <c r="U52" s="2"/>
      <c r="V52" s="6">
        <f t="shared" si="17"/>
        <v>9.4124526281271664E-5</v>
      </c>
      <c r="W52" s="2"/>
      <c r="X52" s="7">
        <f t="shared" si="18"/>
        <v>-32.779110000000003</v>
      </c>
      <c r="Y52" s="2"/>
      <c r="Z52" s="6">
        <f t="shared" si="19"/>
        <v>-0.28911066597718049</v>
      </c>
    </row>
    <row r="53" spans="1:26" s="24" customFormat="1" hidden="1" outlineLevel="2" x14ac:dyDescent="0.25">
      <c r="A53" s="28"/>
      <c r="B53" s="11" t="str">
        <f>CONCATENATE("          ", "6115", " - ", "P.E.R.S.")</f>
        <v xml:space="preserve">          6115 - P.E.R.S.</v>
      </c>
      <c r="C53" s="11"/>
      <c r="D53" s="7">
        <v>176.42</v>
      </c>
      <c r="E53" s="2"/>
      <c r="F53" s="6">
        <f t="shared" si="12"/>
        <v>1.0207316960276975E-3</v>
      </c>
      <c r="G53" s="2"/>
      <c r="H53" s="7">
        <v>245.34725</v>
      </c>
      <c r="I53" s="2"/>
      <c r="J53" s="6">
        <f t="shared" si="13"/>
        <v>1.8642841402996869E-3</v>
      </c>
      <c r="K53" s="2"/>
      <c r="L53" s="7">
        <f t="shared" si="14"/>
        <v>-68.927250000000015</v>
      </c>
      <c r="M53" s="2"/>
      <c r="N53" s="6">
        <f t="shared" si="15"/>
        <v>-0.28093752833993457</v>
      </c>
      <c r="O53" s="11"/>
      <c r="P53" s="7">
        <v>793.89</v>
      </c>
      <c r="Q53" s="2"/>
      <c r="R53" s="6">
        <f t="shared" si="16"/>
        <v>6.9877207590635147E-4</v>
      </c>
      <c r="S53" s="2"/>
      <c r="T53" s="7">
        <v>883.25009999999997</v>
      </c>
      <c r="U53" s="2"/>
      <c r="V53" s="6">
        <f t="shared" si="17"/>
        <v>7.3325233590549287E-4</v>
      </c>
      <c r="W53" s="2"/>
      <c r="X53" s="7">
        <f t="shared" si="18"/>
        <v>-89.360099999999989</v>
      </c>
      <c r="Y53" s="2"/>
      <c r="Z53" s="6">
        <f t="shared" si="19"/>
        <v>-0.10117191042491815</v>
      </c>
    </row>
    <row r="54" spans="1:26" s="24" customFormat="1" hidden="1" outlineLevel="2" x14ac:dyDescent="0.25">
      <c r="A54" s="28"/>
      <c r="B54" s="11" t="str">
        <f>CONCATENATE("          ", "6116", " - ", "EDUCATIONAL BENEFITS")</f>
        <v xml:space="preserve">          6116 - EDUCATIONAL BENEFITS</v>
      </c>
      <c r="C54" s="11"/>
      <c r="D54" s="7"/>
      <c r="E54" s="2"/>
      <c r="F54" s="6">
        <f t="shared" si="12"/>
        <v>0</v>
      </c>
      <c r="G54" s="2"/>
      <c r="H54" s="7">
        <v>0</v>
      </c>
      <c r="I54" s="2"/>
      <c r="J54" s="6">
        <f t="shared" si="13"/>
        <v>0</v>
      </c>
      <c r="K54" s="2"/>
      <c r="L54" s="7">
        <f t="shared" si="14"/>
        <v>0</v>
      </c>
      <c r="M54" s="2"/>
      <c r="N54" s="6">
        <f t="shared" si="15"/>
        <v>0</v>
      </c>
      <c r="O54" s="11"/>
      <c r="P54" s="7"/>
      <c r="Q54" s="2"/>
      <c r="R54" s="6">
        <f t="shared" si="16"/>
        <v>0</v>
      </c>
      <c r="S54" s="2"/>
      <c r="T54" s="7">
        <v>0</v>
      </c>
      <c r="U54" s="2"/>
      <c r="V54" s="6">
        <f t="shared" si="17"/>
        <v>0</v>
      </c>
      <c r="W54" s="2"/>
      <c r="X54" s="7">
        <f t="shared" si="18"/>
        <v>0</v>
      </c>
      <c r="Y54" s="2"/>
      <c r="Z54" s="6">
        <f t="shared" si="19"/>
        <v>0</v>
      </c>
    </row>
    <row r="55" spans="1:26" s="24" customFormat="1" hidden="1" outlineLevel="2" x14ac:dyDescent="0.25">
      <c r="A55" s="28"/>
      <c r="B55" s="11" t="str">
        <f>CONCATENATE("          ", "6117", " - ", "RETIREMENT STAFF HOURLY")</f>
        <v xml:space="preserve">          6117 - RETIREMENT STAFF HOURLY</v>
      </c>
      <c r="C55" s="11"/>
      <c r="D55" s="7">
        <v>155.75</v>
      </c>
      <c r="E55" s="2"/>
      <c r="F55" s="6">
        <f t="shared" si="12"/>
        <v>9.0113910926376765E-4</v>
      </c>
      <c r="G55" s="2"/>
      <c r="H55" s="7"/>
      <c r="I55" s="2"/>
      <c r="J55" s="6">
        <f t="shared" si="13"/>
        <v>0</v>
      </c>
      <c r="K55" s="2"/>
      <c r="L55" s="7">
        <f t="shared" si="14"/>
        <v>155.75</v>
      </c>
      <c r="M55" s="2"/>
      <c r="N55" s="6">
        <f t="shared" si="15"/>
        <v>0</v>
      </c>
      <c r="O55" s="11"/>
      <c r="P55" s="7">
        <v>779.56</v>
      </c>
      <c r="Q55" s="2"/>
      <c r="R55" s="6">
        <f t="shared" si="16"/>
        <v>6.8615898864270272E-4</v>
      </c>
      <c r="S55" s="2"/>
      <c r="T55" s="7"/>
      <c r="U55" s="2"/>
      <c r="V55" s="6">
        <f t="shared" si="17"/>
        <v>0</v>
      </c>
      <c r="W55" s="2"/>
      <c r="X55" s="7">
        <f t="shared" si="18"/>
        <v>779.56</v>
      </c>
      <c r="Y55" s="2"/>
      <c r="Z55" s="6">
        <f t="shared" si="19"/>
        <v>0</v>
      </c>
    </row>
    <row r="56" spans="1:26" s="24" customFormat="1" hidden="1" outlineLevel="2" x14ac:dyDescent="0.25">
      <c r="A56" s="28"/>
      <c r="B56" s="11" t="str">
        <f>CONCATENATE("          ", "6118", " - ", "VACATION")</f>
        <v xml:space="preserve">          6118 - VACATION</v>
      </c>
      <c r="C56" s="11"/>
      <c r="D56" s="7">
        <v>386.7</v>
      </c>
      <c r="E56" s="2"/>
      <c r="F56" s="6">
        <f t="shared" si="12"/>
        <v>2.2373707451190943E-3</v>
      </c>
      <c r="G56" s="2"/>
      <c r="H56" s="7">
        <v>243.43625</v>
      </c>
      <c r="I56" s="2"/>
      <c r="J56" s="6">
        <f t="shared" si="13"/>
        <v>1.8497633050667153E-3</v>
      </c>
      <c r="K56" s="2"/>
      <c r="L56" s="7">
        <f t="shared" si="14"/>
        <v>143.26374999999999</v>
      </c>
      <c r="M56" s="2"/>
      <c r="N56" s="6">
        <f t="shared" si="15"/>
        <v>0.58850623109746381</v>
      </c>
      <c r="O56" s="11"/>
      <c r="P56" s="7">
        <v>1160.0999999999999</v>
      </c>
      <c r="Q56" s="2"/>
      <c r="R56" s="6">
        <f t="shared" si="16"/>
        <v>1.0211055502134532E-3</v>
      </c>
      <c r="S56" s="2"/>
      <c r="T56" s="7">
        <v>876.37049999999999</v>
      </c>
      <c r="U56" s="2"/>
      <c r="V56" s="6">
        <f t="shared" si="17"/>
        <v>7.2754106254124937E-4</v>
      </c>
      <c r="W56" s="2"/>
      <c r="X56" s="7">
        <f t="shared" si="18"/>
        <v>283.72949999999992</v>
      </c>
      <c r="Y56" s="2"/>
      <c r="Z56" s="6">
        <f t="shared" si="19"/>
        <v>0.32375519258121982</v>
      </c>
    </row>
    <row r="57" spans="1:26" s="24" customFormat="1" hidden="1" outlineLevel="2" x14ac:dyDescent="0.25">
      <c r="A57" s="28"/>
      <c r="B57" s="11" t="str">
        <f>CONCATENATE("          ", "6119", " - ", "SICK LEAVE")</f>
        <v xml:space="preserve">          6119 - SICK LEAVE</v>
      </c>
      <c r="C57" s="11"/>
      <c r="D57" s="7">
        <v>384.85</v>
      </c>
      <c r="E57" s="2"/>
      <c r="F57" s="6">
        <f t="shared" si="12"/>
        <v>2.2266670061005522E-3</v>
      </c>
      <c r="G57" s="2"/>
      <c r="H57" s="7">
        <v>347.01749999999998</v>
      </c>
      <c r="I57" s="2"/>
      <c r="J57" s="6">
        <f t="shared" si="13"/>
        <v>2.6368309473876173E-3</v>
      </c>
      <c r="K57" s="2"/>
      <c r="L57" s="7">
        <f t="shared" si="14"/>
        <v>37.832500000000039</v>
      </c>
      <c r="M57" s="2"/>
      <c r="N57" s="6">
        <f t="shared" si="15"/>
        <v>0.10902187930003542</v>
      </c>
      <c r="O57" s="11"/>
      <c r="P57" s="7">
        <v>1154.56</v>
      </c>
      <c r="Q57" s="2"/>
      <c r="R57" s="6">
        <f t="shared" si="16"/>
        <v>1.0162293113132009E-3</v>
      </c>
      <c r="S57" s="2"/>
      <c r="T57" s="7">
        <v>1057.9169999999999</v>
      </c>
      <c r="U57" s="2"/>
      <c r="V57" s="6">
        <f t="shared" si="17"/>
        <v>8.7825646602715491E-4</v>
      </c>
      <c r="W57" s="2"/>
      <c r="X57" s="7">
        <f t="shared" si="18"/>
        <v>96.643000000000029</v>
      </c>
      <c r="Y57" s="2"/>
      <c r="Z57" s="6">
        <f t="shared" si="19"/>
        <v>9.1352157116295546E-2</v>
      </c>
    </row>
    <row r="58" spans="1:26" s="24" customFormat="1" hidden="1" outlineLevel="2" x14ac:dyDescent="0.25">
      <c r="A58" s="28"/>
      <c r="B58" s="11" t="str">
        <f>CONCATENATE("          ", "6156", " - ", "EMPLOYEE MEALS")</f>
        <v xml:space="preserve">          6156 - EMPLOYEE MEALS</v>
      </c>
      <c r="C58" s="11"/>
      <c r="D58" s="7">
        <v>223.68</v>
      </c>
      <c r="E58" s="2"/>
      <c r="F58" s="6">
        <f t="shared" si="12"/>
        <v>1.2941688344148929E-3</v>
      </c>
      <c r="G58" s="2"/>
      <c r="H58" s="7">
        <v>175</v>
      </c>
      <c r="I58" s="2"/>
      <c r="J58" s="6">
        <f t="shared" si="13"/>
        <v>1.3297468162061944E-3</v>
      </c>
      <c r="K58" s="2"/>
      <c r="L58" s="7">
        <f t="shared" si="14"/>
        <v>48.680000000000007</v>
      </c>
      <c r="M58" s="2"/>
      <c r="N58" s="6">
        <f t="shared" si="15"/>
        <v>0.27817142857142862</v>
      </c>
      <c r="O58" s="11"/>
      <c r="P58" s="7">
        <v>880.5</v>
      </c>
      <c r="Q58" s="2"/>
      <c r="R58" s="6">
        <f t="shared" si="16"/>
        <v>7.7500511763032968E-4</v>
      </c>
      <c r="S58" s="2"/>
      <c r="T58" s="7">
        <v>700</v>
      </c>
      <c r="U58" s="2"/>
      <c r="V58" s="6">
        <f t="shared" si="17"/>
        <v>5.8112264593442443E-4</v>
      </c>
      <c r="W58" s="2"/>
      <c r="X58" s="7">
        <f t="shared" si="18"/>
        <v>180.5</v>
      </c>
      <c r="Y58" s="2"/>
      <c r="Z58" s="6">
        <f t="shared" si="19"/>
        <v>0.25785714285714284</v>
      </c>
    </row>
    <row r="59" spans="1:26" s="27" customFormat="1" outlineLevel="1" collapsed="1" x14ac:dyDescent="0.25">
      <c r="A59" s="29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8904.4</v>
      </c>
      <c r="E59" s="1"/>
      <c r="F59" s="5">
        <f t="shared" ref="F59:F69" si="20">IF(D$12=0,0,D59/D$12)</f>
        <v>5.151912092795051E-2</v>
      </c>
      <c r="G59" s="1"/>
      <c r="H59" s="1">
        <f>SUM(OSRRefH22_1x_0)</f>
        <v>13294.421249999999</v>
      </c>
      <c r="I59" s="1"/>
      <c r="J59" s="5">
        <f t="shared" ref="J59:J69" si="21">IF(H$12=0,0,H59/H$12)</f>
        <v>0.10101836760280843</v>
      </c>
      <c r="K59" s="1"/>
      <c r="L59" s="1">
        <f t="shared" ref="L59:L69" si="22">+D59-H59</f>
        <v>-4390.0212499999998</v>
      </c>
      <c r="M59" s="1"/>
      <c r="N59" s="5">
        <f t="shared" ref="N59:N69" si="23">IF(H59=0,0,L59/H59)</f>
        <v>-0.33021529613408329</v>
      </c>
      <c r="O59" s="14"/>
      <c r="P59" s="1">
        <f>SUM(OSRRefP22_1x_0)</f>
        <v>32163.57</v>
      </c>
      <c r="Q59" s="1"/>
      <c r="R59" s="5">
        <f t="shared" ref="R59:R69" si="24">IF(P$12=0,0,P59/P$12)</f>
        <v>2.8309973141693746E-2</v>
      </c>
      <c r="S59" s="1"/>
      <c r="T59" s="1">
        <f>SUM(OSRRefT22_1x_0)</f>
        <v>41673.0625</v>
      </c>
      <c r="U59" s="1"/>
      <c r="V59" s="5">
        <f t="shared" ref="V59:V69" si="25">IF(T$12=0,0,T59/T$12)</f>
        <v>3.459594334884377E-2</v>
      </c>
      <c r="W59" s="1"/>
      <c r="X59" s="1">
        <f t="shared" ref="X59:X69" si="26">+P59-T59</f>
        <v>-9509.4925000000003</v>
      </c>
      <c r="Y59" s="1"/>
      <c r="Z59" s="5">
        <f t="shared" ref="Z59:Z69" si="27">IF(T59=0,0,X59/T59)</f>
        <v>-0.22819279240636564</v>
      </c>
    </row>
    <row r="60" spans="1:26" s="24" customFormat="1" hidden="1" outlineLevel="2" x14ac:dyDescent="0.25">
      <c r="A60" s="28"/>
      <c r="B60" s="11" t="str">
        <f>CONCATENATE("          ", "6001", " - ", "ADMINISTRATIVE SALARIES")</f>
        <v xml:space="preserve">          6001 - ADMINISTRATIVE SALARIES</v>
      </c>
      <c r="C60" s="11"/>
      <c r="D60" s="7"/>
      <c r="E60" s="2"/>
      <c r="F60" s="6">
        <f t="shared" si="20"/>
        <v>0</v>
      </c>
      <c r="G60" s="2"/>
      <c r="H60" s="7">
        <v>0</v>
      </c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/>
      <c r="Q60" s="2"/>
      <c r="R60" s="6">
        <f t="shared" si="24"/>
        <v>0</v>
      </c>
      <c r="S60" s="2"/>
      <c r="T60" s="7">
        <v>0</v>
      </c>
      <c r="U60" s="2"/>
      <c r="V60" s="6">
        <f t="shared" si="25"/>
        <v>0</v>
      </c>
      <c r="W60" s="2"/>
      <c r="X60" s="7">
        <f t="shared" si="26"/>
        <v>0</v>
      </c>
      <c r="Y60" s="2"/>
      <c r="Z60" s="6">
        <f t="shared" si="27"/>
        <v>0</v>
      </c>
    </row>
    <row r="61" spans="1:26" s="24" customFormat="1" hidden="1" outlineLevel="2" x14ac:dyDescent="0.25">
      <c r="A61" s="28"/>
      <c r="B61" s="11" t="str">
        <f>CONCATENATE("          ", "6002", " - ", "STAFF SALARIES")</f>
        <v xml:space="preserve">          6002 - STAFF SALARIES</v>
      </c>
      <c r="C61" s="11"/>
      <c r="D61" s="7">
        <v>2395.9899999999998</v>
      </c>
      <c r="E61" s="2"/>
      <c r="F61" s="6">
        <f t="shared" si="20"/>
        <v>1.3862730622182308E-2</v>
      </c>
      <c r="G61" s="2"/>
      <c r="H61" s="7">
        <v>2710.2312499999998</v>
      </c>
      <c r="I61" s="2"/>
      <c r="J61" s="6">
        <f t="shared" si="21"/>
        <v>2.0593836433543053E-2</v>
      </c>
      <c r="K61" s="2"/>
      <c r="L61" s="7">
        <f t="shared" si="22"/>
        <v>-314.24125000000004</v>
      </c>
      <c r="M61" s="2"/>
      <c r="N61" s="6">
        <f t="shared" si="23"/>
        <v>-0.11594628687127714</v>
      </c>
      <c r="O61" s="11"/>
      <c r="P61" s="7">
        <v>9357.43</v>
      </c>
      <c r="Q61" s="2"/>
      <c r="R61" s="6">
        <f t="shared" si="24"/>
        <v>8.2362931719109321E-3</v>
      </c>
      <c r="S61" s="2"/>
      <c r="T61" s="7">
        <v>9756.8325000000004</v>
      </c>
      <c r="U61" s="2"/>
      <c r="V61" s="6">
        <f t="shared" si="25"/>
        <v>8.0998804547699789E-3</v>
      </c>
      <c r="W61" s="2"/>
      <c r="X61" s="7">
        <f t="shared" si="26"/>
        <v>-399.40250000000015</v>
      </c>
      <c r="Y61" s="2"/>
      <c r="Z61" s="6">
        <f t="shared" si="27"/>
        <v>-4.0935672514619895E-2</v>
      </c>
    </row>
    <row r="62" spans="1:26" s="24" customFormat="1" hidden="1" outlineLevel="2" x14ac:dyDescent="0.25">
      <c r="A62" s="28"/>
      <c r="B62" s="11" t="str">
        <f>CONCATENATE("          ", "6003", " - ", "STAFF HOURLY-9 MONTH")</f>
        <v xml:space="preserve">          6003 - STAFF HOURLY-9 MONTH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25">
      <c r="A63" s="28"/>
      <c r="B63" s="11" t="str">
        <f>CONCATENATE("          ", "6004", " - ", "STAFF HOURLY")</f>
        <v xml:space="preserve">          6004 - STAFF HOURLY</v>
      </c>
      <c r="C63" s="11"/>
      <c r="D63" s="7">
        <v>3871.43</v>
      </c>
      <c r="E63" s="2"/>
      <c r="F63" s="6">
        <f t="shared" si="20"/>
        <v>2.2399338566786695E-2</v>
      </c>
      <c r="G63" s="2"/>
      <c r="H63" s="7">
        <v>3860.15</v>
      </c>
      <c r="I63" s="2"/>
      <c r="J63" s="6">
        <f t="shared" si="21"/>
        <v>2.9331555271876236E-2</v>
      </c>
      <c r="K63" s="2"/>
      <c r="L63" s="7">
        <f t="shared" si="22"/>
        <v>11.279999999999745</v>
      </c>
      <c r="M63" s="2"/>
      <c r="N63" s="6">
        <f t="shared" si="23"/>
        <v>2.9221662370632604E-3</v>
      </c>
      <c r="O63" s="11"/>
      <c r="P63" s="7">
        <v>14420.64</v>
      </c>
      <c r="Q63" s="2"/>
      <c r="R63" s="6">
        <f t="shared" si="24"/>
        <v>1.2692867461106913E-2</v>
      </c>
      <c r="S63" s="2"/>
      <c r="T63" s="7">
        <v>13896.54</v>
      </c>
      <c r="U63" s="2"/>
      <c r="V63" s="6">
        <f t="shared" si="25"/>
        <v>1.1536562991619382E-2</v>
      </c>
      <c r="W63" s="2"/>
      <c r="X63" s="7">
        <f t="shared" si="26"/>
        <v>524.09999999999854</v>
      </c>
      <c r="Y63" s="2"/>
      <c r="Z63" s="6">
        <f t="shared" si="27"/>
        <v>3.7714423878173885E-2</v>
      </c>
    </row>
    <row r="64" spans="1:26" s="24" customFormat="1" hidden="1" outlineLevel="2" x14ac:dyDescent="0.25">
      <c r="A64" s="28"/>
      <c r="B64" s="11" t="str">
        <f>CONCATENATE("          ", "6005", " - ", "TEMPORARY WAGES-HOURLY")</f>
        <v xml:space="preserve">          6005 - TEMPORARY WAGES-HOURLY</v>
      </c>
      <c r="C64" s="11"/>
      <c r="D64" s="7"/>
      <c r="E64" s="2"/>
      <c r="F64" s="6">
        <f t="shared" si="20"/>
        <v>0</v>
      </c>
      <c r="G64" s="2"/>
      <c r="H64" s="7">
        <v>0</v>
      </c>
      <c r="I64" s="2"/>
      <c r="J64" s="6">
        <f t="shared" si="21"/>
        <v>0</v>
      </c>
      <c r="K64" s="2"/>
      <c r="L64" s="7">
        <f t="shared" si="22"/>
        <v>0</v>
      </c>
      <c r="M64" s="2"/>
      <c r="N64" s="6">
        <f t="shared" si="23"/>
        <v>0</v>
      </c>
      <c r="O64" s="11"/>
      <c r="P64" s="7"/>
      <c r="Q64" s="2"/>
      <c r="R64" s="6">
        <f t="shared" si="24"/>
        <v>0</v>
      </c>
      <c r="S64" s="2"/>
      <c r="T64" s="7">
        <v>0</v>
      </c>
      <c r="U64" s="2"/>
      <c r="V64" s="6">
        <f t="shared" si="25"/>
        <v>0</v>
      </c>
      <c r="W64" s="2"/>
      <c r="X64" s="7">
        <f t="shared" si="26"/>
        <v>0</v>
      </c>
      <c r="Y64" s="2"/>
      <c r="Z64" s="6">
        <f t="shared" si="27"/>
        <v>0</v>
      </c>
    </row>
    <row r="65" spans="1:26" s="24" customFormat="1" hidden="1" outlineLevel="2" x14ac:dyDescent="0.25">
      <c r="A65" s="28"/>
      <c r="B65" s="11" t="str">
        <f>CONCATENATE("          ", "6006", " - ", "TEMPORARY PART TIME")</f>
        <v xml:space="preserve">          6006 - TEMPORARY PART TIME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4" customFormat="1" hidden="1" outlineLevel="2" x14ac:dyDescent="0.25">
      <c r="A66" s="28"/>
      <c r="B66" s="11" t="str">
        <f>CONCATENATE("          ", "6007", " - ", "STUDENT HOURLY")</f>
        <v xml:space="preserve">          6007 - STUDENT HOURLY</v>
      </c>
      <c r="C66" s="11"/>
      <c r="D66" s="7">
        <v>2636.98</v>
      </c>
      <c r="E66" s="2"/>
      <c r="F66" s="6">
        <f t="shared" si="20"/>
        <v>1.5257051738981509E-2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2636.98</v>
      </c>
      <c r="M66" s="2"/>
      <c r="N66" s="6">
        <f t="shared" si="23"/>
        <v>0</v>
      </c>
      <c r="O66" s="11"/>
      <c r="P66" s="7">
        <v>8385.5</v>
      </c>
      <c r="Q66" s="2"/>
      <c r="R66" s="6">
        <f t="shared" si="24"/>
        <v>7.3808125086758996E-3</v>
      </c>
      <c r="S66" s="2"/>
      <c r="T66" s="7">
        <v>5416.48</v>
      </c>
      <c r="U66" s="2"/>
      <c r="V66" s="6">
        <f t="shared" si="25"/>
        <v>4.4966274132155586E-3</v>
      </c>
      <c r="W66" s="2"/>
      <c r="X66" s="7">
        <f t="shared" si="26"/>
        <v>2969.0200000000004</v>
      </c>
      <c r="Y66" s="2"/>
      <c r="Z66" s="6">
        <f t="shared" si="27"/>
        <v>0.54814565917348546</v>
      </c>
    </row>
    <row r="67" spans="1:26" s="24" customFormat="1" hidden="1" outlineLevel="2" x14ac:dyDescent="0.25">
      <c r="A67" s="28"/>
      <c r="B67" s="11" t="str">
        <f>CONCATENATE("          ", "6008", " - ", "STUDENT HOURLY-FICA EXEMPT")</f>
        <v xml:space="preserve">          6008 - STUDENT HOURLY-FICA EXEMPT</v>
      </c>
      <c r="C67" s="11"/>
      <c r="D67" s="7"/>
      <c r="E67" s="2"/>
      <c r="F67" s="6">
        <f t="shared" si="20"/>
        <v>0</v>
      </c>
      <c r="G67" s="2"/>
      <c r="H67" s="7">
        <v>6724.04</v>
      </c>
      <c r="I67" s="2"/>
      <c r="J67" s="6">
        <f t="shared" si="21"/>
        <v>5.1092975897389134E-2</v>
      </c>
      <c r="K67" s="2"/>
      <c r="L67" s="7">
        <f t="shared" si="22"/>
        <v>-6724.04</v>
      </c>
      <c r="M67" s="2"/>
      <c r="N67" s="6">
        <f t="shared" si="23"/>
        <v>-1</v>
      </c>
      <c r="O67" s="11"/>
      <c r="P67" s="7"/>
      <c r="Q67" s="2"/>
      <c r="R67" s="6">
        <f t="shared" si="24"/>
        <v>0</v>
      </c>
      <c r="S67" s="2"/>
      <c r="T67" s="7">
        <v>12603.21</v>
      </c>
      <c r="U67" s="2"/>
      <c r="V67" s="6">
        <f t="shared" si="25"/>
        <v>1.0462872489238852E-2</v>
      </c>
      <c r="W67" s="2"/>
      <c r="X67" s="7">
        <f t="shared" si="26"/>
        <v>-12603.21</v>
      </c>
      <c r="Y67" s="2"/>
      <c r="Z67" s="6">
        <f t="shared" si="27"/>
        <v>-1</v>
      </c>
    </row>
    <row r="68" spans="1:26" s="24" customFormat="1" hidden="1" outlineLevel="2" x14ac:dyDescent="0.25">
      <c r="A68" s="28"/>
      <c r="B68" s="11" t="str">
        <f>CONCATENATE("          ", "6009", " - ", "TEMPORARY-SEASONAL")</f>
        <v xml:space="preserve">          6009 - TEMPORARY-SEASONAL</v>
      </c>
      <c r="C68" s="11"/>
      <c r="D68" s="7"/>
      <c r="E68" s="2"/>
      <c r="F68" s="6">
        <f t="shared" si="20"/>
        <v>0</v>
      </c>
      <c r="G68" s="2"/>
      <c r="H68" s="7">
        <v>0</v>
      </c>
      <c r="I68" s="2"/>
      <c r="J68" s="6">
        <f t="shared" si="21"/>
        <v>0</v>
      </c>
      <c r="K68" s="2"/>
      <c r="L68" s="7">
        <f t="shared" si="22"/>
        <v>0</v>
      </c>
      <c r="M68" s="2"/>
      <c r="N68" s="6">
        <f t="shared" si="23"/>
        <v>0</v>
      </c>
      <c r="O68" s="11"/>
      <c r="P68" s="7"/>
      <c r="Q68" s="2"/>
      <c r="R68" s="6">
        <f t="shared" si="24"/>
        <v>0</v>
      </c>
      <c r="S68" s="2"/>
      <c r="T68" s="7">
        <v>0</v>
      </c>
      <c r="U68" s="2"/>
      <c r="V68" s="6">
        <f t="shared" si="25"/>
        <v>0</v>
      </c>
      <c r="W68" s="2"/>
      <c r="X68" s="7">
        <f t="shared" si="26"/>
        <v>0</v>
      </c>
      <c r="Y68" s="2"/>
      <c r="Z68" s="6">
        <f t="shared" si="27"/>
        <v>0</v>
      </c>
    </row>
    <row r="69" spans="1:26" s="24" customFormat="1" hidden="1" outlineLevel="2" x14ac:dyDescent="0.25">
      <c r="A69" s="28"/>
      <c r="B69" s="11" t="str">
        <f>CONCATENATE("          ", "6010", " - ", "GRATUITY")</f>
        <v xml:space="preserve">          6010 - GRATUITY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7" customFormat="1" outlineLevel="1" collapsed="1" x14ac:dyDescent="0.25">
      <c r="A70" s="29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0</v>
      </c>
      <c r="E70" s="1"/>
      <c r="F70" s="5">
        <f t="shared" ref="F70:F80" si="28">IF(D$12=0,0,D70/D$12)</f>
        <v>0</v>
      </c>
      <c r="G70" s="1"/>
      <c r="H70" s="1">
        <f>SUM(OSRRefH22_2x_0)</f>
        <v>200</v>
      </c>
      <c r="I70" s="1"/>
      <c r="J70" s="5">
        <f t="shared" ref="J70:J80" si="29">IF(H$12=0,0,H70/H$12)</f>
        <v>1.5197106470927935E-3</v>
      </c>
      <c r="K70" s="1"/>
      <c r="L70" s="1">
        <f t="shared" ref="L70:L80" si="30">+D70-H70</f>
        <v>-200</v>
      </c>
      <c r="M70" s="1"/>
      <c r="N70" s="5">
        <f t="shared" ref="N70:N80" si="31">IF(H70=0,0,L70/H70)</f>
        <v>-1</v>
      </c>
      <c r="O70" s="14"/>
      <c r="P70" s="1">
        <f>SUM(OSRRefP22_2x_0)</f>
        <v>248.88</v>
      </c>
      <c r="Q70" s="1"/>
      <c r="R70" s="5">
        <f t="shared" ref="R70:R80" si="32">IF(P$12=0,0,P70/P$12)</f>
        <v>2.1906107174995623E-4</v>
      </c>
      <c r="S70" s="1"/>
      <c r="T70" s="1">
        <f>SUM(OSRRefT22_2x_0)</f>
        <v>800</v>
      </c>
      <c r="U70" s="1"/>
      <c r="V70" s="5">
        <f t="shared" ref="V70:V80" si="33">IF(T$12=0,0,T70/T$12)</f>
        <v>6.641401667821994E-4</v>
      </c>
      <c r="W70" s="1"/>
      <c r="X70" s="1">
        <f t="shared" ref="X70:X80" si="34">+P70-T70</f>
        <v>-551.12</v>
      </c>
      <c r="Y70" s="1"/>
      <c r="Z70" s="5">
        <f t="shared" ref="Z70:Z80" si="35">IF(T70=0,0,X70/T70)</f>
        <v>-0.68889999999999996</v>
      </c>
    </row>
    <row r="71" spans="1:26" s="24" customFormat="1" hidden="1" outlineLevel="2" x14ac:dyDescent="0.25">
      <c r="A71" s="28"/>
      <c r="B71" s="11" t="str">
        <f>CONCATENATE("          ", "6362", " - ", "ADVERTISING EXPENSE")</f>
        <v xml:space="preserve">          6362 - ADVERTISING EXPENSE</v>
      </c>
      <c r="C71" s="11"/>
      <c r="D71" s="7"/>
      <c r="E71" s="2"/>
      <c r="F71" s="6">
        <f t="shared" si="28"/>
        <v>0</v>
      </c>
      <c r="G71" s="2"/>
      <c r="H71" s="7">
        <v>200</v>
      </c>
      <c r="I71" s="2"/>
      <c r="J71" s="6">
        <f t="shared" si="29"/>
        <v>1.5197106470927935E-3</v>
      </c>
      <c r="K71" s="2"/>
      <c r="L71" s="7">
        <f t="shared" si="30"/>
        <v>-200</v>
      </c>
      <c r="M71" s="2"/>
      <c r="N71" s="6">
        <f t="shared" si="31"/>
        <v>-1</v>
      </c>
      <c r="O71" s="11"/>
      <c r="P71" s="7">
        <v>248.88</v>
      </c>
      <c r="Q71" s="2"/>
      <c r="R71" s="6">
        <f t="shared" si="32"/>
        <v>2.1906107174995623E-4</v>
      </c>
      <c r="S71" s="2"/>
      <c r="T71" s="7">
        <v>800</v>
      </c>
      <c r="U71" s="2"/>
      <c r="V71" s="6">
        <f t="shared" si="33"/>
        <v>6.641401667821994E-4</v>
      </c>
      <c r="W71" s="2"/>
      <c r="X71" s="7">
        <f t="shared" si="34"/>
        <v>-551.12</v>
      </c>
      <c r="Y71" s="2"/>
      <c r="Z71" s="6">
        <f t="shared" si="35"/>
        <v>-0.68889999999999996</v>
      </c>
    </row>
    <row r="72" spans="1:26" s="27" customFormat="1" outlineLevel="1" collapsed="1" x14ac:dyDescent="0.25">
      <c r="A72" s="29"/>
      <c r="B72" s="14" t="str">
        <f>CONCATENATE("     ","Depreciation                                      ")</f>
        <v xml:space="preserve">     Depreciation                                      </v>
      </c>
      <c r="C72" s="14"/>
      <c r="D72" s="1">
        <f>SUM(OSRRefD22_3x_0)</f>
        <v>280.44</v>
      </c>
      <c r="E72" s="1"/>
      <c r="F72" s="5">
        <f t="shared" si="28"/>
        <v>1.6225711191135217E-3</v>
      </c>
      <c r="G72" s="1"/>
      <c r="H72" s="1">
        <f>SUM(OSRRefH22_3x_0)</f>
        <v>300</v>
      </c>
      <c r="I72" s="1"/>
      <c r="J72" s="5">
        <f t="shared" si="29"/>
        <v>2.2795659706391904E-3</v>
      </c>
      <c r="K72" s="1"/>
      <c r="L72" s="1">
        <f t="shared" si="30"/>
        <v>-19.560000000000002</v>
      </c>
      <c r="M72" s="1"/>
      <c r="N72" s="5">
        <f t="shared" si="31"/>
        <v>-6.5200000000000008E-2</v>
      </c>
      <c r="O72" s="14"/>
      <c r="P72" s="1">
        <f>SUM(OSRRefP22_3x_0)</f>
        <v>1121.76</v>
      </c>
      <c r="Q72" s="1"/>
      <c r="R72" s="5">
        <f t="shared" si="32"/>
        <v>9.8735916042362137E-4</v>
      </c>
      <c r="S72" s="1"/>
      <c r="T72" s="1">
        <f>SUM(OSRRefT22_3x_0)</f>
        <v>1200</v>
      </c>
      <c r="U72" s="1"/>
      <c r="V72" s="5">
        <f t="shared" si="33"/>
        <v>9.9621025017329915E-4</v>
      </c>
      <c r="W72" s="1"/>
      <c r="X72" s="1">
        <f t="shared" si="34"/>
        <v>-78.240000000000009</v>
      </c>
      <c r="Y72" s="1"/>
      <c r="Z72" s="5">
        <f t="shared" si="35"/>
        <v>-6.5200000000000008E-2</v>
      </c>
    </row>
    <row r="73" spans="1:26" s="24" customFormat="1" hidden="1" outlineLevel="2" x14ac:dyDescent="0.25">
      <c r="A73" s="28"/>
      <c r="B73" s="11" t="str">
        <f>CONCATENATE("          ", "6322", " - ", "EQUIPMENT DEPRECIATION EXPENSE")</f>
        <v xml:space="preserve">          6322 - EQUIPMENT DEPRECIATION EXPENSE</v>
      </c>
      <c r="C73" s="11"/>
      <c r="D73" s="7">
        <v>280.44</v>
      </c>
      <c r="E73" s="2"/>
      <c r="F73" s="6">
        <f t="shared" si="28"/>
        <v>1.6225711191135217E-3</v>
      </c>
      <c r="G73" s="2"/>
      <c r="H73" s="7">
        <v>300</v>
      </c>
      <c r="I73" s="2"/>
      <c r="J73" s="6">
        <f t="shared" si="29"/>
        <v>2.2795659706391904E-3</v>
      </c>
      <c r="K73" s="2"/>
      <c r="L73" s="7">
        <f t="shared" si="30"/>
        <v>-19.560000000000002</v>
      </c>
      <c r="M73" s="2"/>
      <c r="N73" s="6">
        <f t="shared" si="31"/>
        <v>-6.5200000000000008E-2</v>
      </c>
      <c r="O73" s="11"/>
      <c r="P73" s="7">
        <v>1121.76</v>
      </c>
      <c r="Q73" s="2"/>
      <c r="R73" s="6">
        <f t="shared" si="32"/>
        <v>9.8735916042362137E-4</v>
      </c>
      <c r="S73" s="2"/>
      <c r="T73" s="7">
        <v>1200</v>
      </c>
      <c r="U73" s="2"/>
      <c r="V73" s="6">
        <f t="shared" si="33"/>
        <v>9.9621025017329915E-4</v>
      </c>
      <c r="W73" s="2"/>
      <c r="X73" s="7">
        <f t="shared" si="34"/>
        <v>-78.240000000000009</v>
      </c>
      <c r="Y73" s="2"/>
      <c r="Z73" s="6">
        <f t="shared" si="35"/>
        <v>-6.5200000000000008E-2</v>
      </c>
    </row>
    <row r="74" spans="1:26" s="27" customFormat="1" outlineLevel="1" collapsed="1" x14ac:dyDescent="0.25">
      <c r="A74" s="29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SUM(OSRRefD22_4x_0)</f>
        <v>0</v>
      </c>
      <c r="E74" s="1"/>
      <c r="F74" s="5">
        <f t="shared" si="28"/>
        <v>0</v>
      </c>
      <c r="G74" s="1"/>
      <c r="H74" s="1">
        <f>SUM(OSRRefH22_4x_0)</f>
        <v>2093</v>
      </c>
      <c r="I74" s="1"/>
      <c r="J74" s="5">
        <f t="shared" si="29"/>
        <v>1.5903771921826085E-2</v>
      </c>
      <c r="K74" s="1"/>
      <c r="L74" s="1">
        <f t="shared" si="30"/>
        <v>-2093</v>
      </c>
      <c r="M74" s="1"/>
      <c r="N74" s="5">
        <f t="shared" si="31"/>
        <v>-1</v>
      </c>
      <c r="O74" s="14"/>
      <c r="P74" s="1">
        <f>SUM(OSRRefP22_4x_0)</f>
        <v>0</v>
      </c>
      <c r="Q74" s="1"/>
      <c r="R74" s="5">
        <f t="shared" si="32"/>
        <v>0</v>
      </c>
      <c r="S74" s="1"/>
      <c r="T74" s="1">
        <f>SUM(OSRRefT22_4x_0)</f>
        <v>19159</v>
      </c>
      <c r="U74" s="1"/>
      <c r="V74" s="5">
        <f t="shared" si="33"/>
        <v>1.5905326819225199E-2</v>
      </c>
      <c r="W74" s="1"/>
      <c r="X74" s="1">
        <f t="shared" si="34"/>
        <v>-19159</v>
      </c>
      <c r="Y74" s="1"/>
      <c r="Z74" s="5">
        <f t="shared" si="35"/>
        <v>-1</v>
      </c>
    </row>
    <row r="75" spans="1:26" s="24" customFormat="1" hidden="1" outlineLevel="2" x14ac:dyDescent="0.25">
      <c r="A75" s="28"/>
      <c r="B75" s="11" t="str">
        <f>CONCATENATE("          ", "6382", " - ", "DISCOUNTS/MARK DOWNS")</f>
        <v xml:space="preserve">          6382 - DISCOUNTS/MARK DOWNS</v>
      </c>
      <c r="C75" s="11"/>
      <c r="D75" s="7"/>
      <c r="E75" s="2"/>
      <c r="F75" s="6">
        <f t="shared" si="28"/>
        <v>0</v>
      </c>
      <c r="G75" s="2"/>
      <c r="H75" s="7">
        <v>2093</v>
      </c>
      <c r="I75" s="2"/>
      <c r="J75" s="6">
        <f t="shared" si="29"/>
        <v>1.5903771921826085E-2</v>
      </c>
      <c r="K75" s="2"/>
      <c r="L75" s="7">
        <f t="shared" si="30"/>
        <v>-2093</v>
      </c>
      <c r="M75" s="2"/>
      <c r="N75" s="6">
        <f t="shared" si="31"/>
        <v>-1</v>
      </c>
      <c r="O75" s="11"/>
      <c r="P75" s="7"/>
      <c r="Q75" s="2"/>
      <c r="R75" s="6">
        <f t="shared" si="32"/>
        <v>0</v>
      </c>
      <c r="S75" s="2"/>
      <c r="T75" s="7">
        <v>19159</v>
      </c>
      <c r="U75" s="2"/>
      <c r="V75" s="6">
        <f t="shared" si="33"/>
        <v>1.5905326819225199E-2</v>
      </c>
      <c r="W75" s="2"/>
      <c r="X75" s="7">
        <f t="shared" si="34"/>
        <v>-19159</v>
      </c>
      <c r="Y75" s="2"/>
      <c r="Z75" s="6">
        <f t="shared" si="35"/>
        <v>-1</v>
      </c>
    </row>
    <row r="76" spans="1:26" s="27" customFormat="1" outlineLevel="1" collapsed="1" x14ac:dyDescent="0.25">
      <c r="A76" s="29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SUM(OSRRefD22_5x_0)</f>
        <v>0</v>
      </c>
      <c r="E76" s="1"/>
      <c r="F76" s="5">
        <f t="shared" si="28"/>
        <v>0</v>
      </c>
      <c r="G76" s="1"/>
      <c r="H76" s="1">
        <f>SUM(OSRRefH22_5x_0)</f>
        <v>20</v>
      </c>
      <c r="I76" s="1"/>
      <c r="J76" s="5">
        <f t="shared" si="29"/>
        <v>1.5197106470927934E-4</v>
      </c>
      <c r="K76" s="1"/>
      <c r="L76" s="1">
        <f t="shared" si="30"/>
        <v>-20</v>
      </c>
      <c r="M76" s="1"/>
      <c r="N76" s="5">
        <f t="shared" si="31"/>
        <v>-1</v>
      </c>
      <c r="O76" s="14"/>
      <c r="P76" s="1">
        <f>SUM(OSRRefP22_5x_0)</f>
        <v>0</v>
      </c>
      <c r="Q76" s="1"/>
      <c r="R76" s="5">
        <f t="shared" si="32"/>
        <v>0</v>
      </c>
      <c r="S76" s="1"/>
      <c r="T76" s="1">
        <f>SUM(OSRRefT22_5x_0)</f>
        <v>80</v>
      </c>
      <c r="U76" s="1"/>
      <c r="V76" s="5">
        <f t="shared" si="33"/>
        <v>6.641401667821994E-5</v>
      </c>
      <c r="W76" s="1"/>
      <c r="X76" s="1">
        <f t="shared" si="34"/>
        <v>-80</v>
      </c>
      <c r="Y76" s="1"/>
      <c r="Z76" s="5">
        <f t="shared" si="35"/>
        <v>-1</v>
      </c>
    </row>
    <row r="77" spans="1:26" s="24" customFormat="1" hidden="1" outlineLevel="2" x14ac:dyDescent="0.25">
      <c r="A77" s="28"/>
      <c r="B77" s="11" t="str">
        <f>CONCATENATE("          ", "6277", " - ", "EMPLOYEE APPRECIATION")</f>
        <v xml:space="preserve">          6277 - EMPLOYEE APPRECIATION</v>
      </c>
      <c r="C77" s="11"/>
      <c r="D77" s="7"/>
      <c r="E77" s="2"/>
      <c r="F77" s="6">
        <f t="shared" si="28"/>
        <v>0</v>
      </c>
      <c r="G77" s="2"/>
      <c r="H77" s="7">
        <v>20</v>
      </c>
      <c r="I77" s="2"/>
      <c r="J77" s="6">
        <f t="shared" si="29"/>
        <v>1.5197106470927934E-4</v>
      </c>
      <c r="K77" s="2"/>
      <c r="L77" s="7">
        <f t="shared" si="30"/>
        <v>-20</v>
      </c>
      <c r="M77" s="2"/>
      <c r="N77" s="6">
        <f t="shared" si="31"/>
        <v>-1</v>
      </c>
      <c r="O77" s="11"/>
      <c r="P77" s="7"/>
      <c r="Q77" s="2"/>
      <c r="R77" s="6">
        <f t="shared" si="32"/>
        <v>0</v>
      </c>
      <c r="S77" s="2"/>
      <c r="T77" s="7">
        <v>80</v>
      </c>
      <c r="U77" s="2"/>
      <c r="V77" s="6">
        <f t="shared" si="33"/>
        <v>6.641401667821994E-5</v>
      </c>
      <c r="W77" s="2"/>
      <c r="X77" s="7">
        <f t="shared" si="34"/>
        <v>-80</v>
      </c>
      <c r="Y77" s="2"/>
      <c r="Z77" s="6">
        <f t="shared" si="35"/>
        <v>-1</v>
      </c>
    </row>
    <row r="78" spans="1:26" s="27" customFormat="1" outlineLevel="1" collapsed="1" x14ac:dyDescent="0.25">
      <c r="A78" s="29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SUM(OSRRefD22_6x_0)</f>
        <v>273.20999999999998</v>
      </c>
      <c r="E78" s="1"/>
      <c r="F78" s="5">
        <f t="shared" si="28"/>
        <v>1.5807397498680831E-3</v>
      </c>
      <c r="G78" s="1"/>
      <c r="H78" s="1">
        <f>SUM(OSRRefH22_6x_0)</f>
        <v>15</v>
      </c>
      <c r="I78" s="1"/>
      <c r="J78" s="5">
        <f t="shared" si="29"/>
        <v>1.1397829853195951E-4</v>
      </c>
      <c r="K78" s="1"/>
      <c r="L78" s="1">
        <f t="shared" si="30"/>
        <v>258.20999999999998</v>
      </c>
      <c r="M78" s="1"/>
      <c r="N78" s="5">
        <f t="shared" si="31"/>
        <v>17.213999999999999</v>
      </c>
      <c r="O78" s="14"/>
      <c r="P78" s="1">
        <f>SUM(OSRRefP22_6x_0)</f>
        <v>550.47</v>
      </c>
      <c r="Q78" s="1"/>
      <c r="R78" s="5">
        <f t="shared" si="32"/>
        <v>4.8451682805447768E-4</v>
      </c>
      <c r="S78" s="1"/>
      <c r="T78" s="1">
        <f>SUM(OSRRefT22_6x_0)</f>
        <v>60</v>
      </c>
      <c r="U78" s="1"/>
      <c r="V78" s="5">
        <f t="shared" si="33"/>
        <v>4.9810512508664955E-5</v>
      </c>
      <c r="W78" s="1"/>
      <c r="X78" s="1">
        <f t="shared" si="34"/>
        <v>490.47</v>
      </c>
      <c r="Y78" s="1"/>
      <c r="Z78" s="5">
        <f t="shared" si="35"/>
        <v>8.1745000000000001</v>
      </c>
    </row>
    <row r="79" spans="1:26" s="24" customFormat="1" hidden="1" outlineLevel="2" x14ac:dyDescent="0.25">
      <c r="A79" s="28"/>
      <c r="B79" s="11" t="str">
        <f>CONCATENATE("          ", "6305", " - ", "FREIGHT OUT")</f>
        <v xml:space="preserve">          6305 - FREIGHT OUT</v>
      </c>
      <c r="C79" s="11"/>
      <c r="D79" s="7">
        <v>273.20999999999998</v>
      </c>
      <c r="E79" s="2"/>
      <c r="F79" s="6">
        <f t="shared" si="28"/>
        <v>1.5807397498680831E-3</v>
      </c>
      <c r="G79" s="2"/>
      <c r="H79" s="7">
        <v>15</v>
      </c>
      <c r="I79" s="2"/>
      <c r="J79" s="6">
        <f t="shared" si="29"/>
        <v>1.1397829853195951E-4</v>
      </c>
      <c r="K79" s="2"/>
      <c r="L79" s="7">
        <f t="shared" si="30"/>
        <v>258.20999999999998</v>
      </c>
      <c r="M79" s="2"/>
      <c r="N79" s="6">
        <f t="shared" si="31"/>
        <v>17.213999999999999</v>
      </c>
      <c r="O79" s="11"/>
      <c r="P79" s="7">
        <v>537.87</v>
      </c>
      <c r="Q79" s="2"/>
      <c r="R79" s="6">
        <f t="shared" si="32"/>
        <v>4.7342646521274896E-4</v>
      </c>
      <c r="S79" s="2"/>
      <c r="T79" s="7">
        <v>60</v>
      </c>
      <c r="U79" s="2"/>
      <c r="V79" s="6">
        <f t="shared" si="33"/>
        <v>4.9810512508664955E-5</v>
      </c>
      <c r="W79" s="2"/>
      <c r="X79" s="7">
        <f t="shared" si="34"/>
        <v>477.87</v>
      </c>
      <c r="Y79" s="2"/>
      <c r="Z79" s="6">
        <f t="shared" si="35"/>
        <v>7.9645000000000001</v>
      </c>
    </row>
    <row r="80" spans="1:26" s="24" customFormat="1" hidden="1" outlineLevel="2" x14ac:dyDescent="0.25">
      <c r="A80" s="28"/>
      <c r="B80" s="11" t="str">
        <f>CONCATENATE("          ", "6307", " - ", "POSTAGE")</f>
        <v xml:space="preserve">          6307 - POSTAGE</v>
      </c>
      <c r="C80" s="11"/>
      <c r="D80" s="7"/>
      <c r="E80" s="2"/>
      <c r="F80" s="6">
        <f t="shared" si="28"/>
        <v>0</v>
      </c>
      <c r="G80" s="2"/>
      <c r="H80" s="7"/>
      <c r="I80" s="2"/>
      <c r="J80" s="6">
        <f t="shared" si="29"/>
        <v>0</v>
      </c>
      <c r="K80" s="2"/>
      <c r="L80" s="7">
        <f t="shared" si="30"/>
        <v>0</v>
      </c>
      <c r="M80" s="2"/>
      <c r="N80" s="6">
        <f t="shared" si="31"/>
        <v>0</v>
      </c>
      <c r="O80" s="11"/>
      <c r="P80" s="7">
        <v>12.6</v>
      </c>
      <c r="Q80" s="2"/>
      <c r="R80" s="6">
        <f t="shared" si="32"/>
        <v>1.1090362841728738E-5</v>
      </c>
      <c r="S80" s="2"/>
      <c r="T80" s="7"/>
      <c r="U80" s="2"/>
      <c r="V80" s="6">
        <f t="shared" si="33"/>
        <v>0</v>
      </c>
      <c r="W80" s="2"/>
      <c r="X80" s="7">
        <f t="shared" si="34"/>
        <v>12.6</v>
      </c>
      <c r="Y80" s="2"/>
      <c r="Z80" s="6">
        <f t="shared" si="35"/>
        <v>0</v>
      </c>
    </row>
    <row r="81" spans="1:26" s="27" customFormat="1" outlineLevel="1" collapsed="1" x14ac:dyDescent="0.25">
      <c r="A81" s="29"/>
      <c r="B81" s="14" t="str">
        <f>CONCATENATE("     ","General                                           ")</f>
        <v xml:space="preserve">     General                                           </v>
      </c>
      <c r="C81" s="14"/>
      <c r="D81" s="1">
        <f>SUM(OSRRefD22_7x_0)</f>
        <v>0</v>
      </c>
      <c r="E81" s="1"/>
      <c r="F81" s="5">
        <f t="shared" ref="F81:F90" si="36">IF(D$12=0,0,D81/D$12)</f>
        <v>0</v>
      </c>
      <c r="G81" s="1"/>
      <c r="H81" s="1">
        <f>SUM(OSRRefH22_7x_0)</f>
        <v>30</v>
      </c>
      <c r="I81" s="1"/>
      <c r="J81" s="5">
        <f t="shared" ref="J81:J90" si="37">IF(H$12=0,0,H81/H$12)</f>
        <v>2.2795659706391903E-4</v>
      </c>
      <c r="K81" s="1"/>
      <c r="L81" s="1">
        <f t="shared" ref="L81:L90" si="38">+D81-H81</f>
        <v>-30</v>
      </c>
      <c r="M81" s="1"/>
      <c r="N81" s="5">
        <f t="shared" ref="N81:N90" si="39">IF(H81=0,0,L81/H81)</f>
        <v>-1</v>
      </c>
      <c r="O81" s="14"/>
      <c r="P81" s="1">
        <f>SUM(OSRRefP22_7x_0)</f>
        <v>-30.15</v>
      </c>
      <c r="Q81" s="1"/>
      <c r="R81" s="5">
        <f t="shared" ref="R81:R90" si="40">IF(P$12=0,0,P81/P$12)</f>
        <v>-2.6537653942708053E-5</v>
      </c>
      <c r="S81" s="1"/>
      <c r="T81" s="1">
        <f>SUM(OSRRefT22_7x_0)</f>
        <v>120</v>
      </c>
      <c r="U81" s="1"/>
      <c r="V81" s="5">
        <f t="shared" ref="V81:V90" si="41">IF(T$12=0,0,T81/T$12)</f>
        <v>9.962102501732991E-5</v>
      </c>
      <c r="W81" s="1"/>
      <c r="X81" s="1">
        <f t="shared" ref="X81:X90" si="42">+P81-T81</f>
        <v>-150.15</v>
      </c>
      <c r="Y81" s="1"/>
      <c r="Z81" s="5">
        <f t="shared" ref="Z81:Z90" si="43">IF(T81=0,0,X81/T81)</f>
        <v>-1.25125</v>
      </c>
    </row>
    <row r="82" spans="1:26" s="24" customFormat="1" hidden="1" outlineLevel="2" x14ac:dyDescent="0.25">
      <c r="A82" s="28"/>
      <c r="B82" s="11" t="str">
        <f>CONCATENATE("          ", "6279", " - ", "GENERAL EXPENSE")</f>
        <v xml:space="preserve">          6279 - GENERAL EXPENSE</v>
      </c>
      <c r="C82" s="11"/>
      <c r="D82" s="7"/>
      <c r="E82" s="2"/>
      <c r="F82" s="6">
        <f t="shared" si="36"/>
        <v>0</v>
      </c>
      <c r="G82" s="2"/>
      <c r="H82" s="7">
        <v>30</v>
      </c>
      <c r="I82" s="2"/>
      <c r="J82" s="6">
        <f t="shared" si="37"/>
        <v>2.2795659706391903E-4</v>
      </c>
      <c r="K82" s="2"/>
      <c r="L82" s="7">
        <f t="shared" si="38"/>
        <v>-30</v>
      </c>
      <c r="M82" s="2"/>
      <c r="N82" s="6">
        <f t="shared" si="39"/>
        <v>-1</v>
      </c>
      <c r="O82" s="11"/>
      <c r="P82" s="7">
        <v>-30.15</v>
      </c>
      <c r="Q82" s="2"/>
      <c r="R82" s="6">
        <f t="shared" si="40"/>
        <v>-2.6537653942708053E-5</v>
      </c>
      <c r="S82" s="2"/>
      <c r="T82" s="7">
        <v>120</v>
      </c>
      <c r="U82" s="2"/>
      <c r="V82" s="6">
        <f t="shared" si="41"/>
        <v>9.962102501732991E-5</v>
      </c>
      <c r="W82" s="2"/>
      <c r="X82" s="7">
        <f t="shared" si="42"/>
        <v>-150.15</v>
      </c>
      <c r="Y82" s="2"/>
      <c r="Z82" s="6">
        <f t="shared" si="43"/>
        <v>-1.25125</v>
      </c>
    </row>
    <row r="83" spans="1:26" s="27" customFormat="1" outlineLevel="1" collapsed="1" x14ac:dyDescent="0.25">
      <c r="A83" s="29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SUM(OSRRefD22_8x_0)</f>
        <v>1250</v>
      </c>
      <c r="E83" s="1"/>
      <c r="F83" s="5">
        <f t="shared" si="36"/>
        <v>7.2322560936096923E-3</v>
      </c>
      <c r="G83" s="1"/>
      <c r="H83" s="1">
        <f>SUM(OSRRefH22_8x_0)</f>
        <v>1250</v>
      </c>
      <c r="I83" s="1"/>
      <c r="J83" s="5">
        <f t="shared" si="37"/>
        <v>9.4981915443299592E-3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SUM(OSRRefP22_8x_0)</f>
        <v>5000</v>
      </c>
      <c r="Q83" s="1"/>
      <c r="R83" s="5">
        <f t="shared" si="40"/>
        <v>4.4009376356066426E-3</v>
      </c>
      <c r="S83" s="1"/>
      <c r="T83" s="1">
        <f>SUM(OSRRefT22_8x_0)</f>
        <v>5000</v>
      </c>
      <c r="U83" s="1"/>
      <c r="V83" s="5">
        <f t="shared" si="41"/>
        <v>4.1508760423887466E-3</v>
      </c>
      <c r="W83" s="1"/>
      <c r="X83" s="1">
        <f t="shared" si="42"/>
        <v>0</v>
      </c>
      <c r="Y83" s="1"/>
      <c r="Z83" s="5">
        <f t="shared" si="43"/>
        <v>0</v>
      </c>
    </row>
    <row r="84" spans="1:26" s="24" customFormat="1" hidden="1" outlineLevel="2" x14ac:dyDescent="0.25">
      <c r="A84" s="28"/>
      <c r="B84" s="11" t="str">
        <f>CONCATENATE("          ", "6408", " - ", "INVENTORY ADJUSTMENT")</f>
        <v xml:space="preserve">          6408 - INVENTORY ADJUSTMENT</v>
      </c>
      <c r="C84" s="11"/>
      <c r="D84" s="7">
        <v>1250</v>
      </c>
      <c r="E84" s="2"/>
      <c r="F84" s="6">
        <f t="shared" si="36"/>
        <v>7.2322560936096923E-3</v>
      </c>
      <c r="G84" s="2"/>
      <c r="H84" s="7">
        <v>1250</v>
      </c>
      <c r="I84" s="2"/>
      <c r="J84" s="6">
        <f t="shared" si="37"/>
        <v>9.4981915443299592E-3</v>
      </c>
      <c r="K84" s="2"/>
      <c r="L84" s="7">
        <f t="shared" si="38"/>
        <v>0</v>
      </c>
      <c r="M84" s="2"/>
      <c r="N84" s="6">
        <f t="shared" si="39"/>
        <v>0</v>
      </c>
      <c r="O84" s="11"/>
      <c r="P84" s="7">
        <v>5000</v>
      </c>
      <c r="Q84" s="2"/>
      <c r="R84" s="6">
        <f t="shared" si="40"/>
        <v>4.4009376356066426E-3</v>
      </c>
      <c r="S84" s="2"/>
      <c r="T84" s="7">
        <v>5000</v>
      </c>
      <c r="U84" s="2"/>
      <c r="V84" s="6">
        <f t="shared" si="41"/>
        <v>4.1508760423887466E-3</v>
      </c>
      <c r="W84" s="2"/>
      <c r="X84" s="7">
        <f t="shared" si="42"/>
        <v>0</v>
      </c>
      <c r="Y84" s="2"/>
      <c r="Z84" s="6">
        <f t="shared" si="43"/>
        <v>0</v>
      </c>
    </row>
    <row r="85" spans="1:26" s="27" customFormat="1" outlineLevel="1" collapsed="1" x14ac:dyDescent="0.25">
      <c r="A85" s="29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SUM(OSRRefD22_9x_0)</f>
        <v>0</v>
      </c>
      <c r="E85" s="1"/>
      <c r="F85" s="5">
        <f t="shared" si="36"/>
        <v>0</v>
      </c>
      <c r="G85" s="1"/>
      <c r="H85" s="1">
        <f>SUM(OSRRefH22_9x_0)</f>
        <v>20</v>
      </c>
      <c r="I85" s="1"/>
      <c r="J85" s="5">
        <f t="shared" si="37"/>
        <v>1.5197106470927934E-4</v>
      </c>
      <c r="K85" s="1"/>
      <c r="L85" s="1">
        <f t="shared" si="38"/>
        <v>-20</v>
      </c>
      <c r="M85" s="1"/>
      <c r="N85" s="5">
        <f t="shared" si="39"/>
        <v>-1</v>
      </c>
      <c r="O85" s="14"/>
      <c r="P85" s="1">
        <f>SUM(OSRRefP22_9x_0)</f>
        <v>0</v>
      </c>
      <c r="Q85" s="1"/>
      <c r="R85" s="5">
        <f t="shared" si="40"/>
        <v>0</v>
      </c>
      <c r="S85" s="1"/>
      <c r="T85" s="1">
        <f>SUM(OSRRefT22_9x_0)</f>
        <v>85</v>
      </c>
      <c r="U85" s="1"/>
      <c r="V85" s="5">
        <f t="shared" si="41"/>
        <v>7.0564892720608683E-5</v>
      </c>
      <c r="W85" s="1"/>
      <c r="X85" s="1">
        <f t="shared" si="42"/>
        <v>-85</v>
      </c>
      <c r="Y85" s="1"/>
      <c r="Z85" s="5">
        <f t="shared" si="43"/>
        <v>-1</v>
      </c>
    </row>
    <row r="86" spans="1:26" s="24" customFormat="1" hidden="1" outlineLevel="2" x14ac:dyDescent="0.25">
      <c r="A86" s="28"/>
      <c r="B86" s="11" t="str">
        <f>CONCATENATE("          ", "6375", " - ", "OUTSIDE REPAIRS &amp; MAINTENANCE")</f>
        <v xml:space="preserve">          6375 - OUTSIDE REPAIRS &amp; MAINTENANCE</v>
      </c>
      <c r="C86" s="11"/>
      <c r="D86" s="7"/>
      <c r="E86" s="2"/>
      <c r="F86" s="6">
        <f t="shared" si="36"/>
        <v>0</v>
      </c>
      <c r="G86" s="2"/>
      <c r="H86" s="7">
        <v>20</v>
      </c>
      <c r="I86" s="2"/>
      <c r="J86" s="6">
        <f t="shared" si="37"/>
        <v>1.5197106470927934E-4</v>
      </c>
      <c r="K86" s="2"/>
      <c r="L86" s="7">
        <f t="shared" si="38"/>
        <v>-20</v>
      </c>
      <c r="M86" s="2"/>
      <c r="N86" s="6">
        <f t="shared" si="39"/>
        <v>-1</v>
      </c>
      <c r="O86" s="11"/>
      <c r="P86" s="7"/>
      <c r="Q86" s="2"/>
      <c r="R86" s="6">
        <f t="shared" si="40"/>
        <v>0</v>
      </c>
      <c r="S86" s="2"/>
      <c r="T86" s="7">
        <v>85</v>
      </c>
      <c r="U86" s="2"/>
      <c r="V86" s="6">
        <f t="shared" si="41"/>
        <v>7.0564892720608683E-5</v>
      </c>
      <c r="W86" s="2"/>
      <c r="X86" s="7">
        <f t="shared" si="42"/>
        <v>-85</v>
      </c>
      <c r="Y86" s="2"/>
      <c r="Z86" s="6">
        <f t="shared" si="43"/>
        <v>-1</v>
      </c>
    </row>
    <row r="87" spans="1:26" s="27" customFormat="1" outlineLevel="1" collapsed="1" x14ac:dyDescent="0.25">
      <c r="A87" s="29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SUM(OSRRefD22_10x_0)</f>
        <v>29.59</v>
      </c>
      <c r="E87" s="1"/>
      <c r="F87" s="5">
        <f t="shared" si="36"/>
        <v>1.7120196624792862E-4</v>
      </c>
      <c r="G87" s="1"/>
      <c r="H87" s="1">
        <f>SUM(OSRRefH22_10x_0)</f>
        <v>310</v>
      </c>
      <c r="I87" s="1"/>
      <c r="J87" s="5">
        <f t="shared" si="37"/>
        <v>2.3555515029938302E-3</v>
      </c>
      <c r="K87" s="1"/>
      <c r="L87" s="1">
        <f t="shared" si="38"/>
        <v>-280.41000000000003</v>
      </c>
      <c r="M87" s="1"/>
      <c r="N87" s="5">
        <f t="shared" si="39"/>
        <v>-0.90454838709677432</v>
      </c>
      <c r="O87" s="14"/>
      <c r="P87" s="1">
        <f>SUM(OSRRefP22_10x_0)</f>
        <v>1524.5</v>
      </c>
      <c r="Q87" s="1"/>
      <c r="R87" s="5">
        <f t="shared" si="40"/>
        <v>1.3418458850964652E-3</v>
      </c>
      <c r="S87" s="1"/>
      <c r="T87" s="1">
        <f>SUM(OSRRefT22_10x_0)</f>
        <v>1240</v>
      </c>
      <c r="U87" s="1"/>
      <c r="V87" s="5">
        <f t="shared" si="41"/>
        <v>1.0294172585124091E-3</v>
      </c>
      <c r="W87" s="1"/>
      <c r="X87" s="1">
        <f t="shared" si="42"/>
        <v>284.5</v>
      </c>
      <c r="Y87" s="1"/>
      <c r="Z87" s="5">
        <f t="shared" si="43"/>
        <v>0.22943548387096774</v>
      </c>
    </row>
    <row r="88" spans="1:26" s="24" customFormat="1" hidden="1" outlineLevel="2" x14ac:dyDescent="0.25">
      <c r="A88" s="28"/>
      <c r="B88" s="11" t="str">
        <f>CONCATENATE("          ", "6235", " - ", "COVID-19 EXPENSES")</f>
        <v xml:space="preserve">          6235 - COVID-19 EXPENSES</v>
      </c>
      <c r="C88" s="11"/>
      <c r="D88" s="7"/>
      <c r="E88" s="2"/>
      <c r="F88" s="6">
        <f t="shared" si="36"/>
        <v>0</v>
      </c>
      <c r="G88" s="2"/>
      <c r="H88" s="7"/>
      <c r="I88" s="2"/>
      <c r="J88" s="6">
        <f t="shared" si="37"/>
        <v>0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>
        <v>668.12</v>
      </c>
      <c r="Q88" s="2"/>
      <c r="R88" s="6">
        <f t="shared" si="40"/>
        <v>5.8807089062030201E-4</v>
      </c>
      <c r="S88" s="2"/>
      <c r="T88" s="7"/>
      <c r="U88" s="2"/>
      <c r="V88" s="6">
        <f t="shared" si="41"/>
        <v>0</v>
      </c>
      <c r="W88" s="2"/>
      <c r="X88" s="7">
        <f t="shared" si="42"/>
        <v>668.12</v>
      </c>
      <c r="Y88" s="2"/>
      <c r="Z88" s="6">
        <f t="shared" si="43"/>
        <v>0</v>
      </c>
    </row>
    <row r="89" spans="1:26" s="24" customFormat="1" hidden="1" outlineLevel="2" x14ac:dyDescent="0.25">
      <c r="A89" s="28"/>
      <c r="B89" s="11" t="str">
        <f>CONCATENATE("          ", "6241", " - ", "OFFICE EXPENSE")</f>
        <v xml:space="preserve">          6241 - OFFICE EXPENSE</v>
      </c>
      <c r="C89" s="11"/>
      <c r="D89" s="7">
        <v>29.59</v>
      </c>
      <c r="E89" s="2"/>
      <c r="F89" s="6">
        <f t="shared" si="36"/>
        <v>1.7120196624792862E-4</v>
      </c>
      <c r="G89" s="2"/>
      <c r="H89" s="7">
        <v>110</v>
      </c>
      <c r="I89" s="2"/>
      <c r="J89" s="6">
        <f t="shared" si="37"/>
        <v>8.3584085590103648E-4</v>
      </c>
      <c r="K89" s="2"/>
      <c r="L89" s="7">
        <f t="shared" si="38"/>
        <v>-80.41</v>
      </c>
      <c r="M89" s="2"/>
      <c r="N89" s="6">
        <f t="shared" si="39"/>
        <v>-0.73099999999999998</v>
      </c>
      <c r="O89" s="11"/>
      <c r="P89" s="7">
        <v>856.38</v>
      </c>
      <c r="Q89" s="2"/>
      <c r="R89" s="6">
        <f t="shared" si="40"/>
        <v>7.5377499447616323E-4</v>
      </c>
      <c r="S89" s="2"/>
      <c r="T89" s="7">
        <v>440</v>
      </c>
      <c r="U89" s="2"/>
      <c r="V89" s="6">
        <f t="shared" si="41"/>
        <v>3.6527709173020964E-4</v>
      </c>
      <c r="W89" s="2"/>
      <c r="X89" s="7">
        <f t="shared" si="42"/>
        <v>416.38</v>
      </c>
      <c r="Y89" s="2"/>
      <c r="Z89" s="6">
        <f t="shared" si="43"/>
        <v>0.94631818181818184</v>
      </c>
    </row>
    <row r="90" spans="1:26" s="24" customFormat="1" hidden="1" outlineLevel="2" x14ac:dyDescent="0.25">
      <c r="A90" s="28"/>
      <c r="B90" s="11" t="str">
        <f>CONCATENATE("          ", "6247", " - ", "STORE SUPPLIES")</f>
        <v xml:space="preserve">          6247 - STORE SUPPLIES</v>
      </c>
      <c r="C90" s="11"/>
      <c r="D90" s="7"/>
      <c r="E90" s="2"/>
      <c r="F90" s="6">
        <f t="shared" si="36"/>
        <v>0</v>
      </c>
      <c r="G90" s="2"/>
      <c r="H90" s="7">
        <v>200</v>
      </c>
      <c r="I90" s="2"/>
      <c r="J90" s="6">
        <f t="shared" si="37"/>
        <v>1.5197106470927935E-3</v>
      </c>
      <c r="K90" s="2"/>
      <c r="L90" s="7">
        <f t="shared" si="38"/>
        <v>-200</v>
      </c>
      <c r="M90" s="2"/>
      <c r="N90" s="6">
        <f t="shared" si="39"/>
        <v>-1</v>
      </c>
      <c r="O90" s="11"/>
      <c r="P90" s="7"/>
      <c r="Q90" s="2"/>
      <c r="R90" s="6">
        <f t="shared" si="40"/>
        <v>0</v>
      </c>
      <c r="S90" s="2"/>
      <c r="T90" s="7">
        <v>800</v>
      </c>
      <c r="U90" s="2"/>
      <c r="V90" s="6">
        <f t="shared" si="41"/>
        <v>6.641401667821994E-4</v>
      </c>
      <c r="W90" s="2"/>
      <c r="X90" s="7">
        <f t="shared" si="42"/>
        <v>-800</v>
      </c>
      <c r="Y90" s="2"/>
      <c r="Z90" s="6">
        <f t="shared" si="43"/>
        <v>-1</v>
      </c>
    </row>
    <row r="91" spans="1:26" s="27" customFormat="1" outlineLevel="1" collapsed="1" x14ac:dyDescent="0.25">
      <c r="A91" s="29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SUM(OSRRefD22_11x_0)</f>
        <v>354.3</v>
      </c>
      <c r="E91" s="1"/>
      <c r="F91" s="5">
        <f t="shared" ref="F91:F94" si="44">IF(D$12=0,0,D91/D$12)</f>
        <v>2.0499106671727314E-3</v>
      </c>
      <c r="G91" s="1"/>
      <c r="H91" s="1">
        <f>SUM(OSRRefH22_11x_0)</f>
        <v>250</v>
      </c>
      <c r="I91" s="1"/>
      <c r="J91" s="5">
        <f t="shared" ref="J91:J94" si="45">IF(H$12=0,0,H91/H$12)</f>
        <v>1.899638308865992E-3</v>
      </c>
      <c r="K91" s="1"/>
      <c r="L91" s="1">
        <f t="shared" ref="L91:L94" si="46">+D91-H91</f>
        <v>104.30000000000001</v>
      </c>
      <c r="M91" s="1"/>
      <c r="N91" s="5">
        <f t="shared" ref="N91:N94" si="47">IF(H91=0,0,L91/H91)</f>
        <v>0.41720000000000007</v>
      </c>
      <c r="O91" s="14"/>
      <c r="P91" s="1">
        <f>SUM(OSRRefP22_11x_0)</f>
        <v>1265.8499999999999</v>
      </c>
      <c r="Q91" s="1"/>
      <c r="R91" s="5">
        <f t="shared" ref="R91:R94" si="48">IF(P$12=0,0,P91/P$12)</f>
        <v>1.1141853812065335E-3</v>
      </c>
      <c r="S91" s="1"/>
      <c r="T91" s="1">
        <f>SUM(OSRRefT22_11x_0)</f>
        <v>1010</v>
      </c>
      <c r="U91" s="1"/>
      <c r="V91" s="5">
        <f t="shared" ref="V91:V94" si="49">IF(T$12=0,0,T91/T$12)</f>
        <v>8.3847696056252676E-4</v>
      </c>
      <c r="W91" s="1"/>
      <c r="X91" s="1">
        <f t="shared" ref="X91:X94" si="50">+P91-T91</f>
        <v>255.84999999999991</v>
      </c>
      <c r="Y91" s="1"/>
      <c r="Z91" s="5">
        <f t="shared" ref="Z91:Z94" si="51">IF(T91=0,0,X91/T91)</f>
        <v>0.25331683168316821</v>
      </c>
    </row>
    <row r="92" spans="1:26" s="24" customFormat="1" hidden="1" outlineLevel="2" x14ac:dyDescent="0.25">
      <c r="A92" s="28"/>
      <c r="B92" s="11" t="str">
        <f>CONCATENATE("          ", "6309", " - ", "TELEPHONE")</f>
        <v xml:space="preserve">          6309 - TELEPHONE</v>
      </c>
      <c r="C92" s="11"/>
      <c r="D92" s="7">
        <v>354.3</v>
      </c>
      <c r="E92" s="2"/>
      <c r="F92" s="6">
        <f t="shared" si="44"/>
        <v>2.0499106671727314E-3</v>
      </c>
      <c r="G92" s="2"/>
      <c r="H92" s="7">
        <v>250</v>
      </c>
      <c r="I92" s="2"/>
      <c r="J92" s="6">
        <f t="shared" si="45"/>
        <v>1.899638308865992E-3</v>
      </c>
      <c r="K92" s="2"/>
      <c r="L92" s="7">
        <f t="shared" si="46"/>
        <v>104.30000000000001</v>
      </c>
      <c r="M92" s="2"/>
      <c r="N92" s="6">
        <f t="shared" si="47"/>
        <v>0.41720000000000007</v>
      </c>
      <c r="O92" s="11"/>
      <c r="P92" s="7">
        <v>1265.8499999999999</v>
      </c>
      <c r="Q92" s="2"/>
      <c r="R92" s="6">
        <f t="shared" si="48"/>
        <v>1.1141853812065335E-3</v>
      </c>
      <c r="S92" s="2"/>
      <c r="T92" s="7">
        <v>1010</v>
      </c>
      <c r="U92" s="2"/>
      <c r="V92" s="6">
        <f t="shared" si="49"/>
        <v>8.3847696056252676E-4</v>
      </c>
      <c r="W92" s="2"/>
      <c r="X92" s="7">
        <f t="shared" si="50"/>
        <v>255.84999999999991</v>
      </c>
      <c r="Y92" s="2"/>
      <c r="Z92" s="6">
        <f t="shared" si="51"/>
        <v>0.25331683168316821</v>
      </c>
    </row>
    <row r="93" spans="1:26" s="27" customFormat="1" outlineLevel="1" collapsed="1" x14ac:dyDescent="0.25">
      <c r="A93" s="29"/>
      <c r="B93" s="14" t="str">
        <f>CONCATENATE("     ","Training                                          ")</f>
        <v xml:space="preserve">     Training                                          </v>
      </c>
      <c r="C93" s="14"/>
      <c r="D93" s="1">
        <f>SUM(OSRRefD22_12x_0)</f>
        <v>100</v>
      </c>
      <c r="E93" s="1"/>
      <c r="F93" s="5">
        <f t="shared" si="44"/>
        <v>5.7858048748877535E-4</v>
      </c>
      <c r="G93" s="1"/>
      <c r="H93" s="1">
        <f>SUM(OSRRefH22_12x_0)</f>
        <v>0</v>
      </c>
      <c r="I93" s="1"/>
      <c r="J93" s="5">
        <f t="shared" si="45"/>
        <v>0</v>
      </c>
      <c r="K93" s="1"/>
      <c r="L93" s="1">
        <f t="shared" si="46"/>
        <v>100</v>
      </c>
      <c r="M93" s="1"/>
      <c r="N93" s="5">
        <f t="shared" si="47"/>
        <v>0</v>
      </c>
      <c r="O93" s="14"/>
      <c r="P93" s="1">
        <f>SUM(OSRRefP22_12x_0)</f>
        <v>100</v>
      </c>
      <c r="Q93" s="1"/>
      <c r="R93" s="5">
        <f t="shared" si="48"/>
        <v>8.8018752712132841E-5</v>
      </c>
      <c r="S93" s="1"/>
      <c r="T93" s="1">
        <f>SUM(OSRRefT22_12x_0)</f>
        <v>0</v>
      </c>
      <c r="U93" s="1"/>
      <c r="V93" s="5">
        <f t="shared" si="49"/>
        <v>0</v>
      </c>
      <c r="W93" s="1"/>
      <c r="X93" s="1">
        <f t="shared" si="50"/>
        <v>100</v>
      </c>
      <c r="Y93" s="1"/>
      <c r="Z93" s="5">
        <f t="shared" si="51"/>
        <v>0</v>
      </c>
    </row>
    <row r="94" spans="1:26" s="24" customFormat="1" hidden="1" outlineLevel="2" x14ac:dyDescent="0.25">
      <c r="A94" s="28"/>
      <c r="B94" s="11" t="str">
        <f>CONCATENATE("          ", "6376", " - ", "TRAINING")</f>
        <v xml:space="preserve">          6376 - TRAINING</v>
      </c>
      <c r="C94" s="11"/>
      <c r="D94" s="7">
        <v>100</v>
      </c>
      <c r="E94" s="2"/>
      <c r="F94" s="6">
        <f t="shared" si="44"/>
        <v>5.7858048748877535E-4</v>
      </c>
      <c r="G94" s="2"/>
      <c r="H94" s="7"/>
      <c r="I94" s="2"/>
      <c r="J94" s="6">
        <f t="shared" si="45"/>
        <v>0</v>
      </c>
      <c r="K94" s="2"/>
      <c r="L94" s="7">
        <f t="shared" si="46"/>
        <v>100</v>
      </c>
      <c r="M94" s="2"/>
      <c r="N94" s="6">
        <f t="shared" si="47"/>
        <v>0</v>
      </c>
      <c r="O94" s="11"/>
      <c r="P94" s="7">
        <v>100</v>
      </c>
      <c r="Q94" s="2"/>
      <c r="R94" s="6">
        <f t="shared" si="48"/>
        <v>8.8018752712132841E-5</v>
      </c>
      <c r="S94" s="2"/>
      <c r="T94" s="7"/>
      <c r="U94" s="2"/>
      <c r="V94" s="6">
        <f t="shared" si="49"/>
        <v>0</v>
      </c>
      <c r="W94" s="2"/>
      <c r="X94" s="7">
        <f t="shared" si="50"/>
        <v>100</v>
      </c>
      <c r="Y94" s="2"/>
      <c r="Z94" s="6">
        <f t="shared" si="51"/>
        <v>0</v>
      </c>
    </row>
    <row r="95" spans="1:26" s="63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5" t="s">
        <v>0</v>
      </c>
      <c r="C96" s="10"/>
      <c r="D96" s="4">
        <f>SUM(OSRRefD25x_0)</f>
        <v>1355.96</v>
      </c>
      <c r="E96" s="4"/>
      <c r="F96" s="12">
        <f t="shared" ref="F96:F98" si="52">IF(D$12=0,0,D96/D$12)</f>
        <v>7.8453199781527982E-3</v>
      </c>
      <c r="G96" s="4"/>
      <c r="H96" s="4">
        <f>SUM(OSRRefH25x_0)</f>
        <v>1047</v>
      </c>
      <c r="I96" s="4"/>
      <c r="J96" s="12">
        <f t="shared" ref="J96:J98" si="53">IF(H$12=0,0,H96/H$12)</f>
        <v>7.9556852375307734E-3</v>
      </c>
      <c r="K96" s="4"/>
      <c r="L96" s="4">
        <f t="shared" ref="L96:L98" si="54">+D96-H96</f>
        <v>308.96000000000004</v>
      </c>
      <c r="M96" s="4"/>
      <c r="N96" s="12">
        <f t="shared" ref="N96:N98" si="55">IF(H96=0,0,L96/H96)</f>
        <v>0.29509073543457504</v>
      </c>
      <c r="O96" s="10"/>
      <c r="P96" s="4">
        <f>SUM(OSRRefP25x_0)</f>
        <v>1123.24</v>
      </c>
      <c r="Q96" s="4"/>
      <c r="R96" s="12">
        <f t="shared" ref="R96:R98" si="56">IF(P$12=0,0,P96/P$12)</f>
        <v>9.8866183796376093E-4</v>
      </c>
      <c r="S96" s="4"/>
      <c r="T96" s="4">
        <f>SUM(OSRRefT25x_0)</f>
        <v>9580</v>
      </c>
      <c r="U96" s="4"/>
      <c r="V96" s="12">
        <f t="shared" ref="V96:V98" si="57">IF(T$12=0,0,T96/T$12)</f>
        <v>7.9530784972168377E-3</v>
      </c>
      <c r="W96" s="4"/>
      <c r="X96" s="4">
        <f t="shared" ref="X96:X98" si="58">+P96-T96</f>
        <v>-8456.76</v>
      </c>
      <c r="Y96" s="4"/>
      <c r="Z96" s="12">
        <f t="shared" ref="Z96:Z98" si="59">IF(T96=0,0,X96/T96)</f>
        <v>-0.8827515657620042</v>
      </c>
    </row>
    <row r="97" spans="1:26" s="24" customFormat="1" hidden="1" outlineLevel="1" x14ac:dyDescent="0.25">
      <c r="A97" s="51"/>
      <c r="B97" s="11" t="str">
        <f>CONCATENATE("          ", "4187", " - ", "NON-TAXABLE SALES-COMPUTER REP")</f>
        <v xml:space="preserve">          4187 - NON-TAXABLE SALES-COMPUTER REP</v>
      </c>
      <c r="C97" s="11"/>
      <c r="D97" s="2">
        <f>--792.83</f>
        <v>792.83</v>
      </c>
      <c r="E97" s="2"/>
      <c r="F97" s="22">
        <f t="shared" si="52"/>
        <v>4.587159678957258E-3</v>
      </c>
      <c r="G97" s="2"/>
      <c r="H97" s="2"/>
      <c r="I97" s="2"/>
      <c r="J97" s="22">
        <f t="shared" si="53"/>
        <v>0</v>
      </c>
      <c r="K97" s="2"/>
      <c r="L97" s="2">
        <f t="shared" si="54"/>
        <v>792.83</v>
      </c>
      <c r="M97" s="2"/>
      <c r="N97" s="22">
        <f t="shared" si="55"/>
        <v>0</v>
      </c>
      <c r="O97" s="11"/>
      <c r="P97" s="2">
        <f>--937.96</f>
        <v>937.96</v>
      </c>
      <c r="Q97" s="2"/>
      <c r="R97" s="22">
        <f t="shared" si="56"/>
        <v>8.2558069293872129E-4</v>
      </c>
      <c r="S97" s="2"/>
      <c r="T97" s="2"/>
      <c r="U97" s="2"/>
      <c r="V97" s="22">
        <f t="shared" si="57"/>
        <v>0</v>
      </c>
      <c r="W97" s="2"/>
      <c r="X97" s="2">
        <f t="shared" si="58"/>
        <v>937.96</v>
      </c>
      <c r="Y97" s="2"/>
      <c r="Z97" s="22">
        <f t="shared" si="59"/>
        <v>0</v>
      </c>
    </row>
    <row r="98" spans="1:26" s="24" customFormat="1" hidden="1" outlineLevel="1" x14ac:dyDescent="0.25">
      <c r="A98" s="51"/>
      <c r="B98" s="11" t="str">
        <f>CONCATENATE("          ", "9150", " - ", "MISC. INCOME")</f>
        <v xml:space="preserve">          9150 - MISC. INCOME</v>
      </c>
      <c r="C98" s="11"/>
      <c r="D98" s="2">
        <f>--563.13</f>
        <v>563.13</v>
      </c>
      <c r="E98" s="2"/>
      <c r="F98" s="22">
        <f t="shared" si="52"/>
        <v>3.2581602991955407E-3</v>
      </c>
      <c r="G98" s="2"/>
      <c r="H98" s="2">
        <v>1047</v>
      </c>
      <c r="I98" s="2"/>
      <c r="J98" s="22">
        <f t="shared" si="53"/>
        <v>7.9556852375307734E-3</v>
      </c>
      <c r="K98" s="2"/>
      <c r="L98" s="2">
        <f t="shared" si="54"/>
        <v>-483.87</v>
      </c>
      <c r="M98" s="2"/>
      <c r="N98" s="22">
        <f t="shared" si="55"/>
        <v>-0.4621489971346705</v>
      </c>
      <c r="O98" s="11"/>
      <c r="P98" s="2">
        <f>--185.28</f>
        <v>185.28</v>
      </c>
      <c r="Q98" s="2"/>
      <c r="R98" s="22">
        <f t="shared" si="56"/>
        <v>1.6308114502503973E-4</v>
      </c>
      <c r="S98" s="2"/>
      <c r="T98" s="2">
        <v>9580</v>
      </c>
      <c r="U98" s="2"/>
      <c r="V98" s="22">
        <f t="shared" si="57"/>
        <v>7.9530784972168377E-3</v>
      </c>
      <c r="W98" s="2"/>
      <c r="X98" s="2">
        <f t="shared" si="58"/>
        <v>-9394.7199999999993</v>
      </c>
      <c r="Y98" s="2"/>
      <c r="Z98" s="22">
        <f t="shared" si="59"/>
        <v>-0.98065970772442579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6" t="s">
        <v>3</v>
      </c>
      <c r="C100" s="26"/>
      <c r="D100" s="20">
        <f>+D45-D47+D96</f>
        <v>2806.6700000000483</v>
      </c>
      <c r="E100" s="13"/>
      <c r="F100" s="19">
        <f>IF(D$12=0,0,D100/D$12)</f>
        <v>1.623884496820149E-2</v>
      </c>
      <c r="G100" s="13"/>
      <c r="H100" s="20">
        <f>+H45-H47+H96</f>
        <v>9156.8956714423111</v>
      </c>
      <c r="I100" s="13"/>
      <c r="J100" s="19">
        <f>IF(H$12=0,0,H100/H$12)</f>
        <v>6.9579159231043977E-2</v>
      </c>
      <c r="K100" s="15"/>
      <c r="L100" s="20">
        <f>+D100-H100</f>
        <v>-6350.2256714422629</v>
      </c>
      <c r="M100" s="15"/>
      <c r="N100" s="19">
        <f>IF(H100=0,0,L100/H100)</f>
        <v>-0.69349110214794363</v>
      </c>
      <c r="O100" s="25"/>
      <c r="P100" s="20">
        <f>+P45-P47+P96</f>
        <v>2064.979999999794</v>
      </c>
      <c r="Q100" s="13"/>
      <c r="R100" s="19">
        <f>IF(P$12=0,0,P100/P$12)</f>
        <v>1.8175696397548194E-3</v>
      </c>
      <c r="S100" s="13"/>
      <c r="T100" s="20">
        <f>+T45-T47+T96</f>
        <v>192125.06091719231</v>
      </c>
      <c r="U100" s="13"/>
      <c r="V100" s="19">
        <f>IF(T$12=0,0,T100/T$12)</f>
        <v>0.15949746250073041</v>
      </c>
      <c r="W100" s="15"/>
      <c r="X100" s="20">
        <f>+P100-T100</f>
        <v>-190060.08091719251</v>
      </c>
      <c r="Y100" s="15"/>
      <c r="Z100" s="19">
        <f>IF(T100=0,0,X100/T100)</f>
        <v>-0.98925189670654246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67655.090000000011</v>
      </c>
      <c r="E102" s="4"/>
      <c r="F102" s="12">
        <f>IF(D$12=0,0,D102/D$12)</f>
        <v>0.39143914953296977</v>
      </c>
      <c r="G102" s="4"/>
      <c r="H102" s="4">
        <v>42091</v>
      </c>
      <c r="I102" s="4"/>
      <c r="J102" s="12">
        <f>IF(H$12=0,0,H102/H$12)</f>
        <v>0.31983070423391385</v>
      </c>
      <c r="K102" s="4"/>
      <c r="L102" s="4">
        <f>+D102-H102</f>
        <v>25564.090000000011</v>
      </c>
      <c r="M102" s="4"/>
      <c r="N102" s="12">
        <f>IF(H102=0,0,L102/H102)</f>
        <v>0.60735287828752016</v>
      </c>
      <c r="O102" s="10"/>
      <c r="P102" s="4">
        <v>246108.38999999998</v>
      </c>
      <c r="Q102" s="4"/>
      <c r="R102" s="12">
        <f>IF(P$12=0,0,P102/P$12)</f>
        <v>0.21662153519791147</v>
      </c>
      <c r="S102" s="4"/>
      <c r="T102" s="4">
        <v>197211</v>
      </c>
      <c r="U102" s="4"/>
      <c r="V102" s="12">
        <f>IF(T$12=0,0,T102/T$12)</f>
        <v>0.16371968303910539</v>
      </c>
      <c r="W102" s="4"/>
      <c r="X102" s="4">
        <f>+P102-T102</f>
        <v>48897.389999999985</v>
      </c>
      <c r="Y102" s="4"/>
      <c r="Z102" s="12">
        <f>IF(T102=0,0,X102/T102)</f>
        <v>0.24794453656236207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4</v>
      </c>
      <c r="C104" s="26"/>
      <c r="D104" s="34">
        <f>+D100-D102</f>
        <v>-64848.419999999962</v>
      </c>
      <c r="E104" s="13"/>
      <c r="F104" s="35">
        <f>IF(D$12=0,0,D104/D$12)</f>
        <v>-0.37520030456476827</v>
      </c>
      <c r="G104" s="13"/>
      <c r="H104" s="34">
        <f>+H100-H102</f>
        <v>-32934.104328557689</v>
      </c>
      <c r="I104" s="13"/>
      <c r="J104" s="35">
        <f>IF(H$12=0,0,H104/H$12)</f>
        <v>-0.25025154500286989</v>
      </c>
      <c r="K104" s="15"/>
      <c r="L104" s="34">
        <f>D104-H104</f>
        <v>-31914.315671442273</v>
      </c>
      <c r="M104" s="15"/>
      <c r="N104" s="35">
        <f>IF(H104=0,0,L104/H104)</f>
        <v>0.96903548227874103</v>
      </c>
      <c r="O104" s="25"/>
      <c r="P104" s="34">
        <f>+P100-P102</f>
        <v>-244043.41000000018</v>
      </c>
      <c r="Q104" s="13"/>
      <c r="R104" s="35">
        <f>IF(P$12=0,0,P104/P$12)</f>
        <v>-0.21480396555815665</v>
      </c>
      <c r="S104" s="13"/>
      <c r="T104" s="34">
        <f>+T100-T102</f>
        <v>-5085.9390828076866</v>
      </c>
      <c r="U104" s="13"/>
      <c r="V104" s="35">
        <f>IF(T$12=0,0,T104/T$12)</f>
        <v>-4.2222205383750039E-3</v>
      </c>
      <c r="W104" s="15"/>
      <c r="X104" s="34">
        <f>P104-T104</f>
        <v>-238957.47091719249</v>
      </c>
      <c r="Y104" s="15"/>
      <c r="Z104" s="35">
        <f>IF(T104=0,0,X104/T104)</f>
        <v>46.983942793368321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6" t="s">
        <v>5</v>
      </c>
      <c r="C107" s="26"/>
      <c r="D107" s="30">
        <f>SUM(D104:D106)</f>
        <v>-64848.419999999962</v>
      </c>
      <c r="E107" s="13"/>
      <c r="F107" s="32">
        <f>IF(D$12=0,0,D107/D$12)</f>
        <v>-0.37520030456476827</v>
      </c>
      <c r="G107" s="13"/>
      <c r="H107" s="30">
        <f>SUM(H104:H106)</f>
        <v>-32934.104328557689</v>
      </c>
      <c r="I107" s="13"/>
      <c r="J107" s="32">
        <f>IF(H$12=0,0,H107/H$12)</f>
        <v>-0.25025154500286989</v>
      </c>
      <c r="K107" s="15"/>
      <c r="L107" s="30">
        <f>+D107-H107</f>
        <v>-31914.315671442273</v>
      </c>
      <c r="M107" s="15"/>
      <c r="N107" s="32">
        <f>IF(H107=0,0,L107/H107)</f>
        <v>0.96903548227874103</v>
      </c>
      <c r="O107" s="25"/>
      <c r="P107" s="30">
        <f>SUM(P104:P106)</f>
        <v>-244043.41000000018</v>
      </c>
      <c r="Q107" s="13"/>
      <c r="R107" s="32">
        <f>IF(P$12=0,0,P107/P$12)</f>
        <v>-0.21480396555815665</v>
      </c>
      <c r="S107" s="13"/>
      <c r="T107" s="30">
        <f>SUM(T104:T106)</f>
        <v>-5085.9390828076866</v>
      </c>
      <c r="U107" s="13"/>
      <c r="V107" s="32">
        <f>IF(T$12=0,0,T107/T$12)</f>
        <v>-4.2222205383750039E-3</v>
      </c>
      <c r="W107" s="15"/>
      <c r="X107" s="30">
        <f>+P107-T107</f>
        <v>-238957.47091719249</v>
      </c>
      <c r="Y107" s="15"/>
      <c r="Z107" s="32">
        <f>IF(T107=0,0,X107/T107)</f>
        <v>46.983942793368321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60">
        <v>44151.567956863422</v>
      </c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58" t="s">
        <v>314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53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","317", " - ", "Computer Store")</f>
        <v>Department 317 - Computer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172836.80000000005</v>
      </c>
      <c r="E12" s="4"/>
      <c r="F12" s="12"/>
      <c r="G12" s="4"/>
      <c r="H12" s="4">
        <f>SUM(OSRRefH13x_0)</f>
        <v>131604</v>
      </c>
      <c r="I12" s="4"/>
      <c r="J12" s="12"/>
      <c r="K12" s="4"/>
      <c r="L12" s="4">
        <f t="shared" ref="L12:L30" si="0">+D12-H12</f>
        <v>41232.800000000047</v>
      </c>
      <c r="M12" s="4"/>
      <c r="N12" s="12">
        <f t="shared" ref="N12:N30" si="1">IF(H12=0,0,L12/H12)</f>
        <v>0.31330962584723904</v>
      </c>
      <c r="O12" s="10"/>
      <c r="P12" s="4">
        <f>SUM(OSRRefP13x_0)</f>
        <v>1136121.5299999998</v>
      </c>
      <c r="Q12" s="4"/>
      <c r="R12" s="12"/>
      <c r="S12" s="4"/>
      <c r="T12" s="4">
        <f>SUM(OSRRefT13x_0)</f>
        <v>1204565</v>
      </c>
      <c r="U12" s="4"/>
      <c r="V12" s="12"/>
      <c r="W12" s="4"/>
      <c r="X12" s="4">
        <f t="shared" ref="X12:X30" si="2">+P12-T12</f>
        <v>-68443.470000000205</v>
      </c>
      <c r="Y12" s="4"/>
      <c r="Z12" s="12">
        <f t="shared" ref="Z12:Z30" si="3">IF(T12=0,0,X12/T12)</f>
        <v>-5.6820071976190746E-2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-178.39</f>
        <v>-178.39</v>
      </c>
      <c r="E13" s="2"/>
      <c r="F13" s="22"/>
      <c r="G13" s="2"/>
      <c r="H13" s="2">
        <v>119073.99999999999</v>
      </c>
      <c r="I13" s="2"/>
      <c r="J13" s="22"/>
      <c r="K13" s="2"/>
      <c r="L13" s="2">
        <f t="shared" si="0"/>
        <v>-119252.38999999998</v>
      </c>
      <c r="M13" s="2"/>
      <c r="N13" s="22">
        <f t="shared" si="1"/>
        <v>-1.0014981440112871</v>
      </c>
      <c r="O13" s="11"/>
      <c r="P13" s="2">
        <f>-1902.09</f>
        <v>-1902.09</v>
      </c>
      <c r="Q13" s="2"/>
      <c r="R13" s="22"/>
      <c r="S13" s="2"/>
      <c r="T13" s="2">
        <v>1140255</v>
      </c>
      <c r="U13" s="2"/>
      <c r="V13" s="22"/>
      <c r="W13" s="2"/>
      <c r="X13" s="2">
        <f t="shared" si="2"/>
        <v>-1142157.0900000001</v>
      </c>
      <c r="Y13" s="2"/>
      <c r="Z13" s="22">
        <f t="shared" si="3"/>
        <v>-1.001668126866359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--5014.67</f>
        <v>5014.67</v>
      </c>
      <c r="E14" s="2"/>
      <c r="F14" s="22"/>
      <c r="G14" s="2"/>
      <c r="H14" s="2"/>
      <c r="I14" s="2"/>
      <c r="J14" s="22"/>
      <c r="K14" s="2"/>
      <c r="L14" s="2">
        <f t="shared" si="0"/>
        <v>5014.67</v>
      </c>
      <c r="M14" s="2"/>
      <c r="N14" s="22">
        <f t="shared" si="1"/>
        <v>0</v>
      </c>
      <c r="O14" s="11"/>
      <c r="P14" s="2">
        <f>--55045.34</f>
        <v>55045.34</v>
      </c>
      <c r="Q14" s="2"/>
      <c r="R14" s="22"/>
      <c r="S14" s="2"/>
      <c r="T14" s="2"/>
      <c r="U14" s="2"/>
      <c r="V14" s="22"/>
      <c r="W14" s="2"/>
      <c r="X14" s="2">
        <f t="shared" si="2"/>
        <v>55045.34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--152786.78</f>
        <v>152786.78</v>
      </c>
      <c r="E15" s="2"/>
      <c r="F15" s="22"/>
      <c r="G15" s="2"/>
      <c r="H15" s="2"/>
      <c r="I15" s="2"/>
      <c r="J15" s="22"/>
      <c r="K15" s="2"/>
      <c r="L15" s="2">
        <f t="shared" si="0"/>
        <v>152786.78</v>
      </c>
      <c r="M15" s="2"/>
      <c r="N15" s="22">
        <f t="shared" si="1"/>
        <v>0</v>
      </c>
      <c r="O15" s="11"/>
      <c r="P15" s="2">
        <f>--892099.99</f>
        <v>892099.99</v>
      </c>
      <c r="Q15" s="2"/>
      <c r="R15" s="22"/>
      <c r="S15" s="2"/>
      <c r="T15" s="2"/>
      <c r="U15" s="2"/>
      <c r="V15" s="22"/>
      <c r="W15" s="2"/>
      <c r="X15" s="2">
        <f t="shared" si="2"/>
        <v>892099.99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--3392.4</f>
        <v>3392.4</v>
      </c>
      <c r="E16" s="2"/>
      <c r="F16" s="22"/>
      <c r="G16" s="2"/>
      <c r="H16" s="2"/>
      <c r="I16" s="2"/>
      <c r="J16" s="22"/>
      <c r="K16" s="2"/>
      <c r="L16" s="2">
        <f t="shared" si="0"/>
        <v>3392.4</v>
      </c>
      <c r="M16" s="2"/>
      <c r="N16" s="22">
        <f t="shared" si="1"/>
        <v>0</v>
      </c>
      <c r="O16" s="11"/>
      <c r="P16" s="2">
        <f>--72045.1</f>
        <v>72045.100000000006</v>
      </c>
      <c r="Q16" s="2"/>
      <c r="R16" s="22"/>
      <c r="S16" s="2"/>
      <c r="T16" s="2"/>
      <c r="U16" s="2"/>
      <c r="V16" s="22"/>
      <c r="W16" s="2"/>
      <c r="X16" s="2">
        <f t="shared" si="2"/>
        <v>72045.100000000006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--139</f>
        <v>139</v>
      </c>
      <c r="E17" s="2"/>
      <c r="F17" s="22"/>
      <c r="G17" s="2"/>
      <c r="H17" s="2"/>
      <c r="I17" s="2"/>
      <c r="J17" s="22"/>
      <c r="K17" s="2"/>
      <c r="L17" s="2">
        <f t="shared" si="0"/>
        <v>139</v>
      </c>
      <c r="M17" s="2"/>
      <c r="N17" s="22">
        <f t="shared" si="1"/>
        <v>0</v>
      </c>
      <c r="O17" s="11"/>
      <c r="P17" s="2">
        <f>--1120.96</f>
        <v>1120.96</v>
      </c>
      <c r="Q17" s="2"/>
      <c r="R17" s="22"/>
      <c r="S17" s="2"/>
      <c r="T17" s="2"/>
      <c r="U17" s="2"/>
      <c r="V17" s="22"/>
      <c r="W17" s="2"/>
      <c r="X17" s="2">
        <f t="shared" si="2"/>
        <v>1120.96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--1385.25</f>
        <v>1385.25</v>
      </c>
      <c r="E18" s="2"/>
      <c r="F18" s="22"/>
      <c r="G18" s="2"/>
      <c r="H18" s="2"/>
      <c r="I18" s="2"/>
      <c r="J18" s="22"/>
      <c r="K18" s="2"/>
      <c r="L18" s="2">
        <f t="shared" si="0"/>
        <v>1385.25</v>
      </c>
      <c r="M18" s="2"/>
      <c r="N18" s="22">
        <f t="shared" si="1"/>
        <v>0</v>
      </c>
      <c r="O18" s="11"/>
      <c r="P18" s="2">
        <f>--29366.66</f>
        <v>29366.66</v>
      </c>
      <c r="Q18" s="2"/>
      <c r="R18" s="22"/>
      <c r="S18" s="2"/>
      <c r="T18" s="2"/>
      <c r="U18" s="2"/>
      <c r="V18" s="22"/>
      <c r="W18" s="2"/>
      <c r="X18" s="2">
        <f t="shared" si="2"/>
        <v>29366.66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12530</v>
      </c>
      <c r="I19" s="2"/>
      <c r="J19" s="22"/>
      <c r="K19" s="2"/>
      <c r="L19" s="2">
        <f t="shared" si="0"/>
        <v>-12530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64310</v>
      </c>
      <c r="U19" s="2"/>
      <c r="V19" s="22"/>
      <c r="W19" s="2"/>
      <c r="X19" s="2">
        <f t="shared" si="2"/>
        <v>-64310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--194.97</f>
        <v>194.97</v>
      </c>
      <c r="E20" s="2"/>
      <c r="F20" s="22"/>
      <c r="G20" s="2"/>
      <c r="H20" s="2"/>
      <c r="I20" s="2"/>
      <c r="J20" s="22"/>
      <c r="K20" s="2"/>
      <c r="L20" s="2">
        <f t="shared" si="0"/>
        <v>194.97</v>
      </c>
      <c r="M20" s="2"/>
      <c r="N20" s="22">
        <f t="shared" si="1"/>
        <v>0</v>
      </c>
      <c r="O20" s="11"/>
      <c r="P20" s="2">
        <f>--3504.13</f>
        <v>3504.13</v>
      </c>
      <c r="Q20" s="2"/>
      <c r="R20" s="22"/>
      <c r="S20" s="2"/>
      <c r="T20" s="2"/>
      <c r="U20" s="2"/>
      <c r="V20" s="22"/>
      <c r="W20" s="2"/>
      <c r="X20" s="2">
        <f t="shared" si="2"/>
        <v>3504.13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--24570</f>
        <v>24570</v>
      </c>
      <c r="E21" s="2"/>
      <c r="F21" s="22"/>
      <c r="G21" s="2"/>
      <c r="H21" s="2"/>
      <c r="I21" s="2"/>
      <c r="J21" s="22"/>
      <c r="K21" s="2"/>
      <c r="L21" s="2">
        <f t="shared" si="0"/>
        <v>24570</v>
      </c>
      <c r="M21" s="2"/>
      <c r="N21" s="22">
        <f t="shared" si="1"/>
        <v>0</v>
      </c>
      <c r="O21" s="11"/>
      <c r="P21" s="2">
        <f>--145294.38</f>
        <v>145294.38</v>
      </c>
      <c r="Q21" s="2"/>
      <c r="R21" s="22"/>
      <c r="S21" s="2"/>
      <c r="T21" s="2"/>
      <c r="U21" s="2"/>
      <c r="V21" s="22"/>
      <c r="W21" s="2"/>
      <c r="X21" s="2">
        <f t="shared" si="2"/>
        <v>145294.38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--1269.91</f>
        <v>1269.9100000000001</v>
      </c>
      <c r="E22" s="2"/>
      <c r="F22" s="22"/>
      <c r="G22" s="2"/>
      <c r="H22" s="2"/>
      <c r="I22" s="2"/>
      <c r="J22" s="22"/>
      <c r="K22" s="2"/>
      <c r="L22" s="2">
        <f t="shared" si="0"/>
        <v>1269.9100000000001</v>
      </c>
      <c r="M22" s="2"/>
      <c r="N22" s="22">
        <f t="shared" si="1"/>
        <v>0</v>
      </c>
      <c r="O22" s="11"/>
      <c r="P22" s="2">
        <f>--6336.39</f>
        <v>6336.39</v>
      </c>
      <c r="Q22" s="2"/>
      <c r="R22" s="22"/>
      <c r="S22" s="2"/>
      <c r="T22" s="2"/>
      <c r="U22" s="2"/>
      <c r="V22" s="22"/>
      <c r="W22" s="2"/>
      <c r="X22" s="2">
        <f t="shared" si="2"/>
        <v>6336.39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--4590.76</f>
        <v>4590.76</v>
      </c>
      <c r="E23" s="2"/>
      <c r="F23" s="22"/>
      <c r="G23" s="2"/>
      <c r="H23" s="2"/>
      <c r="I23" s="2"/>
      <c r="J23" s="22"/>
      <c r="K23" s="2"/>
      <c r="L23" s="2">
        <f t="shared" si="0"/>
        <v>4590.76</v>
      </c>
      <c r="M23" s="2"/>
      <c r="N23" s="22">
        <f t="shared" si="1"/>
        <v>0</v>
      </c>
      <c r="O23" s="11"/>
      <c r="P23" s="2">
        <f>--23816.85</f>
        <v>23816.85</v>
      </c>
      <c r="Q23" s="2"/>
      <c r="R23" s="22"/>
      <c r="S23" s="2"/>
      <c r="T23" s="2"/>
      <c r="U23" s="2"/>
      <c r="V23" s="22"/>
      <c r="W23" s="2"/>
      <c r="X23" s="2">
        <f t="shared" si="2"/>
        <v>23816.85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--855.98</f>
        <v>855.98</v>
      </c>
      <c r="E24" s="2"/>
      <c r="F24" s="22"/>
      <c r="G24" s="2"/>
      <c r="H24" s="2"/>
      <c r="I24" s="2"/>
      <c r="J24" s="22"/>
      <c r="K24" s="2"/>
      <c r="L24" s="2">
        <f t="shared" si="0"/>
        <v>855.98</v>
      </c>
      <c r="M24" s="2"/>
      <c r="N24" s="22">
        <f t="shared" si="1"/>
        <v>0</v>
      </c>
      <c r="O24" s="11"/>
      <c r="P24" s="2">
        <f>--1729.77</f>
        <v>1729.77</v>
      </c>
      <c r="Q24" s="2"/>
      <c r="R24" s="22"/>
      <c r="S24" s="2"/>
      <c r="T24" s="2"/>
      <c r="U24" s="2"/>
      <c r="V24" s="22"/>
      <c r="W24" s="2"/>
      <c r="X24" s="2">
        <f t="shared" si="2"/>
        <v>1729.77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-357.99</f>
        <v>-357.99</v>
      </c>
      <c r="E25" s="2"/>
      <c r="F25" s="22"/>
      <c r="G25" s="2"/>
      <c r="H25" s="2"/>
      <c r="I25" s="2"/>
      <c r="J25" s="22"/>
      <c r="K25" s="2"/>
      <c r="L25" s="2">
        <f t="shared" si="0"/>
        <v>-357.99</v>
      </c>
      <c r="M25" s="2"/>
      <c r="N25" s="22">
        <f t="shared" si="1"/>
        <v>0</v>
      </c>
      <c r="O25" s="11"/>
      <c r="P25" s="2">
        <f>-14632.15</f>
        <v>-14632.15</v>
      </c>
      <c r="Q25" s="2"/>
      <c r="R25" s="22"/>
      <c r="S25" s="2"/>
      <c r="T25" s="2"/>
      <c r="U25" s="2"/>
      <c r="V25" s="22"/>
      <c r="W25" s="2"/>
      <c r="X25" s="2">
        <f t="shared" si="2"/>
        <v>-14632.15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-20038</f>
        <v>-20038</v>
      </c>
      <c r="E26" s="2"/>
      <c r="F26" s="22"/>
      <c r="G26" s="2"/>
      <c r="H26" s="2"/>
      <c r="I26" s="2"/>
      <c r="J26" s="22"/>
      <c r="K26" s="2"/>
      <c r="L26" s="2">
        <f t="shared" si="0"/>
        <v>-20038</v>
      </c>
      <c r="M26" s="2"/>
      <c r="N26" s="22">
        <f t="shared" si="1"/>
        <v>0</v>
      </c>
      <c r="O26" s="11"/>
      <c r="P26" s="2">
        <f>-68323</f>
        <v>-68323</v>
      </c>
      <c r="Q26" s="2"/>
      <c r="R26" s="22"/>
      <c r="S26" s="2"/>
      <c r="T26" s="2"/>
      <c r="U26" s="2"/>
      <c r="V26" s="22"/>
      <c r="W26" s="2"/>
      <c r="X26" s="2">
        <f t="shared" si="2"/>
        <v>-68323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-629.58</f>
        <v>-629.58000000000004</v>
      </c>
      <c r="E27" s="2"/>
      <c r="F27" s="22"/>
      <c r="G27" s="2"/>
      <c r="H27" s="2"/>
      <c r="I27" s="2"/>
      <c r="J27" s="22"/>
      <c r="K27" s="2"/>
      <c r="L27" s="2">
        <f t="shared" si="0"/>
        <v>-629.58000000000004</v>
      </c>
      <c r="M27" s="2"/>
      <c r="N27" s="22">
        <f t="shared" si="1"/>
        <v>0</v>
      </c>
      <c r="O27" s="11"/>
      <c r="P27" s="2">
        <f>-2632.31</f>
        <v>-2632.31</v>
      </c>
      <c r="Q27" s="2"/>
      <c r="R27" s="22"/>
      <c r="S27" s="2"/>
      <c r="T27" s="2"/>
      <c r="U27" s="2"/>
      <c r="V27" s="22"/>
      <c r="W27" s="2"/>
      <c r="X27" s="2">
        <f t="shared" si="2"/>
        <v>-2632.31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0</f>
        <v>0</v>
      </c>
      <c r="E28" s="2"/>
      <c r="F28" s="22"/>
      <c r="G28" s="2"/>
      <c r="H28" s="2"/>
      <c r="I28" s="2"/>
      <c r="J28" s="22"/>
      <c r="K28" s="2"/>
      <c r="L28" s="2">
        <f t="shared" si="0"/>
        <v>0</v>
      </c>
      <c r="M28" s="2"/>
      <c r="N28" s="22">
        <f t="shared" si="1"/>
        <v>0</v>
      </c>
      <c r="O28" s="11"/>
      <c r="P28" s="2">
        <f>-552.98</f>
        <v>-552.98</v>
      </c>
      <c r="Q28" s="2"/>
      <c r="R28" s="22"/>
      <c r="S28" s="2"/>
      <c r="T28" s="2"/>
      <c r="U28" s="2"/>
      <c r="V28" s="22"/>
      <c r="W28" s="2"/>
      <c r="X28" s="2">
        <f t="shared" si="2"/>
        <v>-552.98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-158.96</f>
        <v>-158.96</v>
      </c>
      <c r="E29" s="2"/>
      <c r="F29" s="22"/>
      <c r="G29" s="2"/>
      <c r="H29" s="2"/>
      <c r="I29" s="2"/>
      <c r="J29" s="22"/>
      <c r="K29" s="2"/>
      <c r="L29" s="2">
        <f t="shared" si="0"/>
        <v>-158.96</v>
      </c>
      <c r="M29" s="2"/>
      <c r="N29" s="22">
        <f t="shared" si="1"/>
        <v>0</v>
      </c>
      <c r="O29" s="11"/>
      <c r="P29" s="2">
        <f>-571.36</f>
        <v>-571.36</v>
      </c>
      <c r="Q29" s="2"/>
      <c r="R29" s="22"/>
      <c r="S29" s="2"/>
      <c r="T29" s="2"/>
      <c r="U29" s="2"/>
      <c r="V29" s="22"/>
      <c r="W29" s="2"/>
      <c r="X29" s="2">
        <f t="shared" si="2"/>
        <v>-571.36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5" t="s">
        <v>8</v>
      </c>
      <c r="C32" s="10"/>
      <c r="D32" s="4">
        <f>SUM(OSRRefD16x_0)</f>
        <v>156723</v>
      </c>
      <c r="E32" s="4"/>
      <c r="F32" s="12">
        <f t="shared" ref="F32:F43" si="4">IF(D$12=0,0,D32/D$12)</f>
        <v>0.90676869740703347</v>
      </c>
      <c r="G32" s="4"/>
      <c r="H32" s="4">
        <f>SUM(OSRRefH16x_0)</f>
        <v>102776</v>
      </c>
      <c r="I32" s="4"/>
      <c r="J32" s="12">
        <f t="shared" ref="J32:J43" si="5">IF(H$12=0,0,H32/H$12)</f>
        <v>0.78094890732804478</v>
      </c>
      <c r="K32" s="4"/>
      <c r="L32" s="4">
        <f t="shared" ref="L32:L43" si="6">+D32-H32</f>
        <v>53947</v>
      </c>
      <c r="M32" s="4"/>
      <c r="N32" s="12">
        <f t="shared" ref="N32:N43" si="7">IF(H32=0,0,L32/H32)</f>
        <v>0.52489880906048103</v>
      </c>
      <c r="O32" s="10"/>
      <c r="P32" s="4">
        <f>SUM(OSRRefP16x_0)</f>
        <v>1081275</v>
      </c>
      <c r="Q32" s="4"/>
      <c r="R32" s="12">
        <f t="shared" ref="R32:R43" si="8">IF(P$12=0,0,P32/P$12)</f>
        <v>0.95172476838811437</v>
      </c>
      <c r="S32" s="4"/>
      <c r="T32" s="4">
        <f>SUM(OSRRefT16x_0)</f>
        <v>940720</v>
      </c>
      <c r="U32" s="4"/>
      <c r="V32" s="12">
        <f t="shared" ref="V32:V43" si="9">IF(T$12=0,0,T32/T$12)</f>
        <v>0.7809624221191882</v>
      </c>
      <c r="W32" s="4"/>
      <c r="X32" s="4">
        <f t="shared" ref="X32:X43" si="10">+P32-T32</f>
        <v>140555</v>
      </c>
      <c r="Y32" s="4"/>
      <c r="Z32" s="12">
        <f t="shared" ref="Z32:Z43" si="11">IF(T32=0,0,X32/T32)</f>
        <v>0.14941215239391104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102776</v>
      </c>
      <c r="I33" s="2"/>
      <c r="J33" s="22">
        <f t="shared" si="5"/>
        <v>0.78094890732804478</v>
      </c>
      <c r="K33" s="2"/>
      <c r="L33" s="2">
        <f t="shared" si="6"/>
        <v>-102776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940720</v>
      </c>
      <c r="U33" s="2"/>
      <c r="V33" s="22">
        <f t="shared" si="9"/>
        <v>0.7809624221191882</v>
      </c>
      <c r="W33" s="2"/>
      <c r="X33" s="2">
        <f t="shared" si="10"/>
        <v>-940720</v>
      </c>
      <c r="Y33" s="2"/>
      <c r="Z33" s="22">
        <f t="shared" si="11"/>
        <v>-1</v>
      </c>
    </row>
    <row r="34" spans="1:26" s="24" customFormat="1" hidden="1" outlineLevel="1" x14ac:dyDescent="0.2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6249.76</v>
      </c>
      <c r="E34" s="2"/>
      <c r="F34" s="22">
        <f t="shared" si="4"/>
        <v>3.6159891874878489E-2</v>
      </c>
      <c r="G34" s="2"/>
      <c r="H34" s="2"/>
      <c r="I34" s="2"/>
      <c r="J34" s="22">
        <f t="shared" si="5"/>
        <v>0</v>
      </c>
      <c r="K34" s="2"/>
      <c r="L34" s="2">
        <f t="shared" si="6"/>
        <v>6249.76</v>
      </c>
      <c r="M34" s="2"/>
      <c r="N34" s="22">
        <f t="shared" si="7"/>
        <v>0</v>
      </c>
      <c r="O34" s="11"/>
      <c r="P34" s="2">
        <v>21947.21</v>
      </c>
      <c r="Q34" s="2"/>
      <c r="R34" s="22">
        <f t="shared" si="8"/>
        <v>1.931766049711249E-2</v>
      </c>
      <c r="S34" s="2"/>
      <c r="T34" s="2"/>
      <c r="U34" s="2"/>
      <c r="V34" s="22">
        <f t="shared" si="9"/>
        <v>0</v>
      </c>
      <c r="W34" s="2"/>
      <c r="X34" s="2">
        <f t="shared" si="10"/>
        <v>21947.21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175404.87</v>
      </c>
      <c r="E35" s="2"/>
      <c r="F35" s="22">
        <f t="shared" si="4"/>
        <v>1.0148583519250527</v>
      </c>
      <c r="G35" s="2"/>
      <c r="H35" s="2"/>
      <c r="I35" s="2"/>
      <c r="J35" s="22">
        <f t="shared" si="5"/>
        <v>0</v>
      </c>
      <c r="K35" s="2"/>
      <c r="L35" s="2">
        <f t="shared" si="6"/>
        <v>175404.87</v>
      </c>
      <c r="M35" s="2"/>
      <c r="N35" s="22">
        <f t="shared" si="7"/>
        <v>0</v>
      </c>
      <c r="O35" s="11"/>
      <c r="P35" s="2">
        <v>888778.08000000007</v>
      </c>
      <c r="Q35" s="2"/>
      <c r="R35" s="22">
        <f t="shared" si="8"/>
        <v>0.78229138039484225</v>
      </c>
      <c r="S35" s="2"/>
      <c r="T35" s="2"/>
      <c r="U35" s="2"/>
      <c r="V35" s="22">
        <f t="shared" si="9"/>
        <v>0</v>
      </c>
      <c r="W35" s="2"/>
      <c r="X35" s="2">
        <f t="shared" si="10"/>
        <v>888778.08000000007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11838.95</v>
      </c>
      <c r="E36" s="2"/>
      <c r="F36" s="22">
        <f t="shared" si="4"/>
        <v>6.8497854623552373E-2</v>
      </c>
      <c r="G36" s="2"/>
      <c r="H36" s="2"/>
      <c r="I36" s="2"/>
      <c r="J36" s="22">
        <f t="shared" si="5"/>
        <v>0</v>
      </c>
      <c r="K36" s="2"/>
      <c r="L36" s="2">
        <f t="shared" si="6"/>
        <v>11838.95</v>
      </c>
      <c r="M36" s="2"/>
      <c r="N36" s="22">
        <f t="shared" si="7"/>
        <v>0</v>
      </c>
      <c r="O36" s="11"/>
      <c r="P36" s="2">
        <v>73272.95</v>
      </c>
      <c r="Q36" s="2"/>
      <c r="R36" s="22">
        <f t="shared" si="8"/>
        <v>6.4493936665384735E-2</v>
      </c>
      <c r="S36" s="2"/>
      <c r="T36" s="2"/>
      <c r="U36" s="2"/>
      <c r="V36" s="22">
        <f t="shared" si="9"/>
        <v>0</v>
      </c>
      <c r="W36" s="2"/>
      <c r="X36" s="2">
        <f t="shared" si="10"/>
        <v>73272.95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5843.52</v>
      </c>
      <c r="E37" s="2"/>
      <c r="F37" s="22">
        <f t="shared" si="4"/>
        <v>3.380946650250409E-2</v>
      </c>
      <c r="G37" s="2"/>
      <c r="H37" s="2"/>
      <c r="I37" s="2"/>
      <c r="J37" s="22">
        <f t="shared" si="5"/>
        <v>0</v>
      </c>
      <c r="K37" s="2"/>
      <c r="L37" s="2">
        <f t="shared" si="6"/>
        <v>5843.52</v>
      </c>
      <c r="M37" s="2"/>
      <c r="N37" s="22">
        <f t="shared" si="7"/>
        <v>0</v>
      </c>
      <c r="O37" s="11"/>
      <c r="P37" s="2">
        <v>20681.2</v>
      </c>
      <c r="Q37" s="2"/>
      <c r="R37" s="22">
        <f t="shared" si="8"/>
        <v>1.820333428590162E-2</v>
      </c>
      <c r="S37" s="2"/>
      <c r="T37" s="2"/>
      <c r="U37" s="2"/>
      <c r="V37" s="22">
        <f t="shared" si="9"/>
        <v>0</v>
      </c>
      <c r="W37" s="2"/>
      <c r="X37" s="2">
        <f t="shared" si="10"/>
        <v>20681.2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773.47</v>
      </c>
      <c r="E38" s="2"/>
      <c r="F38" s="22">
        <f t="shared" si="4"/>
        <v>4.4751464965794314E-3</v>
      </c>
      <c r="G38" s="2"/>
      <c r="H38" s="2"/>
      <c r="I38" s="2"/>
      <c r="J38" s="22">
        <f t="shared" si="5"/>
        <v>0</v>
      </c>
      <c r="K38" s="2"/>
      <c r="L38" s="2">
        <f t="shared" si="6"/>
        <v>773.47</v>
      </c>
      <c r="M38" s="2"/>
      <c r="N38" s="22">
        <f t="shared" si="7"/>
        <v>0</v>
      </c>
      <c r="O38" s="11"/>
      <c r="P38" s="2">
        <v>22529.439999999999</v>
      </c>
      <c r="Q38" s="2"/>
      <c r="R38" s="22">
        <f t="shared" si="8"/>
        <v>1.9830132081028341E-2</v>
      </c>
      <c r="S38" s="2"/>
      <c r="T38" s="2"/>
      <c r="U38" s="2"/>
      <c r="V38" s="22">
        <f t="shared" si="9"/>
        <v>0</v>
      </c>
      <c r="W38" s="2"/>
      <c r="X38" s="2">
        <f t="shared" si="10"/>
        <v>22529.439999999999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-200232.35</v>
      </c>
      <c r="E39" s="2"/>
      <c r="F39" s="22">
        <f t="shared" si="4"/>
        <v>-1.1585053067402309</v>
      </c>
      <c r="G39" s="2"/>
      <c r="H39" s="2"/>
      <c r="I39" s="2"/>
      <c r="J39" s="22">
        <f t="shared" si="5"/>
        <v>0</v>
      </c>
      <c r="K39" s="2"/>
      <c r="L39" s="2">
        <f t="shared" si="6"/>
        <v>-200232.35</v>
      </c>
      <c r="M39" s="2"/>
      <c r="N39" s="22">
        <f t="shared" si="7"/>
        <v>0</v>
      </c>
      <c r="O39" s="11"/>
      <c r="P39" s="2">
        <v>-1027552.17</v>
      </c>
      <c r="Q39" s="2"/>
      <c r="R39" s="22">
        <f t="shared" si="8"/>
        <v>-0.90443860350045491</v>
      </c>
      <c r="S39" s="2"/>
      <c r="T39" s="2"/>
      <c r="U39" s="2"/>
      <c r="V39" s="22">
        <f t="shared" si="9"/>
        <v>0</v>
      </c>
      <c r="W39" s="2"/>
      <c r="X39" s="2">
        <f t="shared" si="10"/>
        <v>-1027552.17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"5300", " - ", "COG$ OFFSET")</f>
        <v xml:space="preserve">          5300 - COG$ OFFSET</v>
      </c>
      <c r="C40" s="11"/>
      <c r="D40" s="2">
        <v>156723</v>
      </c>
      <c r="E40" s="2"/>
      <c r="F40" s="22">
        <f t="shared" si="4"/>
        <v>0.90676869740703347</v>
      </c>
      <c r="G40" s="2"/>
      <c r="H40" s="2"/>
      <c r="I40" s="2"/>
      <c r="J40" s="22">
        <f t="shared" si="5"/>
        <v>0</v>
      </c>
      <c r="K40" s="2"/>
      <c r="L40" s="2">
        <f t="shared" si="6"/>
        <v>156723</v>
      </c>
      <c r="M40" s="2"/>
      <c r="N40" s="22">
        <f t="shared" si="7"/>
        <v>0</v>
      </c>
      <c r="O40" s="11"/>
      <c r="P40" s="2">
        <v>1081275</v>
      </c>
      <c r="Q40" s="2"/>
      <c r="R40" s="22">
        <f t="shared" si="8"/>
        <v>0.95172476838811437</v>
      </c>
      <c r="S40" s="2"/>
      <c r="T40" s="2"/>
      <c r="U40" s="2"/>
      <c r="V40" s="22">
        <f t="shared" si="9"/>
        <v>0</v>
      </c>
      <c r="W40" s="2"/>
      <c r="X40" s="2">
        <f t="shared" si="10"/>
        <v>1081275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"5582", " - ", "FREIGHT-IN-COMPUTER HARDWARE")</f>
        <v xml:space="preserve">          5582 - FREIGHT-IN-COMPUTER HARDWARE</v>
      </c>
      <c r="C41" s="11"/>
      <c r="D41" s="2">
        <v>70</v>
      </c>
      <c r="E41" s="2"/>
      <c r="F41" s="22">
        <f t="shared" si="4"/>
        <v>4.0500634124214274E-4</v>
      </c>
      <c r="G41" s="2"/>
      <c r="H41" s="2"/>
      <c r="I41" s="2"/>
      <c r="J41" s="22">
        <f t="shared" si="5"/>
        <v>0</v>
      </c>
      <c r="K41" s="2"/>
      <c r="L41" s="2">
        <f t="shared" si="6"/>
        <v>70</v>
      </c>
      <c r="M41" s="2"/>
      <c r="N41" s="22">
        <f t="shared" si="7"/>
        <v>0</v>
      </c>
      <c r="O41" s="11"/>
      <c r="P41" s="2">
        <v>94</v>
      </c>
      <c r="Q41" s="2"/>
      <c r="R41" s="22">
        <f t="shared" si="8"/>
        <v>8.2737627549404874E-5</v>
      </c>
      <c r="S41" s="2"/>
      <c r="T41" s="2"/>
      <c r="U41" s="2"/>
      <c r="V41" s="22">
        <f t="shared" si="9"/>
        <v>0</v>
      </c>
      <c r="W41" s="2"/>
      <c r="X41" s="2">
        <f t="shared" si="10"/>
        <v>94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"5583", " - ", "FREIGHT-IN-COMPUTER EQUIPMENT")</f>
        <v xml:space="preserve">          5583 - FREIGHT-IN-COMPUTER EQUIPMENT</v>
      </c>
      <c r="C42" s="11"/>
      <c r="D42" s="2">
        <v>51.78</v>
      </c>
      <c r="E42" s="2"/>
      <c r="F42" s="22">
        <f t="shared" si="4"/>
        <v>2.9958897642168791E-4</v>
      </c>
      <c r="G42" s="2"/>
      <c r="H42" s="2"/>
      <c r="I42" s="2"/>
      <c r="J42" s="22">
        <f t="shared" si="5"/>
        <v>0</v>
      </c>
      <c r="K42" s="2"/>
      <c r="L42" s="2">
        <f t="shared" si="6"/>
        <v>51.78</v>
      </c>
      <c r="M42" s="2"/>
      <c r="N42" s="22">
        <f t="shared" si="7"/>
        <v>0</v>
      </c>
      <c r="O42" s="11"/>
      <c r="P42" s="2">
        <v>225.17</v>
      </c>
      <c r="Q42" s="2"/>
      <c r="R42" s="22">
        <f t="shared" si="8"/>
        <v>1.9819182548190951E-4</v>
      </c>
      <c r="S42" s="2"/>
      <c r="T42" s="2"/>
      <c r="U42" s="2"/>
      <c r="V42" s="22">
        <f t="shared" si="9"/>
        <v>0</v>
      </c>
      <c r="W42" s="2"/>
      <c r="X42" s="2">
        <f t="shared" si="10"/>
        <v>225.17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"5586", " - ", "FREIGHT-IN-COMPUTER SUPPLIES")</f>
        <v xml:space="preserve">          5586 - FREIGHT-IN-COMPUTER SUPPLIES</v>
      </c>
      <c r="C43" s="11"/>
      <c r="D43" s="2"/>
      <c r="E43" s="2"/>
      <c r="F43" s="22">
        <f t="shared" si="4"/>
        <v>0</v>
      </c>
      <c r="G43" s="2"/>
      <c r="H43" s="2"/>
      <c r="I43" s="2"/>
      <c r="J43" s="22">
        <f t="shared" si="5"/>
        <v>0</v>
      </c>
      <c r="K43" s="2"/>
      <c r="L43" s="2">
        <f t="shared" si="6"/>
        <v>0</v>
      </c>
      <c r="M43" s="2"/>
      <c r="N43" s="22">
        <f t="shared" si="7"/>
        <v>0</v>
      </c>
      <c r="O43" s="11"/>
      <c r="P43" s="2">
        <v>24.12</v>
      </c>
      <c r="Q43" s="2"/>
      <c r="R43" s="22">
        <f t="shared" si="8"/>
        <v>2.1230123154166442E-5</v>
      </c>
      <c r="S43" s="2"/>
      <c r="T43" s="2"/>
      <c r="U43" s="2"/>
      <c r="V43" s="22">
        <f t="shared" si="9"/>
        <v>0</v>
      </c>
      <c r="W43" s="2"/>
      <c r="X43" s="2">
        <f t="shared" si="10"/>
        <v>24.12</v>
      </c>
      <c r="Y43" s="2"/>
      <c r="Z43" s="22">
        <f t="shared" si="11"/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6" t="s">
        <v>6</v>
      </c>
      <c r="C45" s="26"/>
      <c r="D45" s="20">
        <f>D12-D32</f>
        <v>16113.800000000047</v>
      </c>
      <c r="E45" s="13"/>
      <c r="F45" s="19">
        <f>IF(D$12=0,0,D45/D$12)</f>
        <v>9.3231302592966553E-2</v>
      </c>
      <c r="G45" s="13"/>
      <c r="H45" s="20">
        <f>H12-H32</f>
        <v>28828</v>
      </c>
      <c r="I45" s="13"/>
      <c r="J45" s="19">
        <f>IF(H$12=0,0,H45/H$12)</f>
        <v>0.21905109267195527</v>
      </c>
      <c r="K45" s="15"/>
      <c r="L45" s="20">
        <f>+D45-H45</f>
        <v>-12714.199999999953</v>
      </c>
      <c r="M45" s="15"/>
      <c r="N45" s="19">
        <f>IF(H45=0,0,L45/H45)</f>
        <v>-0.44103649229915198</v>
      </c>
      <c r="O45" s="25"/>
      <c r="P45" s="20">
        <f>P12-P32</f>
        <v>54846.529999999795</v>
      </c>
      <c r="Q45" s="13"/>
      <c r="R45" s="19">
        <f>IF(P$12=0,0,P45/P$12)</f>
        <v>4.8275231611885572E-2</v>
      </c>
      <c r="S45" s="13"/>
      <c r="T45" s="20">
        <f>T12-T32</f>
        <v>263845</v>
      </c>
      <c r="U45" s="13"/>
      <c r="V45" s="19">
        <f>IF(T$12=0,0,T45/T$12)</f>
        <v>0.21903757788081174</v>
      </c>
      <c r="W45" s="15"/>
      <c r="X45" s="20">
        <f>+P45-T45</f>
        <v>-208998.4700000002</v>
      </c>
      <c r="Y45" s="15"/>
      <c r="Z45" s="19">
        <f>IF(T45=0,0,X45/T45)</f>
        <v>-0.79212594515719537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5" t="s">
        <v>9</v>
      </c>
      <c r="C47" s="10"/>
      <c r="D47" s="21">
        <f>SUM(OSRRefD22x_0)</f>
        <v>14663.089999999998</v>
      </c>
      <c r="E47" s="21"/>
      <c r="F47" s="31">
        <f t="shared" ref="F47:F58" si="12">IF(D$12=0,0,D47/D$12)</f>
        <v>8.4837777602917872E-2</v>
      </c>
      <c r="G47" s="21"/>
      <c r="H47" s="21">
        <f>SUM(OSRRefH22x_0)</f>
        <v>20718.104328557689</v>
      </c>
      <c r="I47" s="21"/>
      <c r="J47" s="31">
        <f t="shared" ref="J47:J58" si="13">IF(H$12=0,0,H47/H$12)</f>
        <v>0.15742761867844207</v>
      </c>
      <c r="K47" s="4"/>
      <c r="L47" s="21">
        <f t="shared" ref="L47:L58" si="14">+D47-H47</f>
        <v>-6055.0143285576905</v>
      </c>
      <c r="M47" s="4"/>
      <c r="N47" s="31">
        <f t="shared" ref="N47:N58" si="15">IF(H47=0,0,L47/H47)</f>
        <v>-0.29225715985084127</v>
      </c>
      <c r="O47" s="10"/>
      <c r="P47" s="21">
        <f>SUM(OSRRefP22x_0)</f>
        <v>53904.79</v>
      </c>
      <c r="Q47" s="21"/>
      <c r="R47" s="31">
        <f t="shared" ref="R47:R58" si="16">IF(P$12=0,0,P47/P$12)</f>
        <v>4.7446323810094518E-2</v>
      </c>
      <c r="S47" s="21"/>
      <c r="T47" s="21">
        <f>SUM(OSRRefT22x_0)</f>
        <v>81299.939082807687</v>
      </c>
      <c r="U47" s="21"/>
      <c r="V47" s="31">
        <f t="shared" ref="V47:V58" si="17">IF(T$12=0,0,T47/T$12)</f>
        <v>6.7493193877298185E-2</v>
      </c>
      <c r="W47" s="4"/>
      <c r="X47" s="21">
        <f t="shared" ref="X47:X58" si="18">+P47-T47</f>
        <v>-27395.149082807686</v>
      </c>
      <c r="Y47" s="4"/>
      <c r="Z47" s="31">
        <f t="shared" ref="Z47:Z58" si="19">IF(T47=0,0,X47/T47)</f>
        <v>-0.33696395583893957</v>
      </c>
    </row>
    <row r="48" spans="1:26" s="27" customFormat="1" outlineLevel="1" collapsed="1" x14ac:dyDescent="0.25">
      <c r="A48" s="29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3471.1499999999996</v>
      </c>
      <c r="E48" s="1"/>
      <c r="F48" s="5">
        <f t="shared" si="12"/>
        <v>2.0083396591466626E-2</v>
      </c>
      <c r="G48" s="1"/>
      <c r="H48" s="1">
        <f>SUM(OSRRefH22_0x_0)</f>
        <v>2935.6830785576899</v>
      </c>
      <c r="I48" s="1"/>
      <c r="J48" s="5">
        <f t="shared" si="13"/>
        <v>2.2306944154871354E-2</v>
      </c>
      <c r="K48" s="1"/>
      <c r="L48" s="1">
        <f t="shared" si="14"/>
        <v>535.46692144230974</v>
      </c>
      <c r="M48" s="1"/>
      <c r="N48" s="5">
        <f t="shared" si="15"/>
        <v>0.18239943042672926</v>
      </c>
      <c r="O48" s="14"/>
      <c r="P48" s="1">
        <f>SUM(OSRRefP22_0x_0)</f>
        <v>11959.910000000002</v>
      </c>
      <c r="Q48" s="1"/>
      <c r="R48" s="5">
        <f t="shared" si="16"/>
        <v>1.0526963607493649E-2</v>
      </c>
      <c r="S48" s="1"/>
      <c r="T48" s="1">
        <f>SUM(OSRRefT22_0x_0)</f>
        <v>10872.876582807685</v>
      </c>
      <c r="U48" s="1"/>
      <c r="V48" s="5">
        <f t="shared" si="17"/>
        <v>9.0263925838852069E-3</v>
      </c>
      <c r="W48" s="1"/>
      <c r="X48" s="1">
        <f t="shared" si="18"/>
        <v>1087.0334171923168</v>
      </c>
      <c r="Y48" s="1"/>
      <c r="Z48" s="5">
        <f t="shared" si="19"/>
        <v>9.9976616943408189E-2</v>
      </c>
    </row>
    <row r="49" spans="1:26" s="24" customFormat="1" hidden="1" outlineLevel="2" x14ac:dyDescent="0.25">
      <c r="A49" s="28"/>
      <c r="B49" s="11" t="str">
        <f>CONCATENATE("          ", "6111", " - ", "F.I.C.A.")</f>
        <v xml:space="preserve">          6111 - F.I.C.A.</v>
      </c>
      <c r="C49" s="11"/>
      <c r="D49" s="7">
        <v>929.65</v>
      </c>
      <c r="E49" s="2"/>
      <c r="F49" s="6">
        <f t="shared" si="12"/>
        <v>5.3787735019394005E-3</v>
      </c>
      <c r="G49" s="2"/>
      <c r="H49" s="7">
        <v>532.10352375000002</v>
      </c>
      <c r="I49" s="2"/>
      <c r="J49" s="6">
        <f t="shared" si="13"/>
        <v>4.0432169519923405E-3</v>
      </c>
      <c r="K49" s="2"/>
      <c r="L49" s="7">
        <f t="shared" si="14"/>
        <v>397.54647624999996</v>
      </c>
      <c r="M49" s="2"/>
      <c r="N49" s="6">
        <f t="shared" si="15"/>
        <v>0.74712242732070411</v>
      </c>
      <c r="O49" s="11"/>
      <c r="P49" s="7">
        <v>2499.0100000000002</v>
      </c>
      <c r="Q49" s="2"/>
      <c r="R49" s="6">
        <f t="shared" si="16"/>
        <v>2.199597432151471E-3</v>
      </c>
      <c r="S49" s="2"/>
      <c r="T49" s="7">
        <v>2342.9162054999997</v>
      </c>
      <c r="U49" s="2"/>
      <c r="V49" s="6">
        <f t="shared" si="17"/>
        <v>1.9450309493468593E-3</v>
      </c>
      <c r="W49" s="2"/>
      <c r="X49" s="7">
        <f t="shared" si="18"/>
        <v>156.09379450000051</v>
      </c>
      <c r="Y49" s="2"/>
      <c r="Z49" s="6">
        <f t="shared" si="19"/>
        <v>6.66237205298124E-2</v>
      </c>
    </row>
    <row r="50" spans="1:26" s="24" customFormat="1" hidden="1" outlineLevel="2" x14ac:dyDescent="0.25">
      <c r="A50" s="28"/>
      <c r="B50" s="11" t="str">
        <f>CONCATENATE("          ", "6112", " - ", "COMPENSATION INSURANCE")</f>
        <v xml:space="preserve">          6112 - COMPENSATION INSURANCE</v>
      </c>
      <c r="C50" s="11"/>
      <c r="D50" s="7">
        <v>156.43</v>
      </c>
      <c r="E50" s="2"/>
      <c r="F50" s="6">
        <f t="shared" si="12"/>
        <v>9.0507345657869136E-4</v>
      </c>
      <c r="G50" s="2"/>
      <c r="H50" s="7">
        <v>256.87018749999999</v>
      </c>
      <c r="I50" s="2"/>
      <c r="J50" s="6">
        <f t="shared" si="13"/>
        <v>1.9518417943223609E-3</v>
      </c>
      <c r="K50" s="2"/>
      <c r="L50" s="7">
        <f t="shared" si="14"/>
        <v>-100.44018749999998</v>
      </c>
      <c r="M50" s="2"/>
      <c r="N50" s="6">
        <f t="shared" si="15"/>
        <v>-0.39101535478888527</v>
      </c>
      <c r="O50" s="11"/>
      <c r="P50" s="7">
        <v>468.93</v>
      </c>
      <c r="Q50" s="2"/>
      <c r="R50" s="6">
        <f t="shared" si="16"/>
        <v>4.1274633709300457E-4</v>
      </c>
      <c r="S50" s="2"/>
      <c r="T50" s="7">
        <v>806.73597500000005</v>
      </c>
      <c r="U50" s="2"/>
      <c r="V50" s="6">
        <f t="shared" si="17"/>
        <v>6.6973220623212538E-4</v>
      </c>
      <c r="W50" s="2"/>
      <c r="X50" s="7">
        <f t="shared" si="18"/>
        <v>-337.80597500000005</v>
      </c>
      <c r="Y50" s="2"/>
      <c r="Z50" s="6">
        <f t="shared" si="19"/>
        <v>-0.41873176041269267</v>
      </c>
    </row>
    <row r="51" spans="1:26" s="24" customFormat="1" hidden="1" outlineLevel="2" x14ac:dyDescent="0.25">
      <c r="A51" s="28"/>
      <c r="B51" s="11" t="str">
        <f>CONCATENATE("          ", "6113", " - ", "GROUP INSURANCE")</f>
        <v xml:space="preserve">          6113 - GROUP INSURANCE</v>
      </c>
      <c r="C51" s="11"/>
      <c r="D51" s="7">
        <v>1035.69</v>
      </c>
      <c r="E51" s="2"/>
      <c r="F51" s="6">
        <f t="shared" si="12"/>
        <v>5.992300250872498E-3</v>
      </c>
      <c r="G51" s="2"/>
      <c r="H51" s="7">
        <v>1099.8076923076899</v>
      </c>
      <c r="I51" s="2"/>
      <c r="J51" s="6">
        <f t="shared" si="13"/>
        <v>8.3569472987727565E-3</v>
      </c>
      <c r="K51" s="2"/>
      <c r="L51" s="7">
        <f t="shared" si="14"/>
        <v>-64.117692307689822</v>
      </c>
      <c r="M51" s="2"/>
      <c r="N51" s="6">
        <f t="shared" si="15"/>
        <v>-5.8299003322257008E-2</v>
      </c>
      <c r="O51" s="11"/>
      <c r="P51" s="7">
        <v>4142.76</v>
      </c>
      <c r="Q51" s="2"/>
      <c r="R51" s="6">
        <f t="shared" si="16"/>
        <v>3.6464056798571551E-3</v>
      </c>
      <c r="S51" s="2"/>
      <c r="T51" s="7">
        <v>4092.3076923076878</v>
      </c>
      <c r="U51" s="2"/>
      <c r="V51" s="6">
        <f t="shared" si="17"/>
        <v>3.3973323916166318E-3</v>
      </c>
      <c r="W51" s="2"/>
      <c r="X51" s="7">
        <f t="shared" si="18"/>
        <v>50.452307692312388</v>
      </c>
      <c r="Y51" s="2"/>
      <c r="Z51" s="6">
        <f t="shared" si="19"/>
        <v>1.2328571428572589E-2</v>
      </c>
    </row>
    <row r="52" spans="1:26" s="24" customFormat="1" hidden="1" outlineLevel="2" x14ac:dyDescent="0.25">
      <c r="A52" s="28"/>
      <c r="B52" s="11" t="str">
        <f>CONCATENATE("          ", "6114", " - ", "STATE UNEMPLOYMENT INSURANCE")</f>
        <v xml:space="preserve">          6114 - STATE UNEMPLOYMENT INSURANCE</v>
      </c>
      <c r="C52" s="11"/>
      <c r="D52" s="7">
        <v>21.98</v>
      </c>
      <c r="E52" s="2"/>
      <c r="F52" s="6">
        <f t="shared" si="12"/>
        <v>1.2717199115003282E-4</v>
      </c>
      <c r="G52" s="2"/>
      <c r="H52" s="7">
        <v>36.100675000000003</v>
      </c>
      <c r="I52" s="2"/>
      <c r="J52" s="6">
        <f t="shared" si="13"/>
        <v>2.743129008236832E-4</v>
      </c>
      <c r="K52" s="2"/>
      <c r="L52" s="7">
        <f t="shared" si="14"/>
        <v>-14.120675000000002</v>
      </c>
      <c r="M52" s="2"/>
      <c r="N52" s="6">
        <f t="shared" si="15"/>
        <v>-0.3911471184403062</v>
      </c>
      <c r="O52" s="11"/>
      <c r="P52" s="7">
        <v>80.599999999999994</v>
      </c>
      <c r="Q52" s="2"/>
      <c r="R52" s="6">
        <f t="shared" si="16"/>
        <v>7.0943114685979072E-5</v>
      </c>
      <c r="S52" s="2"/>
      <c r="T52" s="7">
        <v>113.37911</v>
      </c>
      <c r="U52" s="2"/>
      <c r="V52" s="6">
        <f t="shared" si="17"/>
        <v>9.4124526281271664E-5</v>
      </c>
      <c r="W52" s="2"/>
      <c r="X52" s="7">
        <f t="shared" si="18"/>
        <v>-32.779110000000003</v>
      </c>
      <c r="Y52" s="2"/>
      <c r="Z52" s="6">
        <f t="shared" si="19"/>
        <v>-0.28911066597718049</v>
      </c>
    </row>
    <row r="53" spans="1:26" s="24" customFormat="1" hidden="1" outlineLevel="2" x14ac:dyDescent="0.25">
      <c r="A53" s="28"/>
      <c r="B53" s="11" t="str">
        <f>CONCATENATE("          ", "6115", " - ", "P.E.R.S.")</f>
        <v xml:space="preserve">          6115 - P.E.R.S.</v>
      </c>
      <c r="C53" s="11"/>
      <c r="D53" s="7">
        <v>176.42</v>
      </c>
      <c r="E53" s="2"/>
      <c r="F53" s="6">
        <f t="shared" si="12"/>
        <v>1.0207316960276975E-3</v>
      </c>
      <c r="G53" s="2"/>
      <c r="H53" s="7">
        <v>245.34725</v>
      </c>
      <c r="I53" s="2"/>
      <c r="J53" s="6">
        <f t="shared" si="13"/>
        <v>1.8642841402996869E-3</v>
      </c>
      <c r="K53" s="2"/>
      <c r="L53" s="7">
        <f t="shared" si="14"/>
        <v>-68.927250000000015</v>
      </c>
      <c r="M53" s="2"/>
      <c r="N53" s="6">
        <f t="shared" si="15"/>
        <v>-0.28093752833993457</v>
      </c>
      <c r="O53" s="11"/>
      <c r="P53" s="7">
        <v>793.89</v>
      </c>
      <c r="Q53" s="2"/>
      <c r="R53" s="6">
        <f t="shared" si="16"/>
        <v>6.9877207590635147E-4</v>
      </c>
      <c r="S53" s="2"/>
      <c r="T53" s="7">
        <v>883.25009999999997</v>
      </c>
      <c r="U53" s="2"/>
      <c r="V53" s="6">
        <f t="shared" si="17"/>
        <v>7.3325233590549287E-4</v>
      </c>
      <c r="W53" s="2"/>
      <c r="X53" s="7">
        <f t="shared" si="18"/>
        <v>-89.360099999999989</v>
      </c>
      <c r="Y53" s="2"/>
      <c r="Z53" s="6">
        <f t="shared" si="19"/>
        <v>-0.10117191042491815</v>
      </c>
    </row>
    <row r="54" spans="1:26" s="24" customFormat="1" hidden="1" outlineLevel="2" x14ac:dyDescent="0.25">
      <c r="A54" s="28"/>
      <c r="B54" s="11" t="str">
        <f>CONCATENATE("          ", "6116", " - ", "EDUCATIONAL BENEFITS")</f>
        <v xml:space="preserve">          6116 - EDUCATIONAL BENEFITS</v>
      </c>
      <c r="C54" s="11"/>
      <c r="D54" s="7"/>
      <c r="E54" s="2"/>
      <c r="F54" s="6">
        <f t="shared" si="12"/>
        <v>0</v>
      </c>
      <c r="G54" s="2"/>
      <c r="H54" s="7">
        <v>0</v>
      </c>
      <c r="I54" s="2"/>
      <c r="J54" s="6">
        <f t="shared" si="13"/>
        <v>0</v>
      </c>
      <c r="K54" s="2"/>
      <c r="L54" s="7">
        <f t="shared" si="14"/>
        <v>0</v>
      </c>
      <c r="M54" s="2"/>
      <c r="N54" s="6">
        <f t="shared" si="15"/>
        <v>0</v>
      </c>
      <c r="O54" s="11"/>
      <c r="P54" s="7"/>
      <c r="Q54" s="2"/>
      <c r="R54" s="6">
        <f t="shared" si="16"/>
        <v>0</v>
      </c>
      <c r="S54" s="2"/>
      <c r="T54" s="7">
        <v>0</v>
      </c>
      <c r="U54" s="2"/>
      <c r="V54" s="6">
        <f t="shared" si="17"/>
        <v>0</v>
      </c>
      <c r="W54" s="2"/>
      <c r="X54" s="7">
        <f t="shared" si="18"/>
        <v>0</v>
      </c>
      <c r="Y54" s="2"/>
      <c r="Z54" s="6">
        <f t="shared" si="19"/>
        <v>0</v>
      </c>
    </row>
    <row r="55" spans="1:26" s="24" customFormat="1" hidden="1" outlineLevel="2" x14ac:dyDescent="0.25">
      <c r="A55" s="28"/>
      <c r="B55" s="11" t="str">
        <f>CONCATENATE("          ", "6117", " - ", "RETIREMENT STAFF HOURLY")</f>
        <v xml:space="preserve">          6117 - RETIREMENT STAFF HOURLY</v>
      </c>
      <c r="C55" s="11"/>
      <c r="D55" s="7">
        <v>155.75</v>
      </c>
      <c r="E55" s="2"/>
      <c r="F55" s="6">
        <f t="shared" si="12"/>
        <v>9.0113910926376765E-4</v>
      </c>
      <c r="G55" s="2"/>
      <c r="H55" s="7"/>
      <c r="I55" s="2"/>
      <c r="J55" s="6">
        <f t="shared" si="13"/>
        <v>0</v>
      </c>
      <c r="K55" s="2"/>
      <c r="L55" s="7">
        <f t="shared" si="14"/>
        <v>155.75</v>
      </c>
      <c r="M55" s="2"/>
      <c r="N55" s="6">
        <f t="shared" si="15"/>
        <v>0</v>
      </c>
      <c r="O55" s="11"/>
      <c r="P55" s="7">
        <v>779.56</v>
      </c>
      <c r="Q55" s="2"/>
      <c r="R55" s="6">
        <f t="shared" si="16"/>
        <v>6.8615898864270272E-4</v>
      </c>
      <c r="S55" s="2"/>
      <c r="T55" s="7"/>
      <c r="U55" s="2"/>
      <c r="V55" s="6">
        <f t="shared" si="17"/>
        <v>0</v>
      </c>
      <c r="W55" s="2"/>
      <c r="X55" s="7">
        <f t="shared" si="18"/>
        <v>779.56</v>
      </c>
      <c r="Y55" s="2"/>
      <c r="Z55" s="6">
        <f t="shared" si="19"/>
        <v>0</v>
      </c>
    </row>
    <row r="56" spans="1:26" s="24" customFormat="1" hidden="1" outlineLevel="2" x14ac:dyDescent="0.25">
      <c r="A56" s="28"/>
      <c r="B56" s="11" t="str">
        <f>CONCATENATE("          ", "6118", " - ", "VACATION")</f>
        <v xml:space="preserve">          6118 - VACATION</v>
      </c>
      <c r="C56" s="11"/>
      <c r="D56" s="7">
        <v>386.7</v>
      </c>
      <c r="E56" s="2"/>
      <c r="F56" s="6">
        <f t="shared" si="12"/>
        <v>2.2373707451190943E-3</v>
      </c>
      <c r="G56" s="2"/>
      <c r="H56" s="7">
        <v>243.43625</v>
      </c>
      <c r="I56" s="2"/>
      <c r="J56" s="6">
        <f t="shared" si="13"/>
        <v>1.8497633050667153E-3</v>
      </c>
      <c r="K56" s="2"/>
      <c r="L56" s="7">
        <f t="shared" si="14"/>
        <v>143.26374999999999</v>
      </c>
      <c r="M56" s="2"/>
      <c r="N56" s="6">
        <f t="shared" si="15"/>
        <v>0.58850623109746381</v>
      </c>
      <c r="O56" s="11"/>
      <c r="P56" s="7">
        <v>1160.0999999999999</v>
      </c>
      <c r="Q56" s="2"/>
      <c r="R56" s="6">
        <f t="shared" si="16"/>
        <v>1.0211055502134532E-3</v>
      </c>
      <c r="S56" s="2"/>
      <c r="T56" s="7">
        <v>876.37049999999999</v>
      </c>
      <c r="U56" s="2"/>
      <c r="V56" s="6">
        <f t="shared" si="17"/>
        <v>7.2754106254124937E-4</v>
      </c>
      <c r="W56" s="2"/>
      <c r="X56" s="7">
        <f t="shared" si="18"/>
        <v>283.72949999999992</v>
      </c>
      <c r="Y56" s="2"/>
      <c r="Z56" s="6">
        <f t="shared" si="19"/>
        <v>0.32375519258121982</v>
      </c>
    </row>
    <row r="57" spans="1:26" s="24" customFormat="1" hidden="1" outlineLevel="2" x14ac:dyDescent="0.25">
      <c r="A57" s="28"/>
      <c r="B57" s="11" t="str">
        <f>CONCATENATE("          ", "6119", " - ", "SICK LEAVE")</f>
        <v xml:space="preserve">          6119 - SICK LEAVE</v>
      </c>
      <c r="C57" s="11"/>
      <c r="D57" s="7">
        <v>384.85</v>
      </c>
      <c r="E57" s="2"/>
      <c r="F57" s="6">
        <f t="shared" si="12"/>
        <v>2.2266670061005522E-3</v>
      </c>
      <c r="G57" s="2"/>
      <c r="H57" s="7">
        <v>347.01749999999998</v>
      </c>
      <c r="I57" s="2"/>
      <c r="J57" s="6">
        <f t="shared" si="13"/>
        <v>2.6368309473876173E-3</v>
      </c>
      <c r="K57" s="2"/>
      <c r="L57" s="7">
        <f t="shared" si="14"/>
        <v>37.832500000000039</v>
      </c>
      <c r="M57" s="2"/>
      <c r="N57" s="6">
        <f t="shared" si="15"/>
        <v>0.10902187930003542</v>
      </c>
      <c r="O57" s="11"/>
      <c r="P57" s="7">
        <v>1154.56</v>
      </c>
      <c r="Q57" s="2"/>
      <c r="R57" s="6">
        <f t="shared" si="16"/>
        <v>1.0162293113132009E-3</v>
      </c>
      <c r="S57" s="2"/>
      <c r="T57" s="7">
        <v>1057.9169999999999</v>
      </c>
      <c r="U57" s="2"/>
      <c r="V57" s="6">
        <f t="shared" si="17"/>
        <v>8.7825646602715491E-4</v>
      </c>
      <c r="W57" s="2"/>
      <c r="X57" s="7">
        <f t="shared" si="18"/>
        <v>96.643000000000029</v>
      </c>
      <c r="Y57" s="2"/>
      <c r="Z57" s="6">
        <f t="shared" si="19"/>
        <v>9.1352157116295546E-2</v>
      </c>
    </row>
    <row r="58" spans="1:26" s="24" customFormat="1" hidden="1" outlineLevel="2" x14ac:dyDescent="0.25">
      <c r="A58" s="28"/>
      <c r="B58" s="11" t="str">
        <f>CONCATENATE("          ", "6156", " - ", "EMPLOYEE MEALS")</f>
        <v xml:space="preserve">          6156 - EMPLOYEE MEALS</v>
      </c>
      <c r="C58" s="11"/>
      <c r="D58" s="7">
        <v>223.68</v>
      </c>
      <c r="E58" s="2"/>
      <c r="F58" s="6">
        <f t="shared" si="12"/>
        <v>1.2941688344148929E-3</v>
      </c>
      <c r="G58" s="2"/>
      <c r="H58" s="7">
        <v>175</v>
      </c>
      <c r="I58" s="2"/>
      <c r="J58" s="6">
        <f t="shared" si="13"/>
        <v>1.3297468162061944E-3</v>
      </c>
      <c r="K58" s="2"/>
      <c r="L58" s="7">
        <f t="shared" si="14"/>
        <v>48.680000000000007</v>
      </c>
      <c r="M58" s="2"/>
      <c r="N58" s="6">
        <f t="shared" si="15"/>
        <v>0.27817142857142862</v>
      </c>
      <c r="O58" s="11"/>
      <c r="P58" s="7">
        <v>880.5</v>
      </c>
      <c r="Q58" s="2"/>
      <c r="R58" s="6">
        <f t="shared" si="16"/>
        <v>7.7500511763032968E-4</v>
      </c>
      <c r="S58" s="2"/>
      <c r="T58" s="7">
        <v>700</v>
      </c>
      <c r="U58" s="2"/>
      <c r="V58" s="6">
        <f t="shared" si="17"/>
        <v>5.8112264593442443E-4</v>
      </c>
      <c r="W58" s="2"/>
      <c r="X58" s="7">
        <f t="shared" si="18"/>
        <v>180.5</v>
      </c>
      <c r="Y58" s="2"/>
      <c r="Z58" s="6">
        <f t="shared" si="19"/>
        <v>0.25785714285714284</v>
      </c>
    </row>
    <row r="59" spans="1:26" s="27" customFormat="1" outlineLevel="1" collapsed="1" x14ac:dyDescent="0.25">
      <c r="A59" s="29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8904.4</v>
      </c>
      <c r="E59" s="1"/>
      <c r="F59" s="5">
        <f t="shared" ref="F59:F69" si="20">IF(D$12=0,0,D59/D$12)</f>
        <v>5.151912092795051E-2</v>
      </c>
      <c r="G59" s="1"/>
      <c r="H59" s="1">
        <f>SUM(OSRRefH22_1x_0)</f>
        <v>13294.421249999999</v>
      </c>
      <c r="I59" s="1"/>
      <c r="J59" s="5">
        <f t="shared" ref="J59:J69" si="21">IF(H$12=0,0,H59/H$12)</f>
        <v>0.10101836760280843</v>
      </c>
      <c r="K59" s="1"/>
      <c r="L59" s="1">
        <f t="shared" ref="L59:L69" si="22">+D59-H59</f>
        <v>-4390.0212499999998</v>
      </c>
      <c r="M59" s="1"/>
      <c r="N59" s="5">
        <f t="shared" ref="N59:N69" si="23">IF(H59=0,0,L59/H59)</f>
        <v>-0.33021529613408329</v>
      </c>
      <c r="O59" s="14"/>
      <c r="P59" s="1">
        <f>SUM(OSRRefP22_1x_0)</f>
        <v>32163.57</v>
      </c>
      <c r="Q59" s="1"/>
      <c r="R59" s="5">
        <f t="shared" ref="R59:R69" si="24">IF(P$12=0,0,P59/P$12)</f>
        <v>2.8309973141693746E-2</v>
      </c>
      <c r="S59" s="1"/>
      <c r="T59" s="1">
        <f>SUM(OSRRefT22_1x_0)</f>
        <v>41673.0625</v>
      </c>
      <c r="U59" s="1"/>
      <c r="V59" s="5">
        <f t="shared" ref="V59:V69" si="25">IF(T$12=0,0,T59/T$12)</f>
        <v>3.459594334884377E-2</v>
      </c>
      <c r="W59" s="1"/>
      <c r="X59" s="1">
        <f t="shared" ref="X59:X69" si="26">+P59-T59</f>
        <v>-9509.4925000000003</v>
      </c>
      <c r="Y59" s="1"/>
      <c r="Z59" s="5">
        <f t="shared" ref="Z59:Z69" si="27">IF(T59=0,0,X59/T59)</f>
        <v>-0.22819279240636564</v>
      </c>
    </row>
    <row r="60" spans="1:26" s="24" customFormat="1" hidden="1" outlineLevel="2" x14ac:dyDescent="0.25">
      <c r="A60" s="28"/>
      <c r="B60" s="11" t="str">
        <f>CONCATENATE("          ", "6001", " - ", "ADMINISTRATIVE SALARIES")</f>
        <v xml:space="preserve">          6001 - ADMINISTRATIVE SALARIES</v>
      </c>
      <c r="C60" s="11"/>
      <c r="D60" s="7"/>
      <c r="E60" s="2"/>
      <c r="F60" s="6">
        <f t="shared" si="20"/>
        <v>0</v>
      </c>
      <c r="G60" s="2"/>
      <c r="H60" s="7">
        <v>0</v>
      </c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/>
      <c r="Q60" s="2"/>
      <c r="R60" s="6">
        <f t="shared" si="24"/>
        <v>0</v>
      </c>
      <c r="S60" s="2"/>
      <c r="T60" s="7">
        <v>0</v>
      </c>
      <c r="U60" s="2"/>
      <c r="V60" s="6">
        <f t="shared" si="25"/>
        <v>0</v>
      </c>
      <c r="W60" s="2"/>
      <c r="X60" s="7">
        <f t="shared" si="26"/>
        <v>0</v>
      </c>
      <c r="Y60" s="2"/>
      <c r="Z60" s="6">
        <f t="shared" si="27"/>
        <v>0</v>
      </c>
    </row>
    <row r="61" spans="1:26" s="24" customFormat="1" hidden="1" outlineLevel="2" x14ac:dyDescent="0.25">
      <c r="A61" s="28"/>
      <c r="B61" s="11" t="str">
        <f>CONCATENATE("          ", "6002", " - ", "STAFF SALARIES")</f>
        <v xml:space="preserve">          6002 - STAFF SALARIES</v>
      </c>
      <c r="C61" s="11"/>
      <c r="D61" s="7">
        <v>2395.9899999999998</v>
      </c>
      <c r="E61" s="2"/>
      <c r="F61" s="6">
        <f t="shared" si="20"/>
        <v>1.3862730622182308E-2</v>
      </c>
      <c r="G61" s="2"/>
      <c r="H61" s="7">
        <v>2710.2312499999998</v>
      </c>
      <c r="I61" s="2"/>
      <c r="J61" s="6">
        <f t="shared" si="21"/>
        <v>2.0593836433543053E-2</v>
      </c>
      <c r="K61" s="2"/>
      <c r="L61" s="7">
        <f t="shared" si="22"/>
        <v>-314.24125000000004</v>
      </c>
      <c r="M61" s="2"/>
      <c r="N61" s="6">
        <f t="shared" si="23"/>
        <v>-0.11594628687127714</v>
      </c>
      <c r="O61" s="11"/>
      <c r="P61" s="7">
        <v>9357.43</v>
      </c>
      <c r="Q61" s="2"/>
      <c r="R61" s="6">
        <f t="shared" si="24"/>
        <v>8.2362931719109321E-3</v>
      </c>
      <c r="S61" s="2"/>
      <c r="T61" s="7">
        <v>9756.8325000000004</v>
      </c>
      <c r="U61" s="2"/>
      <c r="V61" s="6">
        <f t="shared" si="25"/>
        <v>8.0998804547699789E-3</v>
      </c>
      <c r="W61" s="2"/>
      <c r="X61" s="7">
        <f t="shared" si="26"/>
        <v>-399.40250000000015</v>
      </c>
      <c r="Y61" s="2"/>
      <c r="Z61" s="6">
        <f t="shared" si="27"/>
        <v>-4.0935672514619895E-2</v>
      </c>
    </row>
    <row r="62" spans="1:26" s="24" customFormat="1" hidden="1" outlineLevel="2" x14ac:dyDescent="0.25">
      <c r="A62" s="28"/>
      <c r="B62" s="11" t="str">
        <f>CONCATENATE("          ", "6003", " - ", "STAFF HOURLY-9 MONTH")</f>
        <v xml:space="preserve">          6003 - STAFF HOURLY-9 MONTH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25">
      <c r="A63" s="28"/>
      <c r="B63" s="11" t="str">
        <f>CONCATENATE("          ", "6004", " - ", "STAFF HOURLY")</f>
        <v xml:space="preserve">          6004 - STAFF HOURLY</v>
      </c>
      <c r="C63" s="11"/>
      <c r="D63" s="7">
        <v>3871.43</v>
      </c>
      <c r="E63" s="2"/>
      <c r="F63" s="6">
        <f t="shared" si="20"/>
        <v>2.2399338566786695E-2</v>
      </c>
      <c r="G63" s="2"/>
      <c r="H63" s="7">
        <v>3860.15</v>
      </c>
      <c r="I63" s="2"/>
      <c r="J63" s="6">
        <f t="shared" si="21"/>
        <v>2.9331555271876236E-2</v>
      </c>
      <c r="K63" s="2"/>
      <c r="L63" s="7">
        <f t="shared" si="22"/>
        <v>11.279999999999745</v>
      </c>
      <c r="M63" s="2"/>
      <c r="N63" s="6">
        <f t="shared" si="23"/>
        <v>2.9221662370632604E-3</v>
      </c>
      <c r="O63" s="11"/>
      <c r="P63" s="7">
        <v>14420.64</v>
      </c>
      <c r="Q63" s="2"/>
      <c r="R63" s="6">
        <f t="shared" si="24"/>
        <v>1.2692867461106913E-2</v>
      </c>
      <c r="S63" s="2"/>
      <c r="T63" s="7">
        <v>13896.54</v>
      </c>
      <c r="U63" s="2"/>
      <c r="V63" s="6">
        <f t="shared" si="25"/>
        <v>1.1536562991619382E-2</v>
      </c>
      <c r="W63" s="2"/>
      <c r="X63" s="7">
        <f t="shared" si="26"/>
        <v>524.09999999999854</v>
      </c>
      <c r="Y63" s="2"/>
      <c r="Z63" s="6">
        <f t="shared" si="27"/>
        <v>3.7714423878173885E-2</v>
      </c>
    </row>
    <row r="64" spans="1:26" s="24" customFormat="1" hidden="1" outlineLevel="2" x14ac:dyDescent="0.25">
      <c r="A64" s="28"/>
      <c r="B64" s="11" t="str">
        <f>CONCATENATE("          ", "6005", " - ", "TEMPORARY WAGES-HOURLY")</f>
        <v xml:space="preserve">          6005 - TEMPORARY WAGES-HOURLY</v>
      </c>
      <c r="C64" s="11"/>
      <c r="D64" s="7"/>
      <c r="E64" s="2"/>
      <c r="F64" s="6">
        <f t="shared" si="20"/>
        <v>0</v>
      </c>
      <c r="G64" s="2"/>
      <c r="H64" s="7">
        <v>0</v>
      </c>
      <c r="I64" s="2"/>
      <c r="J64" s="6">
        <f t="shared" si="21"/>
        <v>0</v>
      </c>
      <c r="K64" s="2"/>
      <c r="L64" s="7">
        <f t="shared" si="22"/>
        <v>0</v>
      </c>
      <c r="M64" s="2"/>
      <c r="N64" s="6">
        <f t="shared" si="23"/>
        <v>0</v>
      </c>
      <c r="O64" s="11"/>
      <c r="P64" s="7"/>
      <c r="Q64" s="2"/>
      <c r="R64" s="6">
        <f t="shared" si="24"/>
        <v>0</v>
      </c>
      <c r="S64" s="2"/>
      <c r="T64" s="7">
        <v>0</v>
      </c>
      <c r="U64" s="2"/>
      <c r="V64" s="6">
        <f t="shared" si="25"/>
        <v>0</v>
      </c>
      <c r="W64" s="2"/>
      <c r="X64" s="7">
        <f t="shared" si="26"/>
        <v>0</v>
      </c>
      <c r="Y64" s="2"/>
      <c r="Z64" s="6">
        <f t="shared" si="27"/>
        <v>0</v>
      </c>
    </row>
    <row r="65" spans="1:26" s="24" customFormat="1" hidden="1" outlineLevel="2" x14ac:dyDescent="0.25">
      <c r="A65" s="28"/>
      <c r="B65" s="11" t="str">
        <f>CONCATENATE("          ", "6006", " - ", "TEMPORARY PART TIME")</f>
        <v xml:space="preserve">          6006 - TEMPORARY PART TIME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4" customFormat="1" hidden="1" outlineLevel="2" x14ac:dyDescent="0.25">
      <c r="A66" s="28"/>
      <c r="B66" s="11" t="str">
        <f>CONCATENATE("          ", "6007", " - ", "STUDENT HOURLY")</f>
        <v xml:space="preserve">          6007 - STUDENT HOURLY</v>
      </c>
      <c r="C66" s="11"/>
      <c r="D66" s="7">
        <v>2636.98</v>
      </c>
      <c r="E66" s="2"/>
      <c r="F66" s="6">
        <f t="shared" si="20"/>
        <v>1.5257051738981509E-2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2636.98</v>
      </c>
      <c r="M66" s="2"/>
      <c r="N66" s="6">
        <f t="shared" si="23"/>
        <v>0</v>
      </c>
      <c r="O66" s="11"/>
      <c r="P66" s="7">
        <v>8385.5</v>
      </c>
      <c r="Q66" s="2"/>
      <c r="R66" s="6">
        <f t="shared" si="24"/>
        <v>7.3808125086758996E-3</v>
      </c>
      <c r="S66" s="2"/>
      <c r="T66" s="7">
        <v>5416.48</v>
      </c>
      <c r="U66" s="2"/>
      <c r="V66" s="6">
        <f t="shared" si="25"/>
        <v>4.4966274132155586E-3</v>
      </c>
      <c r="W66" s="2"/>
      <c r="X66" s="7">
        <f t="shared" si="26"/>
        <v>2969.0200000000004</v>
      </c>
      <c r="Y66" s="2"/>
      <c r="Z66" s="6">
        <f t="shared" si="27"/>
        <v>0.54814565917348546</v>
      </c>
    </row>
    <row r="67" spans="1:26" s="24" customFormat="1" hidden="1" outlineLevel="2" x14ac:dyDescent="0.25">
      <c r="A67" s="28"/>
      <c r="B67" s="11" t="str">
        <f>CONCATENATE("          ", "6008", " - ", "STUDENT HOURLY-FICA EXEMPT")</f>
        <v xml:space="preserve">          6008 - STUDENT HOURLY-FICA EXEMPT</v>
      </c>
      <c r="C67" s="11"/>
      <c r="D67" s="7"/>
      <c r="E67" s="2"/>
      <c r="F67" s="6">
        <f t="shared" si="20"/>
        <v>0</v>
      </c>
      <c r="G67" s="2"/>
      <c r="H67" s="7">
        <v>6724.04</v>
      </c>
      <c r="I67" s="2"/>
      <c r="J67" s="6">
        <f t="shared" si="21"/>
        <v>5.1092975897389134E-2</v>
      </c>
      <c r="K67" s="2"/>
      <c r="L67" s="7">
        <f t="shared" si="22"/>
        <v>-6724.04</v>
      </c>
      <c r="M67" s="2"/>
      <c r="N67" s="6">
        <f t="shared" si="23"/>
        <v>-1</v>
      </c>
      <c r="O67" s="11"/>
      <c r="P67" s="7"/>
      <c r="Q67" s="2"/>
      <c r="R67" s="6">
        <f t="shared" si="24"/>
        <v>0</v>
      </c>
      <c r="S67" s="2"/>
      <c r="T67" s="7">
        <v>12603.21</v>
      </c>
      <c r="U67" s="2"/>
      <c r="V67" s="6">
        <f t="shared" si="25"/>
        <v>1.0462872489238852E-2</v>
      </c>
      <c r="W67" s="2"/>
      <c r="X67" s="7">
        <f t="shared" si="26"/>
        <v>-12603.21</v>
      </c>
      <c r="Y67" s="2"/>
      <c r="Z67" s="6">
        <f t="shared" si="27"/>
        <v>-1</v>
      </c>
    </row>
    <row r="68" spans="1:26" s="24" customFormat="1" hidden="1" outlineLevel="2" x14ac:dyDescent="0.25">
      <c r="A68" s="28"/>
      <c r="B68" s="11" t="str">
        <f>CONCATENATE("          ", "6009", " - ", "TEMPORARY-SEASONAL")</f>
        <v xml:space="preserve">          6009 - TEMPORARY-SEASONAL</v>
      </c>
      <c r="C68" s="11"/>
      <c r="D68" s="7"/>
      <c r="E68" s="2"/>
      <c r="F68" s="6">
        <f t="shared" si="20"/>
        <v>0</v>
      </c>
      <c r="G68" s="2"/>
      <c r="H68" s="7">
        <v>0</v>
      </c>
      <c r="I68" s="2"/>
      <c r="J68" s="6">
        <f t="shared" si="21"/>
        <v>0</v>
      </c>
      <c r="K68" s="2"/>
      <c r="L68" s="7">
        <f t="shared" si="22"/>
        <v>0</v>
      </c>
      <c r="M68" s="2"/>
      <c r="N68" s="6">
        <f t="shared" si="23"/>
        <v>0</v>
      </c>
      <c r="O68" s="11"/>
      <c r="P68" s="7"/>
      <c r="Q68" s="2"/>
      <c r="R68" s="6">
        <f t="shared" si="24"/>
        <v>0</v>
      </c>
      <c r="S68" s="2"/>
      <c r="T68" s="7">
        <v>0</v>
      </c>
      <c r="U68" s="2"/>
      <c r="V68" s="6">
        <f t="shared" si="25"/>
        <v>0</v>
      </c>
      <c r="W68" s="2"/>
      <c r="X68" s="7">
        <f t="shared" si="26"/>
        <v>0</v>
      </c>
      <c r="Y68" s="2"/>
      <c r="Z68" s="6">
        <f t="shared" si="27"/>
        <v>0</v>
      </c>
    </row>
    <row r="69" spans="1:26" s="24" customFormat="1" hidden="1" outlineLevel="2" x14ac:dyDescent="0.25">
      <c r="A69" s="28"/>
      <c r="B69" s="11" t="str">
        <f>CONCATENATE("          ", "6010", " - ", "GRATUITY")</f>
        <v xml:space="preserve">          6010 - GRATUITY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7" customFormat="1" outlineLevel="1" collapsed="1" x14ac:dyDescent="0.25">
      <c r="A70" s="29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0</v>
      </c>
      <c r="E70" s="1"/>
      <c r="F70" s="5">
        <f t="shared" ref="F70:F80" si="28">IF(D$12=0,0,D70/D$12)</f>
        <v>0</v>
      </c>
      <c r="G70" s="1"/>
      <c r="H70" s="1">
        <f>SUM(OSRRefH22_2x_0)</f>
        <v>200</v>
      </c>
      <c r="I70" s="1"/>
      <c r="J70" s="5">
        <f t="shared" ref="J70:J80" si="29">IF(H$12=0,0,H70/H$12)</f>
        <v>1.5197106470927935E-3</v>
      </c>
      <c r="K70" s="1"/>
      <c r="L70" s="1">
        <f t="shared" ref="L70:L80" si="30">+D70-H70</f>
        <v>-200</v>
      </c>
      <c r="M70" s="1"/>
      <c r="N70" s="5">
        <f t="shared" ref="N70:N80" si="31">IF(H70=0,0,L70/H70)</f>
        <v>-1</v>
      </c>
      <c r="O70" s="14"/>
      <c r="P70" s="1">
        <f>SUM(OSRRefP22_2x_0)</f>
        <v>248.88</v>
      </c>
      <c r="Q70" s="1"/>
      <c r="R70" s="5">
        <f t="shared" ref="R70:R80" si="32">IF(P$12=0,0,P70/P$12)</f>
        <v>2.1906107174995623E-4</v>
      </c>
      <c r="S70" s="1"/>
      <c r="T70" s="1">
        <f>SUM(OSRRefT22_2x_0)</f>
        <v>800</v>
      </c>
      <c r="U70" s="1"/>
      <c r="V70" s="5">
        <f t="shared" ref="V70:V80" si="33">IF(T$12=0,0,T70/T$12)</f>
        <v>6.641401667821994E-4</v>
      </c>
      <c r="W70" s="1"/>
      <c r="X70" s="1">
        <f t="shared" ref="X70:X80" si="34">+P70-T70</f>
        <v>-551.12</v>
      </c>
      <c r="Y70" s="1"/>
      <c r="Z70" s="5">
        <f t="shared" ref="Z70:Z80" si="35">IF(T70=0,0,X70/T70)</f>
        <v>-0.68889999999999996</v>
      </c>
    </row>
    <row r="71" spans="1:26" s="24" customFormat="1" hidden="1" outlineLevel="2" x14ac:dyDescent="0.25">
      <c r="A71" s="28"/>
      <c r="B71" s="11" t="str">
        <f>CONCATENATE("          ", "6362", " - ", "ADVERTISING EXPENSE")</f>
        <v xml:space="preserve">          6362 - ADVERTISING EXPENSE</v>
      </c>
      <c r="C71" s="11"/>
      <c r="D71" s="7"/>
      <c r="E71" s="2"/>
      <c r="F71" s="6">
        <f t="shared" si="28"/>
        <v>0</v>
      </c>
      <c r="G71" s="2"/>
      <c r="H71" s="7">
        <v>200</v>
      </c>
      <c r="I71" s="2"/>
      <c r="J71" s="6">
        <f t="shared" si="29"/>
        <v>1.5197106470927935E-3</v>
      </c>
      <c r="K71" s="2"/>
      <c r="L71" s="7">
        <f t="shared" si="30"/>
        <v>-200</v>
      </c>
      <c r="M71" s="2"/>
      <c r="N71" s="6">
        <f t="shared" si="31"/>
        <v>-1</v>
      </c>
      <c r="O71" s="11"/>
      <c r="P71" s="7">
        <v>248.88</v>
      </c>
      <c r="Q71" s="2"/>
      <c r="R71" s="6">
        <f t="shared" si="32"/>
        <v>2.1906107174995623E-4</v>
      </c>
      <c r="S71" s="2"/>
      <c r="T71" s="7">
        <v>800</v>
      </c>
      <c r="U71" s="2"/>
      <c r="V71" s="6">
        <f t="shared" si="33"/>
        <v>6.641401667821994E-4</v>
      </c>
      <c r="W71" s="2"/>
      <c r="X71" s="7">
        <f t="shared" si="34"/>
        <v>-551.12</v>
      </c>
      <c r="Y71" s="2"/>
      <c r="Z71" s="6">
        <f t="shared" si="35"/>
        <v>-0.68889999999999996</v>
      </c>
    </row>
    <row r="72" spans="1:26" s="27" customFormat="1" outlineLevel="1" collapsed="1" x14ac:dyDescent="0.25">
      <c r="A72" s="29"/>
      <c r="B72" s="14" t="str">
        <f>CONCATENATE("     ","Depreciation                                      ")</f>
        <v xml:space="preserve">     Depreciation                                      </v>
      </c>
      <c r="C72" s="14"/>
      <c r="D72" s="1">
        <f>SUM(OSRRefD22_3x_0)</f>
        <v>280.44</v>
      </c>
      <c r="E72" s="1"/>
      <c r="F72" s="5">
        <f t="shared" si="28"/>
        <v>1.6225711191135217E-3</v>
      </c>
      <c r="G72" s="1"/>
      <c r="H72" s="1">
        <f>SUM(OSRRefH22_3x_0)</f>
        <v>300</v>
      </c>
      <c r="I72" s="1"/>
      <c r="J72" s="5">
        <f t="shared" si="29"/>
        <v>2.2795659706391904E-3</v>
      </c>
      <c r="K72" s="1"/>
      <c r="L72" s="1">
        <f t="shared" si="30"/>
        <v>-19.560000000000002</v>
      </c>
      <c r="M72" s="1"/>
      <c r="N72" s="5">
        <f t="shared" si="31"/>
        <v>-6.5200000000000008E-2</v>
      </c>
      <c r="O72" s="14"/>
      <c r="P72" s="1">
        <f>SUM(OSRRefP22_3x_0)</f>
        <v>1121.76</v>
      </c>
      <c r="Q72" s="1"/>
      <c r="R72" s="5">
        <f t="shared" si="32"/>
        <v>9.8735916042362137E-4</v>
      </c>
      <c r="S72" s="1"/>
      <c r="T72" s="1">
        <f>SUM(OSRRefT22_3x_0)</f>
        <v>1200</v>
      </c>
      <c r="U72" s="1"/>
      <c r="V72" s="5">
        <f t="shared" si="33"/>
        <v>9.9621025017329915E-4</v>
      </c>
      <c r="W72" s="1"/>
      <c r="X72" s="1">
        <f t="shared" si="34"/>
        <v>-78.240000000000009</v>
      </c>
      <c r="Y72" s="1"/>
      <c r="Z72" s="5">
        <f t="shared" si="35"/>
        <v>-6.5200000000000008E-2</v>
      </c>
    </row>
    <row r="73" spans="1:26" s="24" customFormat="1" hidden="1" outlineLevel="2" x14ac:dyDescent="0.25">
      <c r="A73" s="28"/>
      <c r="B73" s="11" t="str">
        <f>CONCATENATE("          ", "6322", " - ", "EQUIPMENT DEPRECIATION EXPENSE")</f>
        <v xml:space="preserve">          6322 - EQUIPMENT DEPRECIATION EXPENSE</v>
      </c>
      <c r="C73" s="11"/>
      <c r="D73" s="7">
        <v>280.44</v>
      </c>
      <c r="E73" s="2"/>
      <c r="F73" s="6">
        <f t="shared" si="28"/>
        <v>1.6225711191135217E-3</v>
      </c>
      <c r="G73" s="2"/>
      <c r="H73" s="7">
        <v>300</v>
      </c>
      <c r="I73" s="2"/>
      <c r="J73" s="6">
        <f t="shared" si="29"/>
        <v>2.2795659706391904E-3</v>
      </c>
      <c r="K73" s="2"/>
      <c r="L73" s="7">
        <f t="shared" si="30"/>
        <v>-19.560000000000002</v>
      </c>
      <c r="M73" s="2"/>
      <c r="N73" s="6">
        <f t="shared" si="31"/>
        <v>-6.5200000000000008E-2</v>
      </c>
      <c r="O73" s="11"/>
      <c r="P73" s="7">
        <v>1121.76</v>
      </c>
      <c r="Q73" s="2"/>
      <c r="R73" s="6">
        <f t="shared" si="32"/>
        <v>9.8735916042362137E-4</v>
      </c>
      <c r="S73" s="2"/>
      <c r="T73" s="7">
        <v>1200</v>
      </c>
      <c r="U73" s="2"/>
      <c r="V73" s="6">
        <f t="shared" si="33"/>
        <v>9.9621025017329915E-4</v>
      </c>
      <c r="W73" s="2"/>
      <c r="X73" s="7">
        <f t="shared" si="34"/>
        <v>-78.240000000000009</v>
      </c>
      <c r="Y73" s="2"/>
      <c r="Z73" s="6">
        <f t="shared" si="35"/>
        <v>-6.5200000000000008E-2</v>
      </c>
    </row>
    <row r="74" spans="1:26" s="27" customFormat="1" outlineLevel="1" collapsed="1" x14ac:dyDescent="0.25">
      <c r="A74" s="29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SUM(OSRRefD22_4x_0)</f>
        <v>0</v>
      </c>
      <c r="E74" s="1"/>
      <c r="F74" s="5">
        <f t="shared" si="28"/>
        <v>0</v>
      </c>
      <c r="G74" s="1"/>
      <c r="H74" s="1">
        <f>SUM(OSRRefH22_4x_0)</f>
        <v>2093</v>
      </c>
      <c r="I74" s="1"/>
      <c r="J74" s="5">
        <f t="shared" si="29"/>
        <v>1.5903771921826085E-2</v>
      </c>
      <c r="K74" s="1"/>
      <c r="L74" s="1">
        <f t="shared" si="30"/>
        <v>-2093</v>
      </c>
      <c r="M74" s="1"/>
      <c r="N74" s="5">
        <f t="shared" si="31"/>
        <v>-1</v>
      </c>
      <c r="O74" s="14"/>
      <c r="P74" s="1">
        <f>SUM(OSRRefP22_4x_0)</f>
        <v>0</v>
      </c>
      <c r="Q74" s="1"/>
      <c r="R74" s="5">
        <f t="shared" si="32"/>
        <v>0</v>
      </c>
      <c r="S74" s="1"/>
      <c r="T74" s="1">
        <f>SUM(OSRRefT22_4x_0)</f>
        <v>19159</v>
      </c>
      <c r="U74" s="1"/>
      <c r="V74" s="5">
        <f t="shared" si="33"/>
        <v>1.5905326819225199E-2</v>
      </c>
      <c r="W74" s="1"/>
      <c r="X74" s="1">
        <f t="shared" si="34"/>
        <v>-19159</v>
      </c>
      <c r="Y74" s="1"/>
      <c r="Z74" s="5">
        <f t="shared" si="35"/>
        <v>-1</v>
      </c>
    </row>
    <row r="75" spans="1:26" s="24" customFormat="1" hidden="1" outlineLevel="2" x14ac:dyDescent="0.25">
      <c r="A75" s="28"/>
      <c r="B75" s="11" t="str">
        <f>CONCATENATE("          ", "6382", " - ", "DISCOUNTS/MARK DOWNS")</f>
        <v xml:space="preserve">          6382 - DISCOUNTS/MARK DOWNS</v>
      </c>
      <c r="C75" s="11"/>
      <c r="D75" s="7"/>
      <c r="E75" s="2"/>
      <c r="F75" s="6">
        <f t="shared" si="28"/>
        <v>0</v>
      </c>
      <c r="G75" s="2"/>
      <c r="H75" s="7">
        <v>2093</v>
      </c>
      <c r="I75" s="2"/>
      <c r="J75" s="6">
        <f t="shared" si="29"/>
        <v>1.5903771921826085E-2</v>
      </c>
      <c r="K75" s="2"/>
      <c r="L75" s="7">
        <f t="shared" si="30"/>
        <v>-2093</v>
      </c>
      <c r="M75" s="2"/>
      <c r="N75" s="6">
        <f t="shared" si="31"/>
        <v>-1</v>
      </c>
      <c r="O75" s="11"/>
      <c r="P75" s="7"/>
      <c r="Q75" s="2"/>
      <c r="R75" s="6">
        <f t="shared" si="32"/>
        <v>0</v>
      </c>
      <c r="S75" s="2"/>
      <c r="T75" s="7">
        <v>19159</v>
      </c>
      <c r="U75" s="2"/>
      <c r="V75" s="6">
        <f t="shared" si="33"/>
        <v>1.5905326819225199E-2</v>
      </c>
      <c r="W75" s="2"/>
      <c r="X75" s="7">
        <f t="shared" si="34"/>
        <v>-19159</v>
      </c>
      <c r="Y75" s="2"/>
      <c r="Z75" s="6">
        <f t="shared" si="35"/>
        <v>-1</v>
      </c>
    </row>
    <row r="76" spans="1:26" s="27" customFormat="1" outlineLevel="1" collapsed="1" x14ac:dyDescent="0.25">
      <c r="A76" s="29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SUM(OSRRefD22_5x_0)</f>
        <v>0</v>
      </c>
      <c r="E76" s="1"/>
      <c r="F76" s="5">
        <f t="shared" si="28"/>
        <v>0</v>
      </c>
      <c r="G76" s="1"/>
      <c r="H76" s="1">
        <f>SUM(OSRRefH22_5x_0)</f>
        <v>20</v>
      </c>
      <c r="I76" s="1"/>
      <c r="J76" s="5">
        <f t="shared" si="29"/>
        <v>1.5197106470927934E-4</v>
      </c>
      <c r="K76" s="1"/>
      <c r="L76" s="1">
        <f t="shared" si="30"/>
        <v>-20</v>
      </c>
      <c r="M76" s="1"/>
      <c r="N76" s="5">
        <f t="shared" si="31"/>
        <v>-1</v>
      </c>
      <c r="O76" s="14"/>
      <c r="P76" s="1">
        <f>SUM(OSRRefP22_5x_0)</f>
        <v>0</v>
      </c>
      <c r="Q76" s="1"/>
      <c r="R76" s="5">
        <f t="shared" si="32"/>
        <v>0</v>
      </c>
      <c r="S76" s="1"/>
      <c r="T76" s="1">
        <f>SUM(OSRRefT22_5x_0)</f>
        <v>80</v>
      </c>
      <c r="U76" s="1"/>
      <c r="V76" s="5">
        <f t="shared" si="33"/>
        <v>6.641401667821994E-5</v>
      </c>
      <c r="W76" s="1"/>
      <c r="X76" s="1">
        <f t="shared" si="34"/>
        <v>-80</v>
      </c>
      <c r="Y76" s="1"/>
      <c r="Z76" s="5">
        <f t="shared" si="35"/>
        <v>-1</v>
      </c>
    </row>
    <row r="77" spans="1:26" s="24" customFormat="1" hidden="1" outlineLevel="2" x14ac:dyDescent="0.25">
      <c r="A77" s="28"/>
      <c r="B77" s="11" t="str">
        <f>CONCATENATE("          ", "6277", " - ", "EMPLOYEE APPRECIATION")</f>
        <v xml:space="preserve">          6277 - EMPLOYEE APPRECIATION</v>
      </c>
      <c r="C77" s="11"/>
      <c r="D77" s="7"/>
      <c r="E77" s="2"/>
      <c r="F77" s="6">
        <f t="shared" si="28"/>
        <v>0</v>
      </c>
      <c r="G77" s="2"/>
      <c r="H77" s="7">
        <v>20</v>
      </c>
      <c r="I77" s="2"/>
      <c r="J77" s="6">
        <f t="shared" si="29"/>
        <v>1.5197106470927934E-4</v>
      </c>
      <c r="K77" s="2"/>
      <c r="L77" s="7">
        <f t="shared" si="30"/>
        <v>-20</v>
      </c>
      <c r="M77" s="2"/>
      <c r="N77" s="6">
        <f t="shared" si="31"/>
        <v>-1</v>
      </c>
      <c r="O77" s="11"/>
      <c r="P77" s="7"/>
      <c r="Q77" s="2"/>
      <c r="R77" s="6">
        <f t="shared" si="32"/>
        <v>0</v>
      </c>
      <c r="S77" s="2"/>
      <c r="T77" s="7">
        <v>80</v>
      </c>
      <c r="U77" s="2"/>
      <c r="V77" s="6">
        <f t="shared" si="33"/>
        <v>6.641401667821994E-5</v>
      </c>
      <c r="W77" s="2"/>
      <c r="X77" s="7">
        <f t="shared" si="34"/>
        <v>-80</v>
      </c>
      <c r="Y77" s="2"/>
      <c r="Z77" s="6">
        <f t="shared" si="35"/>
        <v>-1</v>
      </c>
    </row>
    <row r="78" spans="1:26" s="27" customFormat="1" outlineLevel="1" collapsed="1" x14ac:dyDescent="0.25">
      <c r="A78" s="29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SUM(OSRRefD22_6x_0)</f>
        <v>273.20999999999998</v>
      </c>
      <c r="E78" s="1"/>
      <c r="F78" s="5">
        <f t="shared" si="28"/>
        <v>1.5807397498680831E-3</v>
      </c>
      <c r="G78" s="1"/>
      <c r="H78" s="1">
        <f>SUM(OSRRefH22_6x_0)</f>
        <v>15</v>
      </c>
      <c r="I78" s="1"/>
      <c r="J78" s="5">
        <f t="shared" si="29"/>
        <v>1.1397829853195951E-4</v>
      </c>
      <c r="K78" s="1"/>
      <c r="L78" s="1">
        <f t="shared" si="30"/>
        <v>258.20999999999998</v>
      </c>
      <c r="M78" s="1"/>
      <c r="N78" s="5">
        <f t="shared" si="31"/>
        <v>17.213999999999999</v>
      </c>
      <c r="O78" s="14"/>
      <c r="P78" s="1">
        <f>SUM(OSRRefP22_6x_0)</f>
        <v>550.47</v>
      </c>
      <c r="Q78" s="1"/>
      <c r="R78" s="5">
        <f t="shared" si="32"/>
        <v>4.8451682805447768E-4</v>
      </c>
      <c r="S78" s="1"/>
      <c r="T78" s="1">
        <f>SUM(OSRRefT22_6x_0)</f>
        <v>60</v>
      </c>
      <c r="U78" s="1"/>
      <c r="V78" s="5">
        <f t="shared" si="33"/>
        <v>4.9810512508664955E-5</v>
      </c>
      <c r="W78" s="1"/>
      <c r="X78" s="1">
        <f t="shared" si="34"/>
        <v>490.47</v>
      </c>
      <c r="Y78" s="1"/>
      <c r="Z78" s="5">
        <f t="shared" si="35"/>
        <v>8.1745000000000001</v>
      </c>
    </row>
    <row r="79" spans="1:26" s="24" customFormat="1" hidden="1" outlineLevel="2" x14ac:dyDescent="0.25">
      <c r="A79" s="28"/>
      <c r="B79" s="11" t="str">
        <f>CONCATENATE("          ", "6305", " - ", "FREIGHT OUT")</f>
        <v xml:space="preserve">          6305 - FREIGHT OUT</v>
      </c>
      <c r="C79" s="11"/>
      <c r="D79" s="7">
        <v>273.20999999999998</v>
      </c>
      <c r="E79" s="2"/>
      <c r="F79" s="6">
        <f t="shared" si="28"/>
        <v>1.5807397498680831E-3</v>
      </c>
      <c r="G79" s="2"/>
      <c r="H79" s="7">
        <v>15</v>
      </c>
      <c r="I79" s="2"/>
      <c r="J79" s="6">
        <f t="shared" si="29"/>
        <v>1.1397829853195951E-4</v>
      </c>
      <c r="K79" s="2"/>
      <c r="L79" s="7">
        <f t="shared" si="30"/>
        <v>258.20999999999998</v>
      </c>
      <c r="M79" s="2"/>
      <c r="N79" s="6">
        <f t="shared" si="31"/>
        <v>17.213999999999999</v>
      </c>
      <c r="O79" s="11"/>
      <c r="P79" s="7">
        <v>537.87</v>
      </c>
      <c r="Q79" s="2"/>
      <c r="R79" s="6">
        <f t="shared" si="32"/>
        <v>4.7342646521274896E-4</v>
      </c>
      <c r="S79" s="2"/>
      <c r="T79" s="7">
        <v>60</v>
      </c>
      <c r="U79" s="2"/>
      <c r="V79" s="6">
        <f t="shared" si="33"/>
        <v>4.9810512508664955E-5</v>
      </c>
      <c r="W79" s="2"/>
      <c r="X79" s="7">
        <f t="shared" si="34"/>
        <v>477.87</v>
      </c>
      <c r="Y79" s="2"/>
      <c r="Z79" s="6">
        <f t="shared" si="35"/>
        <v>7.9645000000000001</v>
      </c>
    </row>
    <row r="80" spans="1:26" s="24" customFormat="1" hidden="1" outlineLevel="2" x14ac:dyDescent="0.25">
      <c r="A80" s="28"/>
      <c r="B80" s="11" t="str">
        <f>CONCATENATE("          ", "6307", " - ", "POSTAGE")</f>
        <v xml:space="preserve">          6307 - POSTAGE</v>
      </c>
      <c r="C80" s="11"/>
      <c r="D80" s="7"/>
      <c r="E80" s="2"/>
      <c r="F80" s="6">
        <f t="shared" si="28"/>
        <v>0</v>
      </c>
      <c r="G80" s="2"/>
      <c r="H80" s="7"/>
      <c r="I80" s="2"/>
      <c r="J80" s="6">
        <f t="shared" si="29"/>
        <v>0</v>
      </c>
      <c r="K80" s="2"/>
      <c r="L80" s="7">
        <f t="shared" si="30"/>
        <v>0</v>
      </c>
      <c r="M80" s="2"/>
      <c r="N80" s="6">
        <f t="shared" si="31"/>
        <v>0</v>
      </c>
      <c r="O80" s="11"/>
      <c r="P80" s="7">
        <v>12.6</v>
      </c>
      <c r="Q80" s="2"/>
      <c r="R80" s="6">
        <f t="shared" si="32"/>
        <v>1.1090362841728738E-5</v>
      </c>
      <c r="S80" s="2"/>
      <c r="T80" s="7"/>
      <c r="U80" s="2"/>
      <c r="V80" s="6">
        <f t="shared" si="33"/>
        <v>0</v>
      </c>
      <c r="W80" s="2"/>
      <c r="X80" s="7">
        <f t="shared" si="34"/>
        <v>12.6</v>
      </c>
      <c r="Y80" s="2"/>
      <c r="Z80" s="6">
        <f t="shared" si="35"/>
        <v>0</v>
      </c>
    </row>
    <row r="81" spans="1:26" s="27" customFormat="1" outlineLevel="1" collapsed="1" x14ac:dyDescent="0.25">
      <c r="A81" s="29"/>
      <c r="B81" s="14" t="str">
        <f>CONCATENATE("     ","General                                           ")</f>
        <v xml:space="preserve">     General                                           </v>
      </c>
      <c r="C81" s="14"/>
      <c r="D81" s="1">
        <f>SUM(OSRRefD22_7x_0)</f>
        <v>0</v>
      </c>
      <c r="E81" s="1"/>
      <c r="F81" s="5">
        <f t="shared" ref="F81:F90" si="36">IF(D$12=0,0,D81/D$12)</f>
        <v>0</v>
      </c>
      <c r="G81" s="1"/>
      <c r="H81" s="1">
        <f>SUM(OSRRefH22_7x_0)</f>
        <v>30</v>
      </c>
      <c r="I81" s="1"/>
      <c r="J81" s="5">
        <f t="shared" ref="J81:J90" si="37">IF(H$12=0,0,H81/H$12)</f>
        <v>2.2795659706391903E-4</v>
      </c>
      <c r="K81" s="1"/>
      <c r="L81" s="1">
        <f t="shared" ref="L81:L90" si="38">+D81-H81</f>
        <v>-30</v>
      </c>
      <c r="M81" s="1"/>
      <c r="N81" s="5">
        <f t="shared" ref="N81:N90" si="39">IF(H81=0,0,L81/H81)</f>
        <v>-1</v>
      </c>
      <c r="O81" s="14"/>
      <c r="P81" s="1">
        <f>SUM(OSRRefP22_7x_0)</f>
        <v>-30.15</v>
      </c>
      <c r="Q81" s="1"/>
      <c r="R81" s="5">
        <f t="shared" ref="R81:R90" si="40">IF(P$12=0,0,P81/P$12)</f>
        <v>-2.6537653942708053E-5</v>
      </c>
      <c r="S81" s="1"/>
      <c r="T81" s="1">
        <f>SUM(OSRRefT22_7x_0)</f>
        <v>120</v>
      </c>
      <c r="U81" s="1"/>
      <c r="V81" s="5">
        <f t="shared" ref="V81:V90" si="41">IF(T$12=0,0,T81/T$12)</f>
        <v>9.962102501732991E-5</v>
      </c>
      <c r="W81" s="1"/>
      <c r="X81" s="1">
        <f t="shared" ref="X81:X90" si="42">+P81-T81</f>
        <v>-150.15</v>
      </c>
      <c r="Y81" s="1"/>
      <c r="Z81" s="5">
        <f t="shared" ref="Z81:Z90" si="43">IF(T81=0,0,X81/T81)</f>
        <v>-1.25125</v>
      </c>
    </row>
    <row r="82" spans="1:26" s="24" customFormat="1" hidden="1" outlineLevel="2" x14ac:dyDescent="0.25">
      <c r="A82" s="28"/>
      <c r="B82" s="11" t="str">
        <f>CONCATENATE("          ", "6279", " - ", "GENERAL EXPENSE")</f>
        <v xml:space="preserve">          6279 - GENERAL EXPENSE</v>
      </c>
      <c r="C82" s="11"/>
      <c r="D82" s="7"/>
      <c r="E82" s="2"/>
      <c r="F82" s="6">
        <f t="shared" si="36"/>
        <v>0</v>
      </c>
      <c r="G82" s="2"/>
      <c r="H82" s="7">
        <v>30</v>
      </c>
      <c r="I82" s="2"/>
      <c r="J82" s="6">
        <f t="shared" si="37"/>
        <v>2.2795659706391903E-4</v>
      </c>
      <c r="K82" s="2"/>
      <c r="L82" s="7">
        <f t="shared" si="38"/>
        <v>-30</v>
      </c>
      <c r="M82" s="2"/>
      <c r="N82" s="6">
        <f t="shared" si="39"/>
        <v>-1</v>
      </c>
      <c r="O82" s="11"/>
      <c r="P82" s="7">
        <v>-30.15</v>
      </c>
      <c r="Q82" s="2"/>
      <c r="R82" s="6">
        <f t="shared" si="40"/>
        <v>-2.6537653942708053E-5</v>
      </c>
      <c r="S82" s="2"/>
      <c r="T82" s="7">
        <v>120</v>
      </c>
      <c r="U82" s="2"/>
      <c r="V82" s="6">
        <f t="shared" si="41"/>
        <v>9.962102501732991E-5</v>
      </c>
      <c r="W82" s="2"/>
      <c r="X82" s="7">
        <f t="shared" si="42"/>
        <v>-150.15</v>
      </c>
      <c r="Y82" s="2"/>
      <c r="Z82" s="6">
        <f t="shared" si="43"/>
        <v>-1.25125</v>
      </c>
    </row>
    <row r="83" spans="1:26" s="27" customFormat="1" outlineLevel="1" collapsed="1" x14ac:dyDescent="0.25">
      <c r="A83" s="29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SUM(OSRRefD22_8x_0)</f>
        <v>1250</v>
      </c>
      <c r="E83" s="1"/>
      <c r="F83" s="5">
        <f t="shared" si="36"/>
        <v>7.2322560936096923E-3</v>
      </c>
      <c r="G83" s="1"/>
      <c r="H83" s="1">
        <f>SUM(OSRRefH22_8x_0)</f>
        <v>1250</v>
      </c>
      <c r="I83" s="1"/>
      <c r="J83" s="5">
        <f t="shared" si="37"/>
        <v>9.4981915443299592E-3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SUM(OSRRefP22_8x_0)</f>
        <v>5000</v>
      </c>
      <c r="Q83" s="1"/>
      <c r="R83" s="5">
        <f t="shared" si="40"/>
        <v>4.4009376356066426E-3</v>
      </c>
      <c r="S83" s="1"/>
      <c r="T83" s="1">
        <f>SUM(OSRRefT22_8x_0)</f>
        <v>5000</v>
      </c>
      <c r="U83" s="1"/>
      <c r="V83" s="5">
        <f t="shared" si="41"/>
        <v>4.1508760423887466E-3</v>
      </c>
      <c r="W83" s="1"/>
      <c r="X83" s="1">
        <f t="shared" si="42"/>
        <v>0</v>
      </c>
      <c r="Y83" s="1"/>
      <c r="Z83" s="5">
        <f t="shared" si="43"/>
        <v>0</v>
      </c>
    </row>
    <row r="84" spans="1:26" s="24" customFormat="1" hidden="1" outlineLevel="2" x14ac:dyDescent="0.25">
      <c r="A84" s="28"/>
      <c r="B84" s="11" t="str">
        <f>CONCATENATE("          ", "6408", " - ", "INVENTORY ADJUSTMENT")</f>
        <v xml:space="preserve">          6408 - INVENTORY ADJUSTMENT</v>
      </c>
      <c r="C84" s="11"/>
      <c r="D84" s="7">
        <v>1250</v>
      </c>
      <c r="E84" s="2"/>
      <c r="F84" s="6">
        <f t="shared" si="36"/>
        <v>7.2322560936096923E-3</v>
      </c>
      <c r="G84" s="2"/>
      <c r="H84" s="7">
        <v>1250</v>
      </c>
      <c r="I84" s="2"/>
      <c r="J84" s="6">
        <f t="shared" si="37"/>
        <v>9.4981915443299592E-3</v>
      </c>
      <c r="K84" s="2"/>
      <c r="L84" s="7">
        <f t="shared" si="38"/>
        <v>0</v>
      </c>
      <c r="M84" s="2"/>
      <c r="N84" s="6">
        <f t="shared" si="39"/>
        <v>0</v>
      </c>
      <c r="O84" s="11"/>
      <c r="P84" s="7">
        <v>5000</v>
      </c>
      <c r="Q84" s="2"/>
      <c r="R84" s="6">
        <f t="shared" si="40"/>
        <v>4.4009376356066426E-3</v>
      </c>
      <c r="S84" s="2"/>
      <c r="T84" s="7">
        <v>5000</v>
      </c>
      <c r="U84" s="2"/>
      <c r="V84" s="6">
        <f t="shared" si="41"/>
        <v>4.1508760423887466E-3</v>
      </c>
      <c r="W84" s="2"/>
      <c r="X84" s="7">
        <f t="shared" si="42"/>
        <v>0</v>
      </c>
      <c r="Y84" s="2"/>
      <c r="Z84" s="6">
        <f t="shared" si="43"/>
        <v>0</v>
      </c>
    </row>
    <row r="85" spans="1:26" s="27" customFormat="1" outlineLevel="1" collapsed="1" x14ac:dyDescent="0.25">
      <c r="A85" s="29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SUM(OSRRefD22_9x_0)</f>
        <v>0</v>
      </c>
      <c r="E85" s="1"/>
      <c r="F85" s="5">
        <f t="shared" si="36"/>
        <v>0</v>
      </c>
      <c r="G85" s="1"/>
      <c r="H85" s="1">
        <f>SUM(OSRRefH22_9x_0)</f>
        <v>20</v>
      </c>
      <c r="I85" s="1"/>
      <c r="J85" s="5">
        <f t="shared" si="37"/>
        <v>1.5197106470927934E-4</v>
      </c>
      <c r="K85" s="1"/>
      <c r="L85" s="1">
        <f t="shared" si="38"/>
        <v>-20</v>
      </c>
      <c r="M85" s="1"/>
      <c r="N85" s="5">
        <f t="shared" si="39"/>
        <v>-1</v>
      </c>
      <c r="O85" s="14"/>
      <c r="P85" s="1">
        <f>SUM(OSRRefP22_9x_0)</f>
        <v>0</v>
      </c>
      <c r="Q85" s="1"/>
      <c r="R85" s="5">
        <f t="shared" si="40"/>
        <v>0</v>
      </c>
      <c r="S85" s="1"/>
      <c r="T85" s="1">
        <f>SUM(OSRRefT22_9x_0)</f>
        <v>85</v>
      </c>
      <c r="U85" s="1"/>
      <c r="V85" s="5">
        <f t="shared" si="41"/>
        <v>7.0564892720608683E-5</v>
      </c>
      <c r="W85" s="1"/>
      <c r="X85" s="1">
        <f t="shared" si="42"/>
        <v>-85</v>
      </c>
      <c r="Y85" s="1"/>
      <c r="Z85" s="5">
        <f t="shared" si="43"/>
        <v>-1</v>
      </c>
    </row>
    <row r="86" spans="1:26" s="24" customFormat="1" hidden="1" outlineLevel="2" x14ac:dyDescent="0.25">
      <c r="A86" s="28"/>
      <c r="B86" s="11" t="str">
        <f>CONCATENATE("          ", "6375", " - ", "OUTSIDE REPAIRS &amp; MAINTENANCE")</f>
        <v xml:space="preserve">          6375 - OUTSIDE REPAIRS &amp; MAINTENANCE</v>
      </c>
      <c r="C86" s="11"/>
      <c r="D86" s="7"/>
      <c r="E86" s="2"/>
      <c r="F86" s="6">
        <f t="shared" si="36"/>
        <v>0</v>
      </c>
      <c r="G86" s="2"/>
      <c r="H86" s="7">
        <v>20</v>
      </c>
      <c r="I86" s="2"/>
      <c r="J86" s="6">
        <f t="shared" si="37"/>
        <v>1.5197106470927934E-4</v>
      </c>
      <c r="K86" s="2"/>
      <c r="L86" s="7">
        <f t="shared" si="38"/>
        <v>-20</v>
      </c>
      <c r="M86" s="2"/>
      <c r="N86" s="6">
        <f t="shared" si="39"/>
        <v>-1</v>
      </c>
      <c r="O86" s="11"/>
      <c r="P86" s="7"/>
      <c r="Q86" s="2"/>
      <c r="R86" s="6">
        <f t="shared" si="40"/>
        <v>0</v>
      </c>
      <c r="S86" s="2"/>
      <c r="T86" s="7">
        <v>85</v>
      </c>
      <c r="U86" s="2"/>
      <c r="V86" s="6">
        <f t="shared" si="41"/>
        <v>7.0564892720608683E-5</v>
      </c>
      <c r="W86" s="2"/>
      <c r="X86" s="7">
        <f t="shared" si="42"/>
        <v>-85</v>
      </c>
      <c r="Y86" s="2"/>
      <c r="Z86" s="6">
        <f t="shared" si="43"/>
        <v>-1</v>
      </c>
    </row>
    <row r="87" spans="1:26" s="27" customFormat="1" outlineLevel="1" collapsed="1" x14ac:dyDescent="0.25">
      <c r="A87" s="29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SUM(OSRRefD22_10x_0)</f>
        <v>29.59</v>
      </c>
      <c r="E87" s="1"/>
      <c r="F87" s="5">
        <f t="shared" si="36"/>
        <v>1.7120196624792862E-4</v>
      </c>
      <c r="G87" s="1"/>
      <c r="H87" s="1">
        <f>SUM(OSRRefH22_10x_0)</f>
        <v>310</v>
      </c>
      <c r="I87" s="1"/>
      <c r="J87" s="5">
        <f t="shared" si="37"/>
        <v>2.3555515029938302E-3</v>
      </c>
      <c r="K87" s="1"/>
      <c r="L87" s="1">
        <f t="shared" si="38"/>
        <v>-280.41000000000003</v>
      </c>
      <c r="M87" s="1"/>
      <c r="N87" s="5">
        <f t="shared" si="39"/>
        <v>-0.90454838709677432</v>
      </c>
      <c r="O87" s="14"/>
      <c r="P87" s="1">
        <f>SUM(OSRRefP22_10x_0)</f>
        <v>1524.5</v>
      </c>
      <c r="Q87" s="1"/>
      <c r="R87" s="5">
        <f t="shared" si="40"/>
        <v>1.3418458850964652E-3</v>
      </c>
      <c r="S87" s="1"/>
      <c r="T87" s="1">
        <f>SUM(OSRRefT22_10x_0)</f>
        <v>1240</v>
      </c>
      <c r="U87" s="1"/>
      <c r="V87" s="5">
        <f t="shared" si="41"/>
        <v>1.0294172585124091E-3</v>
      </c>
      <c r="W87" s="1"/>
      <c r="X87" s="1">
        <f t="shared" si="42"/>
        <v>284.5</v>
      </c>
      <c r="Y87" s="1"/>
      <c r="Z87" s="5">
        <f t="shared" si="43"/>
        <v>0.22943548387096774</v>
      </c>
    </row>
    <row r="88" spans="1:26" s="24" customFormat="1" hidden="1" outlineLevel="2" x14ac:dyDescent="0.25">
      <c r="A88" s="28"/>
      <c r="B88" s="11" t="str">
        <f>CONCATENATE("          ", "6235", " - ", "COVID-19 EXPENSES")</f>
        <v xml:space="preserve">          6235 - COVID-19 EXPENSES</v>
      </c>
      <c r="C88" s="11"/>
      <c r="D88" s="7"/>
      <c r="E88" s="2"/>
      <c r="F88" s="6">
        <f t="shared" si="36"/>
        <v>0</v>
      </c>
      <c r="G88" s="2"/>
      <c r="H88" s="7"/>
      <c r="I88" s="2"/>
      <c r="J88" s="6">
        <f t="shared" si="37"/>
        <v>0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>
        <v>668.12</v>
      </c>
      <c r="Q88" s="2"/>
      <c r="R88" s="6">
        <f t="shared" si="40"/>
        <v>5.8807089062030201E-4</v>
      </c>
      <c r="S88" s="2"/>
      <c r="T88" s="7"/>
      <c r="U88" s="2"/>
      <c r="V88" s="6">
        <f t="shared" si="41"/>
        <v>0</v>
      </c>
      <c r="W88" s="2"/>
      <c r="X88" s="7">
        <f t="shared" si="42"/>
        <v>668.12</v>
      </c>
      <c r="Y88" s="2"/>
      <c r="Z88" s="6">
        <f t="shared" si="43"/>
        <v>0</v>
      </c>
    </row>
    <row r="89" spans="1:26" s="24" customFormat="1" hidden="1" outlineLevel="2" x14ac:dyDescent="0.25">
      <c r="A89" s="28"/>
      <c r="B89" s="11" t="str">
        <f>CONCATENATE("          ", "6241", " - ", "OFFICE EXPENSE")</f>
        <v xml:space="preserve">          6241 - OFFICE EXPENSE</v>
      </c>
      <c r="C89" s="11"/>
      <c r="D89" s="7">
        <v>29.59</v>
      </c>
      <c r="E89" s="2"/>
      <c r="F89" s="6">
        <f t="shared" si="36"/>
        <v>1.7120196624792862E-4</v>
      </c>
      <c r="G89" s="2"/>
      <c r="H89" s="7">
        <v>110</v>
      </c>
      <c r="I89" s="2"/>
      <c r="J89" s="6">
        <f t="shared" si="37"/>
        <v>8.3584085590103648E-4</v>
      </c>
      <c r="K89" s="2"/>
      <c r="L89" s="7">
        <f t="shared" si="38"/>
        <v>-80.41</v>
      </c>
      <c r="M89" s="2"/>
      <c r="N89" s="6">
        <f t="shared" si="39"/>
        <v>-0.73099999999999998</v>
      </c>
      <c r="O89" s="11"/>
      <c r="P89" s="7">
        <v>856.38</v>
      </c>
      <c r="Q89" s="2"/>
      <c r="R89" s="6">
        <f t="shared" si="40"/>
        <v>7.5377499447616323E-4</v>
      </c>
      <c r="S89" s="2"/>
      <c r="T89" s="7">
        <v>440</v>
      </c>
      <c r="U89" s="2"/>
      <c r="V89" s="6">
        <f t="shared" si="41"/>
        <v>3.6527709173020964E-4</v>
      </c>
      <c r="W89" s="2"/>
      <c r="X89" s="7">
        <f t="shared" si="42"/>
        <v>416.38</v>
      </c>
      <c r="Y89" s="2"/>
      <c r="Z89" s="6">
        <f t="shared" si="43"/>
        <v>0.94631818181818184</v>
      </c>
    </row>
    <row r="90" spans="1:26" s="24" customFormat="1" hidden="1" outlineLevel="2" x14ac:dyDescent="0.25">
      <c r="A90" s="28"/>
      <c r="B90" s="11" t="str">
        <f>CONCATENATE("          ", "6247", " - ", "STORE SUPPLIES")</f>
        <v xml:space="preserve">          6247 - STORE SUPPLIES</v>
      </c>
      <c r="C90" s="11"/>
      <c r="D90" s="7"/>
      <c r="E90" s="2"/>
      <c r="F90" s="6">
        <f t="shared" si="36"/>
        <v>0</v>
      </c>
      <c r="G90" s="2"/>
      <c r="H90" s="7">
        <v>200</v>
      </c>
      <c r="I90" s="2"/>
      <c r="J90" s="6">
        <f t="shared" si="37"/>
        <v>1.5197106470927935E-3</v>
      </c>
      <c r="K90" s="2"/>
      <c r="L90" s="7">
        <f t="shared" si="38"/>
        <v>-200</v>
      </c>
      <c r="M90" s="2"/>
      <c r="N90" s="6">
        <f t="shared" si="39"/>
        <v>-1</v>
      </c>
      <c r="O90" s="11"/>
      <c r="P90" s="7"/>
      <c r="Q90" s="2"/>
      <c r="R90" s="6">
        <f t="shared" si="40"/>
        <v>0</v>
      </c>
      <c r="S90" s="2"/>
      <c r="T90" s="7">
        <v>800</v>
      </c>
      <c r="U90" s="2"/>
      <c r="V90" s="6">
        <f t="shared" si="41"/>
        <v>6.641401667821994E-4</v>
      </c>
      <c r="W90" s="2"/>
      <c r="X90" s="7">
        <f t="shared" si="42"/>
        <v>-800</v>
      </c>
      <c r="Y90" s="2"/>
      <c r="Z90" s="6">
        <f t="shared" si="43"/>
        <v>-1</v>
      </c>
    </row>
    <row r="91" spans="1:26" s="27" customFormat="1" outlineLevel="1" collapsed="1" x14ac:dyDescent="0.25">
      <c r="A91" s="29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SUM(OSRRefD22_11x_0)</f>
        <v>354.3</v>
      </c>
      <c r="E91" s="1"/>
      <c r="F91" s="5">
        <f t="shared" ref="F91:F94" si="44">IF(D$12=0,0,D91/D$12)</f>
        <v>2.0499106671727314E-3</v>
      </c>
      <c r="G91" s="1"/>
      <c r="H91" s="1">
        <f>SUM(OSRRefH22_11x_0)</f>
        <v>250</v>
      </c>
      <c r="I91" s="1"/>
      <c r="J91" s="5">
        <f t="shared" ref="J91:J94" si="45">IF(H$12=0,0,H91/H$12)</f>
        <v>1.899638308865992E-3</v>
      </c>
      <c r="K91" s="1"/>
      <c r="L91" s="1">
        <f t="shared" ref="L91:L94" si="46">+D91-H91</f>
        <v>104.30000000000001</v>
      </c>
      <c r="M91" s="1"/>
      <c r="N91" s="5">
        <f t="shared" ref="N91:N94" si="47">IF(H91=0,0,L91/H91)</f>
        <v>0.41720000000000007</v>
      </c>
      <c r="O91" s="14"/>
      <c r="P91" s="1">
        <f>SUM(OSRRefP22_11x_0)</f>
        <v>1265.8499999999999</v>
      </c>
      <c r="Q91" s="1"/>
      <c r="R91" s="5">
        <f t="shared" ref="R91:R94" si="48">IF(P$12=0,0,P91/P$12)</f>
        <v>1.1141853812065335E-3</v>
      </c>
      <c r="S91" s="1"/>
      <c r="T91" s="1">
        <f>SUM(OSRRefT22_11x_0)</f>
        <v>1010</v>
      </c>
      <c r="U91" s="1"/>
      <c r="V91" s="5">
        <f t="shared" ref="V91:V94" si="49">IF(T$12=0,0,T91/T$12)</f>
        <v>8.3847696056252676E-4</v>
      </c>
      <c r="W91" s="1"/>
      <c r="X91" s="1">
        <f t="shared" ref="X91:X94" si="50">+P91-T91</f>
        <v>255.84999999999991</v>
      </c>
      <c r="Y91" s="1"/>
      <c r="Z91" s="5">
        <f t="shared" ref="Z91:Z94" si="51">IF(T91=0,0,X91/T91)</f>
        <v>0.25331683168316821</v>
      </c>
    </row>
    <row r="92" spans="1:26" s="24" customFormat="1" hidden="1" outlineLevel="2" x14ac:dyDescent="0.25">
      <c r="A92" s="28"/>
      <c r="B92" s="11" t="str">
        <f>CONCATENATE("          ", "6309", " - ", "TELEPHONE")</f>
        <v xml:space="preserve">          6309 - TELEPHONE</v>
      </c>
      <c r="C92" s="11"/>
      <c r="D92" s="7">
        <v>354.3</v>
      </c>
      <c r="E92" s="2"/>
      <c r="F92" s="6">
        <f t="shared" si="44"/>
        <v>2.0499106671727314E-3</v>
      </c>
      <c r="G92" s="2"/>
      <c r="H92" s="7">
        <v>250</v>
      </c>
      <c r="I92" s="2"/>
      <c r="J92" s="6">
        <f t="shared" si="45"/>
        <v>1.899638308865992E-3</v>
      </c>
      <c r="K92" s="2"/>
      <c r="L92" s="7">
        <f t="shared" si="46"/>
        <v>104.30000000000001</v>
      </c>
      <c r="M92" s="2"/>
      <c r="N92" s="6">
        <f t="shared" si="47"/>
        <v>0.41720000000000007</v>
      </c>
      <c r="O92" s="11"/>
      <c r="P92" s="7">
        <v>1265.8499999999999</v>
      </c>
      <c r="Q92" s="2"/>
      <c r="R92" s="6">
        <f t="shared" si="48"/>
        <v>1.1141853812065335E-3</v>
      </c>
      <c r="S92" s="2"/>
      <c r="T92" s="7">
        <v>1010</v>
      </c>
      <c r="U92" s="2"/>
      <c r="V92" s="6">
        <f t="shared" si="49"/>
        <v>8.3847696056252676E-4</v>
      </c>
      <c r="W92" s="2"/>
      <c r="X92" s="7">
        <f t="shared" si="50"/>
        <v>255.84999999999991</v>
      </c>
      <c r="Y92" s="2"/>
      <c r="Z92" s="6">
        <f t="shared" si="51"/>
        <v>0.25331683168316821</v>
      </c>
    </row>
    <row r="93" spans="1:26" s="27" customFormat="1" outlineLevel="1" collapsed="1" x14ac:dyDescent="0.25">
      <c r="A93" s="29"/>
      <c r="B93" s="14" t="str">
        <f>CONCATENATE("     ","Training                                          ")</f>
        <v xml:space="preserve">     Training                                          </v>
      </c>
      <c r="C93" s="14"/>
      <c r="D93" s="1">
        <f>SUM(OSRRefD22_12x_0)</f>
        <v>100</v>
      </c>
      <c r="E93" s="1"/>
      <c r="F93" s="5">
        <f t="shared" si="44"/>
        <v>5.7858048748877535E-4</v>
      </c>
      <c r="G93" s="1"/>
      <c r="H93" s="1">
        <f>SUM(OSRRefH22_12x_0)</f>
        <v>0</v>
      </c>
      <c r="I93" s="1"/>
      <c r="J93" s="5">
        <f t="shared" si="45"/>
        <v>0</v>
      </c>
      <c r="K93" s="1"/>
      <c r="L93" s="1">
        <f t="shared" si="46"/>
        <v>100</v>
      </c>
      <c r="M93" s="1"/>
      <c r="N93" s="5">
        <f t="shared" si="47"/>
        <v>0</v>
      </c>
      <c r="O93" s="14"/>
      <c r="P93" s="1">
        <f>SUM(OSRRefP22_12x_0)</f>
        <v>100</v>
      </c>
      <c r="Q93" s="1"/>
      <c r="R93" s="5">
        <f t="shared" si="48"/>
        <v>8.8018752712132841E-5</v>
      </c>
      <c r="S93" s="1"/>
      <c r="T93" s="1">
        <f>SUM(OSRRefT22_12x_0)</f>
        <v>0</v>
      </c>
      <c r="U93" s="1"/>
      <c r="V93" s="5">
        <f t="shared" si="49"/>
        <v>0</v>
      </c>
      <c r="W93" s="1"/>
      <c r="X93" s="1">
        <f t="shared" si="50"/>
        <v>100</v>
      </c>
      <c r="Y93" s="1"/>
      <c r="Z93" s="5">
        <f t="shared" si="51"/>
        <v>0</v>
      </c>
    </row>
    <row r="94" spans="1:26" s="24" customFormat="1" hidden="1" outlineLevel="2" x14ac:dyDescent="0.25">
      <c r="A94" s="28"/>
      <c r="B94" s="11" t="str">
        <f>CONCATENATE("          ", "6376", " - ", "TRAINING")</f>
        <v xml:space="preserve">          6376 - TRAINING</v>
      </c>
      <c r="C94" s="11"/>
      <c r="D94" s="7">
        <v>100</v>
      </c>
      <c r="E94" s="2"/>
      <c r="F94" s="6">
        <f t="shared" si="44"/>
        <v>5.7858048748877535E-4</v>
      </c>
      <c r="G94" s="2"/>
      <c r="H94" s="7"/>
      <c r="I94" s="2"/>
      <c r="J94" s="6">
        <f t="shared" si="45"/>
        <v>0</v>
      </c>
      <c r="K94" s="2"/>
      <c r="L94" s="7">
        <f t="shared" si="46"/>
        <v>100</v>
      </c>
      <c r="M94" s="2"/>
      <c r="N94" s="6">
        <f t="shared" si="47"/>
        <v>0</v>
      </c>
      <c r="O94" s="11"/>
      <c r="P94" s="7">
        <v>100</v>
      </c>
      <c r="Q94" s="2"/>
      <c r="R94" s="6">
        <f t="shared" si="48"/>
        <v>8.8018752712132841E-5</v>
      </c>
      <c r="S94" s="2"/>
      <c r="T94" s="7"/>
      <c r="U94" s="2"/>
      <c r="V94" s="6">
        <f t="shared" si="49"/>
        <v>0</v>
      </c>
      <c r="W94" s="2"/>
      <c r="X94" s="7">
        <f t="shared" si="50"/>
        <v>100</v>
      </c>
      <c r="Y94" s="2"/>
      <c r="Z94" s="6">
        <f t="shared" si="51"/>
        <v>0</v>
      </c>
    </row>
    <row r="95" spans="1:26" s="63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5" t="s">
        <v>0</v>
      </c>
      <c r="C96" s="10"/>
      <c r="D96" s="4">
        <f>SUM(OSRRefD25x_0)</f>
        <v>1355.96</v>
      </c>
      <c r="E96" s="4"/>
      <c r="F96" s="12">
        <f t="shared" ref="F96:F98" si="52">IF(D$12=0,0,D96/D$12)</f>
        <v>7.8453199781527982E-3</v>
      </c>
      <c r="G96" s="4"/>
      <c r="H96" s="4">
        <f>SUM(OSRRefH25x_0)</f>
        <v>1047</v>
      </c>
      <c r="I96" s="4"/>
      <c r="J96" s="12">
        <f t="shared" ref="J96:J98" si="53">IF(H$12=0,0,H96/H$12)</f>
        <v>7.9556852375307734E-3</v>
      </c>
      <c r="K96" s="4"/>
      <c r="L96" s="4">
        <f t="shared" ref="L96:L98" si="54">+D96-H96</f>
        <v>308.96000000000004</v>
      </c>
      <c r="M96" s="4"/>
      <c r="N96" s="12">
        <f t="shared" ref="N96:N98" si="55">IF(H96=0,0,L96/H96)</f>
        <v>0.29509073543457504</v>
      </c>
      <c r="O96" s="10"/>
      <c r="P96" s="4">
        <f>SUM(OSRRefP25x_0)</f>
        <v>1123.24</v>
      </c>
      <c r="Q96" s="4"/>
      <c r="R96" s="12">
        <f t="shared" ref="R96:R98" si="56">IF(P$12=0,0,P96/P$12)</f>
        <v>9.8866183796376093E-4</v>
      </c>
      <c r="S96" s="4"/>
      <c r="T96" s="4">
        <f>SUM(OSRRefT25x_0)</f>
        <v>9580</v>
      </c>
      <c r="U96" s="4"/>
      <c r="V96" s="12">
        <f t="shared" ref="V96:V98" si="57">IF(T$12=0,0,T96/T$12)</f>
        <v>7.9530784972168377E-3</v>
      </c>
      <c r="W96" s="4"/>
      <c r="X96" s="4">
        <f t="shared" ref="X96:X98" si="58">+P96-T96</f>
        <v>-8456.76</v>
      </c>
      <c r="Y96" s="4"/>
      <c r="Z96" s="12">
        <f t="shared" ref="Z96:Z98" si="59">IF(T96=0,0,X96/T96)</f>
        <v>-0.8827515657620042</v>
      </c>
    </row>
    <row r="97" spans="1:26" s="24" customFormat="1" hidden="1" outlineLevel="1" x14ac:dyDescent="0.25">
      <c r="A97" s="51"/>
      <c r="B97" s="11" t="str">
        <f>CONCATENATE("          ", "4187", " - ", "NON-TAXABLE SALES-COMPUTER REP")</f>
        <v xml:space="preserve">          4187 - NON-TAXABLE SALES-COMPUTER REP</v>
      </c>
      <c r="C97" s="11"/>
      <c r="D97" s="2">
        <f>--792.83</f>
        <v>792.83</v>
      </c>
      <c r="E97" s="2"/>
      <c r="F97" s="22">
        <f t="shared" si="52"/>
        <v>4.587159678957258E-3</v>
      </c>
      <c r="G97" s="2"/>
      <c r="H97" s="2"/>
      <c r="I97" s="2"/>
      <c r="J97" s="22">
        <f t="shared" si="53"/>
        <v>0</v>
      </c>
      <c r="K97" s="2"/>
      <c r="L97" s="2">
        <f t="shared" si="54"/>
        <v>792.83</v>
      </c>
      <c r="M97" s="2"/>
      <c r="N97" s="22">
        <f t="shared" si="55"/>
        <v>0</v>
      </c>
      <c r="O97" s="11"/>
      <c r="P97" s="2">
        <f>--937.96</f>
        <v>937.96</v>
      </c>
      <c r="Q97" s="2"/>
      <c r="R97" s="22">
        <f t="shared" si="56"/>
        <v>8.2558069293872129E-4</v>
      </c>
      <c r="S97" s="2"/>
      <c r="T97" s="2"/>
      <c r="U97" s="2"/>
      <c r="V97" s="22">
        <f t="shared" si="57"/>
        <v>0</v>
      </c>
      <c r="W97" s="2"/>
      <c r="X97" s="2">
        <f t="shared" si="58"/>
        <v>937.96</v>
      </c>
      <c r="Y97" s="2"/>
      <c r="Z97" s="22">
        <f t="shared" si="59"/>
        <v>0</v>
      </c>
    </row>
    <row r="98" spans="1:26" s="24" customFormat="1" hidden="1" outlineLevel="1" x14ac:dyDescent="0.25">
      <c r="A98" s="51"/>
      <c r="B98" s="11" t="str">
        <f>CONCATENATE("          ", "9150", " - ", "MISC. INCOME")</f>
        <v xml:space="preserve">          9150 - MISC. INCOME</v>
      </c>
      <c r="C98" s="11"/>
      <c r="D98" s="2">
        <f>--563.13</f>
        <v>563.13</v>
      </c>
      <c r="E98" s="2"/>
      <c r="F98" s="22">
        <f t="shared" si="52"/>
        <v>3.2581602991955407E-3</v>
      </c>
      <c r="G98" s="2"/>
      <c r="H98" s="2">
        <v>1047</v>
      </c>
      <c r="I98" s="2"/>
      <c r="J98" s="22">
        <f t="shared" si="53"/>
        <v>7.9556852375307734E-3</v>
      </c>
      <c r="K98" s="2"/>
      <c r="L98" s="2">
        <f t="shared" si="54"/>
        <v>-483.87</v>
      </c>
      <c r="M98" s="2"/>
      <c r="N98" s="22">
        <f t="shared" si="55"/>
        <v>-0.4621489971346705</v>
      </c>
      <c r="O98" s="11"/>
      <c r="P98" s="2">
        <f>--185.28</f>
        <v>185.28</v>
      </c>
      <c r="Q98" s="2"/>
      <c r="R98" s="22">
        <f t="shared" si="56"/>
        <v>1.6308114502503973E-4</v>
      </c>
      <c r="S98" s="2"/>
      <c r="T98" s="2">
        <v>9580</v>
      </c>
      <c r="U98" s="2"/>
      <c r="V98" s="22">
        <f t="shared" si="57"/>
        <v>7.9530784972168377E-3</v>
      </c>
      <c r="W98" s="2"/>
      <c r="X98" s="2">
        <f t="shared" si="58"/>
        <v>-9394.7199999999993</v>
      </c>
      <c r="Y98" s="2"/>
      <c r="Z98" s="22">
        <f t="shared" si="59"/>
        <v>-0.98065970772442579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6" t="s">
        <v>3</v>
      </c>
      <c r="C100" s="26"/>
      <c r="D100" s="20">
        <f>+D45-D47+D96</f>
        <v>2806.6700000000483</v>
      </c>
      <c r="E100" s="13"/>
      <c r="F100" s="19">
        <f>IF(D$12=0,0,D100/D$12)</f>
        <v>1.623884496820149E-2</v>
      </c>
      <c r="G100" s="13"/>
      <c r="H100" s="20">
        <f>+H45-H47+H96</f>
        <v>9156.8956714423111</v>
      </c>
      <c r="I100" s="13"/>
      <c r="J100" s="19">
        <f>IF(H$12=0,0,H100/H$12)</f>
        <v>6.9579159231043977E-2</v>
      </c>
      <c r="K100" s="15"/>
      <c r="L100" s="20">
        <f>+D100-H100</f>
        <v>-6350.2256714422629</v>
      </c>
      <c r="M100" s="15"/>
      <c r="N100" s="19">
        <f>IF(H100=0,0,L100/H100)</f>
        <v>-0.69349110214794363</v>
      </c>
      <c r="O100" s="25"/>
      <c r="P100" s="20">
        <f>+P45-P47+P96</f>
        <v>2064.979999999794</v>
      </c>
      <c r="Q100" s="13"/>
      <c r="R100" s="19">
        <f>IF(P$12=0,0,P100/P$12)</f>
        <v>1.8175696397548194E-3</v>
      </c>
      <c r="S100" s="13"/>
      <c r="T100" s="20">
        <f>+T45-T47+T96</f>
        <v>192125.06091719231</v>
      </c>
      <c r="U100" s="13"/>
      <c r="V100" s="19">
        <f>IF(T$12=0,0,T100/T$12)</f>
        <v>0.15949746250073041</v>
      </c>
      <c r="W100" s="15"/>
      <c r="X100" s="20">
        <f>+P100-T100</f>
        <v>-190060.08091719251</v>
      </c>
      <c r="Y100" s="15"/>
      <c r="Z100" s="19">
        <f>IF(T100=0,0,X100/T100)</f>
        <v>-0.98925189670654246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67655.090000000011</v>
      </c>
      <c r="E102" s="4"/>
      <c r="F102" s="12">
        <f>IF(D$12=0,0,D102/D$12)</f>
        <v>0.39143914953296977</v>
      </c>
      <c r="G102" s="4"/>
      <c r="H102" s="4">
        <v>42091</v>
      </c>
      <c r="I102" s="4"/>
      <c r="J102" s="12">
        <f>IF(H$12=0,0,H102/H$12)</f>
        <v>0.31983070423391385</v>
      </c>
      <c r="K102" s="4"/>
      <c r="L102" s="4">
        <f>+D102-H102</f>
        <v>25564.090000000011</v>
      </c>
      <c r="M102" s="4"/>
      <c r="N102" s="12">
        <f>IF(H102=0,0,L102/H102)</f>
        <v>0.60735287828752016</v>
      </c>
      <c r="O102" s="10"/>
      <c r="P102" s="4">
        <v>246108.38999999998</v>
      </c>
      <c r="Q102" s="4"/>
      <c r="R102" s="12">
        <f>IF(P$12=0,0,P102/P$12)</f>
        <v>0.21662153519791147</v>
      </c>
      <c r="S102" s="4"/>
      <c r="T102" s="4">
        <v>197211</v>
      </c>
      <c r="U102" s="4"/>
      <c r="V102" s="12">
        <f>IF(T$12=0,0,T102/T$12)</f>
        <v>0.16371968303910539</v>
      </c>
      <c r="W102" s="4"/>
      <c r="X102" s="4">
        <f>+P102-T102</f>
        <v>48897.389999999985</v>
      </c>
      <c r="Y102" s="4"/>
      <c r="Z102" s="12">
        <f>IF(T102=0,0,X102/T102)</f>
        <v>0.24794453656236207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4</v>
      </c>
      <c r="C104" s="26"/>
      <c r="D104" s="34">
        <f>+D100-D102</f>
        <v>-64848.419999999962</v>
      </c>
      <c r="E104" s="13"/>
      <c r="F104" s="35">
        <f>IF(D$12=0,0,D104/D$12)</f>
        <v>-0.37520030456476827</v>
      </c>
      <c r="G104" s="13"/>
      <c r="H104" s="34">
        <f>+H100-H102</f>
        <v>-32934.104328557689</v>
      </c>
      <c r="I104" s="13"/>
      <c r="J104" s="35">
        <f>IF(H$12=0,0,H104/H$12)</f>
        <v>-0.25025154500286989</v>
      </c>
      <c r="K104" s="15"/>
      <c r="L104" s="34">
        <f>D104-H104</f>
        <v>-31914.315671442273</v>
      </c>
      <c r="M104" s="15"/>
      <c r="N104" s="35">
        <f>IF(H104=0,0,L104/H104)</f>
        <v>0.96903548227874103</v>
      </c>
      <c r="O104" s="25"/>
      <c r="P104" s="34">
        <f>+P100-P102</f>
        <v>-244043.41000000018</v>
      </c>
      <c r="Q104" s="13"/>
      <c r="R104" s="35">
        <f>IF(P$12=0,0,P104/P$12)</f>
        <v>-0.21480396555815665</v>
      </c>
      <c r="S104" s="13"/>
      <c r="T104" s="34">
        <f>+T100-T102</f>
        <v>-5085.9390828076866</v>
      </c>
      <c r="U104" s="13"/>
      <c r="V104" s="35">
        <f>IF(T$12=0,0,T104/T$12)</f>
        <v>-4.2222205383750039E-3</v>
      </c>
      <c r="W104" s="15"/>
      <c r="X104" s="34">
        <f>P104-T104</f>
        <v>-238957.47091719249</v>
      </c>
      <c r="Y104" s="15"/>
      <c r="Z104" s="35">
        <f>IF(T104=0,0,X104/T104)</f>
        <v>46.983942793368321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6" t="s">
        <v>5</v>
      </c>
      <c r="C107" s="26"/>
      <c r="D107" s="30">
        <f>SUM(D104:D106)</f>
        <v>-64848.419999999962</v>
      </c>
      <c r="E107" s="13"/>
      <c r="F107" s="32">
        <f>IF(D$12=0,0,D107/D$12)</f>
        <v>-0.37520030456476827</v>
      </c>
      <c r="G107" s="13"/>
      <c r="H107" s="30">
        <f>SUM(H104:H106)</f>
        <v>-32934.104328557689</v>
      </c>
      <c r="I107" s="13"/>
      <c r="J107" s="32">
        <f>IF(H$12=0,0,H107/H$12)</f>
        <v>-0.25025154500286989</v>
      </c>
      <c r="K107" s="15"/>
      <c r="L107" s="30">
        <f>+D107-H107</f>
        <v>-31914.315671442273</v>
      </c>
      <c r="M107" s="15"/>
      <c r="N107" s="32">
        <f>IF(H107=0,0,L107/H107)</f>
        <v>0.96903548227874103</v>
      </c>
      <c r="O107" s="25"/>
      <c r="P107" s="30">
        <f>SUM(P104:P106)</f>
        <v>-244043.41000000018</v>
      </c>
      <c r="Q107" s="13"/>
      <c r="R107" s="32">
        <f>IF(P$12=0,0,P107/P$12)</f>
        <v>-0.21480396555815665</v>
      </c>
      <c r="S107" s="13"/>
      <c r="T107" s="30">
        <f>SUM(T104:T106)</f>
        <v>-5085.9390828076866</v>
      </c>
      <c r="U107" s="13"/>
      <c r="V107" s="32">
        <f>IF(T$12=0,0,T107/T$12)</f>
        <v>-4.2222205383750039E-3</v>
      </c>
      <c r="W107" s="15"/>
      <c r="X107" s="30">
        <f>+P107-T107</f>
        <v>-238957.47091719249</v>
      </c>
      <c r="Y107" s="15"/>
      <c r="Z107" s="32">
        <f>IF(T107=0,0,X107/T107)</f>
        <v>46.983942793368321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60">
        <v>44151.568378472221</v>
      </c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58" t="s">
        <v>314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53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307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66840</v>
      </c>
      <c r="I12" s="4"/>
      <c r="J12" s="12"/>
      <c r="K12" s="4"/>
      <c r="L12" s="4">
        <f t="shared" ref="L12:L17" si="0">+D12-H12</f>
        <v>-66840</v>
      </c>
      <c r="M12" s="4"/>
      <c r="N12" s="12">
        <f t="shared" ref="N12:N17" si="1">IF(H12=0,0,L12/H12)</f>
        <v>-1</v>
      </c>
      <c r="O12" s="10"/>
      <c r="P12" s="4">
        <f>SUM(OSRRefP13x_0)</f>
        <v>2586.4700000000003</v>
      </c>
      <c r="Q12" s="4"/>
      <c r="R12" s="12"/>
      <c r="S12" s="4"/>
      <c r="T12" s="4">
        <f>SUM(OSRRefT13x_0)</f>
        <v>122522</v>
      </c>
      <c r="U12" s="4"/>
      <c r="V12" s="12"/>
      <c r="W12" s="4"/>
      <c r="X12" s="4">
        <f t="shared" ref="X12:X17" si="2">+P12-T12</f>
        <v>-119935.53</v>
      </c>
      <c r="Y12" s="4"/>
      <c r="Z12" s="12">
        <f t="shared" ref="Z12:Z17" si="3">IF(T12=0,0,X12/T12)</f>
        <v>-0.97888975041217086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7" si="4">0</f>
        <v>0</v>
      </c>
      <c r="E13" s="2"/>
      <c r="F13" s="22"/>
      <c r="G13" s="2"/>
      <c r="H13" s="2">
        <v>5901</v>
      </c>
      <c r="I13" s="2"/>
      <c r="J13" s="22"/>
      <c r="K13" s="2"/>
      <c r="L13" s="2">
        <f t="shared" si="0"/>
        <v>-5901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10195</v>
      </c>
      <c r="U13" s="2"/>
      <c r="V13" s="22"/>
      <c r="W13" s="2"/>
      <c r="X13" s="2">
        <f t="shared" si="2"/>
        <v>-10195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60939.000000000007</v>
      </c>
      <c r="I15" s="2"/>
      <c r="J15" s="22"/>
      <c r="K15" s="2"/>
      <c r="L15" s="2">
        <f t="shared" si="0"/>
        <v>-60939.000000000007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112327</v>
      </c>
      <c r="U15" s="2"/>
      <c r="V15" s="22"/>
      <c r="W15" s="2"/>
      <c r="X15" s="2">
        <f t="shared" si="2"/>
        <v>-112327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"4132", " - ", "NON-TAXABLE SALES-JUICE")</f>
        <v xml:space="preserve">          4132 - NON-TAXABLE SALES-JUICE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--2031.88</f>
        <v>2031.88</v>
      </c>
      <c r="Q16" s="2"/>
      <c r="R16" s="22"/>
      <c r="S16" s="2"/>
      <c r="T16" s="2"/>
      <c r="U16" s="2"/>
      <c r="V16" s="22"/>
      <c r="W16" s="2"/>
      <c r="X16" s="2">
        <f t="shared" si="2"/>
        <v>2031.88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"4153", " - ", "NON-TAXABLE SALES-FOOD")</f>
        <v xml:space="preserve">          4153 - NON-TAXABLE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--110</f>
        <v>110</v>
      </c>
      <c r="Q17" s="2"/>
      <c r="R17" s="22"/>
      <c r="S17" s="2"/>
      <c r="T17" s="2"/>
      <c r="U17" s="2"/>
      <c r="V17" s="22"/>
      <c r="W17" s="2"/>
      <c r="X17" s="2">
        <f t="shared" si="2"/>
        <v>110</v>
      </c>
      <c r="Y17" s="2"/>
      <c r="Z17" s="22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8</v>
      </c>
      <c r="C19" s="10"/>
      <c r="D19" s="4">
        <f>SUM(OSRRefD16x_0)</f>
        <v>11058.83</v>
      </c>
      <c r="E19" s="4"/>
      <c r="F19" s="12">
        <f t="shared" ref="F19:F22" si="5">IF(D$12=0,0,D19/D$12)</f>
        <v>0</v>
      </c>
      <c r="G19" s="4"/>
      <c r="H19" s="4">
        <f>SUM(OSRRefH16x_0)</f>
        <v>28208</v>
      </c>
      <c r="I19" s="4"/>
      <c r="J19" s="12">
        <f t="shared" ref="J19:J22" si="6">IF(H$12=0,0,H19/H$12)</f>
        <v>0.42202274087372832</v>
      </c>
      <c r="K19" s="4"/>
      <c r="L19" s="4">
        <f t="shared" ref="L19:L22" si="7">+D19-H19</f>
        <v>-17149.169999999998</v>
      </c>
      <c r="M19" s="4"/>
      <c r="N19" s="12">
        <f t="shared" ref="N19:N22" si="8">IF(H19=0,0,L19/H19)</f>
        <v>-0.60795412648893921</v>
      </c>
      <c r="O19" s="10"/>
      <c r="P19" s="4">
        <f>SUM(OSRRefP16x_0)</f>
        <v>8842.34</v>
      </c>
      <c r="Q19" s="4"/>
      <c r="R19" s="12">
        <f t="shared" ref="R19:R22" si="9">IF(P$12=0,0,P19/P$12)</f>
        <v>3.4186903385695557</v>
      </c>
      <c r="S19" s="4"/>
      <c r="T19" s="4">
        <f>SUM(OSRRefT16x_0)</f>
        <v>51784</v>
      </c>
      <c r="U19" s="4"/>
      <c r="V19" s="12">
        <f t="shared" ref="V19:V22" si="10">IF(T$12=0,0,T19/T$12)</f>
        <v>0.42265062601002268</v>
      </c>
      <c r="W19" s="4"/>
      <c r="X19" s="4">
        <f t="shared" ref="X19:X22" si="11">+P19-T19</f>
        <v>-42941.66</v>
      </c>
      <c r="Y19" s="4"/>
      <c r="Z19" s="12">
        <f t="shared" ref="Z19:Z22" si="12">IF(T19=0,0,X19/T19)</f>
        <v>-0.8292457129615326</v>
      </c>
    </row>
    <row r="20" spans="1:26" s="24" customFormat="1" hidden="1" outlineLevel="1" x14ac:dyDescent="0.25">
      <c r="A20" s="51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22">
        <f t="shared" si="5"/>
        <v>0</v>
      </c>
      <c r="G20" s="2"/>
      <c r="H20" s="2">
        <v>28208</v>
      </c>
      <c r="I20" s="2"/>
      <c r="J20" s="22">
        <f t="shared" si="6"/>
        <v>0.42202274087372832</v>
      </c>
      <c r="K20" s="2"/>
      <c r="L20" s="2">
        <f t="shared" si="7"/>
        <v>-28208</v>
      </c>
      <c r="M20" s="2"/>
      <c r="N20" s="22">
        <f t="shared" si="8"/>
        <v>-1</v>
      </c>
      <c r="O20" s="11"/>
      <c r="P20" s="2"/>
      <c r="Q20" s="2"/>
      <c r="R20" s="22">
        <f t="shared" si="9"/>
        <v>0</v>
      </c>
      <c r="S20" s="2"/>
      <c r="T20" s="2">
        <v>51784</v>
      </c>
      <c r="U20" s="2"/>
      <c r="V20" s="22">
        <f t="shared" si="10"/>
        <v>0.42265062601002268</v>
      </c>
      <c r="W20" s="2"/>
      <c r="X20" s="2">
        <f t="shared" si="11"/>
        <v>-51784</v>
      </c>
      <c r="Y20" s="2"/>
      <c r="Z20" s="22">
        <f t="shared" si="12"/>
        <v>-1</v>
      </c>
    </row>
    <row r="21" spans="1:26" s="24" customFormat="1" hidden="1" outlineLevel="1" x14ac:dyDescent="0.25">
      <c r="A21" s="51"/>
      <c r="B21" s="11" t="str">
        <f>CONCATENATE("          ", "5053", " - ", "PURCHASES @ COST-FOOD")</f>
        <v xml:space="preserve">          5053 - PURCHASES @ COST-FOOD</v>
      </c>
      <c r="C21" s="11"/>
      <c r="D21" s="2">
        <v>-570.16999999999996</v>
      </c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-570.16999999999996</v>
      </c>
      <c r="M21" s="2"/>
      <c r="N21" s="22">
        <f t="shared" si="8"/>
        <v>0</v>
      </c>
      <c r="O21" s="11"/>
      <c r="P21" s="2">
        <v>-2855.57</v>
      </c>
      <c r="Q21" s="2"/>
      <c r="R21" s="22">
        <f t="shared" si="9"/>
        <v>-1.1040414155199945</v>
      </c>
      <c r="S21" s="2"/>
      <c r="T21" s="2"/>
      <c r="U21" s="2"/>
      <c r="V21" s="22">
        <f t="shared" si="10"/>
        <v>0</v>
      </c>
      <c r="W21" s="2"/>
      <c r="X21" s="2">
        <f t="shared" si="11"/>
        <v>-2855.57</v>
      </c>
      <c r="Y21" s="2"/>
      <c r="Z21" s="22">
        <f t="shared" si="12"/>
        <v>0</v>
      </c>
    </row>
    <row r="22" spans="1:26" s="24" customFormat="1" hidden="1" outlineLevel="1" x14ac:dyDescent="0.25">
      <c r="A22" s="51"/>
      <c r="B22" s="11" t="str">
        <f>CONCATENATE("          ", "5059", " - ", "PURCHASES @ COST-FOOD")</f>
        <v xml:space="preserve">          5059 - PURCHASES @ COST-FOOD</v>
      </c>
      <c r="C22" s="11"/>
      <c r="D22" s="2">
        <v>11629</v>
      </c>
      <c r="E22" s="2"/>
      <c r="F22" s="22">
        <f t="shared" si="5"/>
        <v>0</v>
      </c>
      <c r="G22" s="2"/>
      <c r="H22" s="2"/>
      <c r="I22" s="2"/>
      <c r="J22" s="22">
        <f t="shared" si="6"/>
        <v>0</v>
      </c>
      <c r="K22" s="2"/>
      <c r="L22" s="2">
        <f t="shared" si="7"/>
        <v>11629</v>
      </c>
      <c r="M22" s="2"/>
      <c r="N22" s="22">
        <f t="shared" si="8"/>
        <v>0</v>
      </c>
      <c r="O22" s="11"/>
      <c r="P22" s="2">
        <v>11697.91</v>
      </c>
      <c r="Q22" s="2"/>
      <c r="R22" s="22">
        <f t="shared" si="9"/>
        <v>4.5227317540895502</v>
      </c>
      <c r="S22" s="2"/>
      <c r="T22" s="2"/>
      <c r="U22" s="2"/>
      <c r="V22" s="22">
        <f t="shared" si="10"/>
        <v>0</v>
      </c>
      <c r="W22" s="2"/>
      <c r="X22" s="2">
        <f t="shared" si="11"/>
        <v>11697.91</v>
      </c>
      <c r="Y22" s="2"/>
      <c r="Z22" s="22">
        <f t="shared" si="12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6</v>
      </c>
      <c r="C24" s="26"/>
      <c r="D24" s="20">
        <f>D12-D19</f>
        <v>-11058.83</v>
      </c>
      <c r="E24" s="13"/>
      <c r="F24" s="19">
        <f>IF(D$12=0,0,D24/D$12)</f>
        <v>0</v>
      </c>
      <c r="G24" s="13"/>
      <c r="H24" s="20">
        <f>H12-H19</f>
        <v>38632</v>
      </c>
      <c r="I24" s="13"/>
      <c r="J24" s="19">
        <f>IF(H$12=0,0,H24/H$12)</f>
        <v>0.57797725912627174</v>
      </c>
      <c r="K24" s="15"/>
      <c r="L24" s="20">
        <f>+D24-H24</f>
        <v>-49690.83</v>
      </c>
      <c r="M24" s="15"/>
      <c r="N24" s="19">
        <f>IF(H24=0,0,L24/H24)</f>
        <v>-1.286260871816111</v>
      </c>
      <c r="O24" s="25"/>
      <c r="P24" s="20">
        <f>P12-P19</f>
        <v>-6255.87</v>
      </c>
      <c r="Q24" s="13"/>
      <c r="R24" s="19">
        <f>IF(P$12=0,0,P24/P$12)</f>
        <v>-2.4186903385695557</v>
      </c>
      <c r="S24" s="13"/>
      <c r="T24" s="20">
        <f>T12-T19</f>
        <v>70738</v>
      </c>
      <c r="U24" s="13"/>
      <c r="V24" s="19">
        <f>IF(T$12=0,0,T24/T$12)</f>
        <v>0.57734937398997732</v>
      </c>
      <c r="W24" s="15"/>
      <c r="X24" s="20">
        <f>+P24-T24</f>
        <v>-76993.87</v>
      </c>
      <c r="Y24" s="15"/>
      <c r="Z24" s="19">
        <f>IF(T24=0,0,X24/T24)</f>
        <v>-1.0884371907602701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9</v>
      </c>
      <c r="C26" s="10"/>
      <c r="D26" s="21">
        <f>SUM(OSRRefD22x_0)</f>
        <v>28394.239999999998</v>
      </c>
      <c r="E26" s="21"/>
      <c r="F26" s="31">
        <f t="shared" ref="F26:F36" si="13">IF(D$12=0,0,D26/D$12)</f>
        <v>0</v>
      </c>
      <c r="G26" s="21"/>
      <c r="H26" s="21">
        <f>SUM(OSRRefH22x_0)</f>
        <v>63750.913928500006</v>
      </c>
      <c r="I26" s="21"/>
      <c r="J26" s="31">
        <f t="shared" ref="J26:J36" si="14">IF(H$12=0,0,H26/H$12)</f>
        <v>0.95378387086325567</v>
      </c>
      <c r="K26" s="4"/>
      <c r="L26" s="21">
        <f t="shared" ref="L26:L36" si="15">+D26-H26</f>
        <v>-35356.673928500008</v>
      </c>
      <c r="M26" s="4"/>
      <c r="N26" s="31">
        <f t="shared" ref="N26:N36" si="16">IF(H26=0,0,L26/H26)</f>
        <v>-0.55460654208274363</v>
      </c>
      <c r="O26" s="10"/>
      <c r="P26" s="21">
        <f>SUM(OSRRefP22x_0)</f>
        <v>125834.98000000001</v>
      </c>
      <c r="Q26" s="21"/>
      <c r="R26" s="31">
        <f t="shared" ref="R26:R36" si="17">IF(P$12=0,0,P26/P$12)</f>
        <v>48.65124281356443</v>
      </c>
      <c r="S26" s="21"/>
      <c r="T26" s="21">
        <f>SUM(OSRRefT22x_0)</f>
        <v>204321.73764430001</v>
      </c>
      <c r="U26" s="21"/>
      <c r="V26" s="31">
        <f t="shared" ref="V26:V36" si="18">IF(T$12=0,0,T26/T$12)</f>
        <v>1.6676330589143176</v>
      </c>
      <c r="W26" s="4"/>
      <c r="X26" s="21">
        <f t="shared" ref="X26:X36" si="19">+P26-T26</f>
        <v>-78486.7576443</v>
      </c>
      <c r="Y26" s="4"/>
      <c r="Z26" s="31">
        <f t="shared" ref="Z26:Z36" si="20">IF(T26=0,0,X26/T26)</f>
        <v>-0.38413317422415505</v>
      </c>
    </row>
    <row r="27" spans="1:26" s="27" customFormat="1" outlineLevel="1" collapsed="1" x14ac:dyDescent="0.25">
      <c r="A27" s="29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6403.2999999999993</v>
      </c>
      <c r="E27" s="1"/>
      <c r="F27" s="5">
        <f t="shared" si="13"/>
        <v>0</v>
      </c>
      <c r="G27" s="1"/>
      <c r="H27" s="1">
        <f>SUM(OSRRefH22_0x_0)</f>
        <v>8314.6589285000009</v>
      </c>
      <c r="I27" s="1"/>
      <c r="J27" s="5">
        <f t="shared" si="14"/>
        <v>0.1243964531493118</v>
      </c>
      <c r="K27" s="1"/>
      <c r="L27" s="1">
        <f t="shared" si="15"/>
        <v>-1911.3589285000016</v>
      </c>
      <c r="M27" s="1"/>
      <c r="N27" s="5">
        <f t="shared" si="16"/>
        <v>-0.22987821207535913</v>
      </c>
      <c r="O27" s="14"/>
      <c r="P27" s="1">
        <f>SUM(OSRRefP22_0x_0)</f>
        <v>27366.87</v>
      </c>
      <c r="Q27" s="1"/>
      <c r="R27" s="5">
        <f t="shared" si="17"/>
        <v>10.580779981983165</v>
      </c>
      <c r="S27" s="1"/>
      <c r="T27" s="1">
        <f>SUM(OSRRefT22_0x_0)</f>
        <v>30292.3656443</v>
      </c>
      <c r="U27" s="1"/>
      <c r="V27" s="5">
        <f t="shared" si="18"/>
        <v>0.24724021518013092</v>
      </c>
      <c r="W27" s="1"/>
      <c r="X27" s="1">
        <f t="shared" si="19"/>
        <v>-2925.495644300001</v>
      </c>
      <c r="Y27" s="1"/>
      <c r="Z27" s="5">
        <f t="shared" si="20"/>
        <v>-9.6575344383857342E-2</v>
      </c>
    </row>
    <row r="28" spans="1:26" s="24" customFormat="1" hidden="1" outlineLevel="2" x14ac:dyDescent="0.25">
      <c r="A28" s="28"/>
      <c r="B28" s="11" t="str">
        <f>CONCATENATE("          ", "6111", " - ", "F.I.C.A.")</f>
        <v xml:space="preserve">          6111 - F.I.C.A.</v>
      </c>
      <c r="C28" s="11"/>
      <c r="D28" s="7">
        <v>1222.23</v>
      </c>
      <c r="E28" s="2"/>
      <c r="F28" s="6">
        <f t="shared" si="13"/>
        <v>0</v>
      </c>
      <c r="G28" s="2"/>
      <c r="H28" s="7">
        <v>1277.4349334999999</v>
      </c>
      <c r="I28" s="2"/>
      <c r="J28" s="6">
        <f t="shared" si="14"/>
        <v>1.9111833236086177E-2</v>
      </c>
      <c r="K28" s="2"/>
      <c r="L28" s="7">
        <f t="shared" si="15"/>
        <v>-55.204933499999925</v>
      </c>
      <c r="M28" s="2"/>
      <c r="N28" s="6">
        <f t="shared" si="16"/>
        <v>-4.3215456264958894E-2</v>
      </c>
      <c r="O28" s="11"/>
      <c r="P28" s="7">
        <v>3571.72</v>
      </c>
      <c r="Q28" s="2"/>
      <c r="R28" s="6">
        <f t="shared" si="17"/>
        <v>1.3809245806059995</v>
      </c>
      <c r="S28" s="2"/>
      <c r="T28" s="7">
        <v>4259.4003632999993</v>
      </c>
      <c r="U28" s="2"/>
      <c r="V28" s="6">
        <f t="shared" si="18"/>
        <v>3.4764371813225371E-2</v>
      </c>
      <c r="W28" s="2"/>
      <c r="X28" s="7">
        <f t="shared" si="19"/>
        <v>-687.6803632999995</v>
      </c>
      <c r="Y28" s="2"/>
      <c r="Z28" s="6">
        <f t="shared" si="20"/>
        <v>-0.16145004100230073</v>
      </c>
    </row>
    <row r="29" spans="1:26" s="24" customFormat="1" hidden="1" outlineLevel="2" x14ac:dyDescent="0.25">
      <c r="A29" s="28"/>
      <c r="B29" s="11" t="str">
        <f>CONCATENATE("          ", "6112", " - ", "COMPENSATION INSURANCE")</f>
        <v xml:space="preserve">          6112 - COMPENSATION INSURANCE</v>
      </c>
      <c r="C29" s="11"/>
      <c r="D29" s="7">
        <v>163.46</v>
      </c>
      <c r="E29" s="2"/>
      <c r="F29" s="6">
        <f t="shared" si="13"/>
        <v>0</v>
      </c>
      <c r="G29" s="2"/>
      <c r="H29" s="7">
        <v>537.61832500000003</v>
      </c>
      <c r="I29" s="2"/>
      <c r="J29" s="6">
        <f t="shared" si="14"/>
        <v>8.043362133453023E-3</v>
      </c>
      <c r="K29" s="2"/>
      <c r="L29" s="7">
        <f t="shared" si="15"/>
        <v>-374.15832499999999</v>
      </c>
      <c r="M29" s="2"/>
      <c r="N29" s="6">
        <f t="shared" si="16"/>
        <v>-0.69595530435090724</v>
      </c>
      <c r="O29" s="11"/>
      <c r="P29" s="7">
        <v>660.16</v>
      </c>
      <c r="Q29" s="2"/>
      <c r="R29" s="6">
        <f t="shared" si="17"/>
        <v>0.25523590066770535</v>
      </c>
      <c r="S29" s="2"/>
      <c r="T29" s="7">
        <v>1534.9581350000001</v>
      </c>
      <c r="U29" s="2"/>
      <c r="V29" s="6">
        <f t="shared" si="18"/>
        <v>1.2528020559572976E-2</v>
      </c>
      <c r="W29" s="2"/>
      <c r="X29" s="7">
        <f t="shared" si="19"/>
        <v>-874.79813500000012</v>
      </c>
      <c r="Y29" s="2"/>
      <c r="Z29" s="6">
        <f t="shared" si="20"/>
        <v>-0.56991660883311324</v>
      </c>
    </row>
    <row r="30" spans="1:26" s="24" customFormat="1" hidden="1" outlineLevel="2" x14ac:dyDescent="0.25">
      <c r="A30" s="28"/>
      <c r="B30" s="11" t="str">
        <f>CONCATENATE("          ", "6113", " - ", "GROUP INSURANCE")</f>
        <v xml:space="preserve">          6113 - GROUP INSURANCE</v>
      </c>
      <c r="C30" s="11"/>
      <c r="D30" s="7">
        <v>2704.94</v>
      </c>
      <c r="E30" s="2"/>
      <c r="F30" s="6">
        <f t="shared" si="13"/>
        <v>0</v>
      </c>
      <c r="G30" s="2"/>
      <c r="H30" s="7">
        <v>3960</v>
      </c>
      <c r="I30" s="2"/>
      <c r="J30" s="6">
        <f t="shared" si="14"/>
        <v>5.9245960502692999E-2</v>
      </c>
      <c r="K30" s="2"/>
      <c r="L30" s="7">
        <f t="shared" si="15"/>
        <v>-1255.06</v>
      </c>
      <c r="M30" s="2"/>
      <c r="N30" s="6">
        <f t="shared" si="16"/>
        <v>-0.3169343434343434</v>
      </c>
      <c r="O30" s="11"/>
      <c r="P30" s="7">
        <v>12735.39</v>
      </c>
      <c r="Q30" s="2"/>
      <c r="R30" s="6">
        <f t="shared" si="17"/>
        <v>4.9238498803388397</v>
      </c>
      <c r="S30" s="2"/>
      <c r="T30" s="7">
        <v>15840</v>
      </c>
      <c r="U30" s="2"/>
      <c r="V30" s="6">
        <f t="shared" si="18"/>
        <v>0.1292829042947389</v>
      </c>
      <c r="W30" s="2"/>
      <c r="X30" s="7">
        <f t="shared" si="19"/>
        <v>-3104.6100000000006</v>
      </c>
      <c r="Y30" s="2"/>
      <c r="Z30" s="6">
        <f t="shared" si="20"/>
        <v>-0.19599810606060611</v>
      </c>
    </row>
    <row r="31" spans="1:26" s="24" customFormat="1" hidden="1" outlineLevel="2" x14ac:dyDescent="0.25">
      <c r="A31" s="28"/>
      <c r="B31" s="11" t="str">
        <f>CONCATENATE("          ", "6114", " - ", "STATE UNEMPLOYMENT INSURANCE")</f>
        <v xml:space="preserve">          6114 - STATE UNEMPLOYMENT INSURANCE</v>
      </c>
      <c r="C31" s="11"/>
      <c r="D31" s="7">
        <v>22.98</v>
      </c>
      <c r="E31" s="2"/>
      <c r="F31" s="6">
        <f t="shared" si="13"/>
        <v>0</v>
      </c>
      <c r="G31" s="2"/>
      <c r="H31" s="7">
        <v>75.557169999999999</v>
      </c>
      <c r="I31" s="2"/>
      <c r="J31" s="6">
        <f t="shared" si="14"/>
        <v>1.1304184619988032E-3</v>
      </c>
      <c r="K31" s="2"/>
      <c r="L31" s="7">
        <f t="shared" si="15"/>
        <v>-52.577169999999995</v>
      </c>
      <c r="M31" s="2"/>
      <c r="N31" s="6">
        <f t="shared" si="16"/>
        <v>-0.69585943994461408</v>
      </c>
      <c r="O31" s="11"/>
      <c r="P31" s="7">
        <v>92.8</v>
      </c>
      <c r="Q31" s="2"/>
      <c r="R31" s="6">
        <f t="shared" si="17"/>
        <v>3.5879016574713797E-2</v>
      </c>
      <c r="S31" s="2"/>
      <c r="T31" s="7">
        <v>215.72384600000001</v>
      </c>
      <c r="U31" s="2"/>
      <c r="V31" s="6">
        <f t="shared" si="18"/>
        <v>1.7606947813453911E-3</v>
      </c>
      <c r="W31" s="2"/>
      <c r="X31" s="7">
        <f t="shared" si="19"/>
        <v>-122.92384600000001</v>
      </c>
      <c r="Y31" s="2"/>
      <c r="Z31" s="6">
        <f t="shared" si="20"/>
        <v>-0.56982038972177418</v>
      </c>
    </row>
    <row r="32" spans="1:26" s="24" customFormat="1" hidden="1" outlineLevel="2" x14ac:dyDescent="0.25">
      <c r="A32" s="28"/>
      <c r="B32" s="11" t="str">
        <f>CONCATENATE("          ", "6115", " - ", "P.E.R.S.")</f>
        <v xml:space="preserve">          6115 - P.E.R.S.</v>
      </c>
      <c r="C32" s="11"/>
      <c r="D32" s="7">
        <v>561.37</v>
      </c>
      <c r="E32" s="2"/>
      <c r="F32" s="6">
        <f t="shared" si="13"/>
        <v>0</v>
      </c>
      <c r="G32" s="2"/>
      <c r="H32" s="7">
        <v>1045.5450000000001</v>
      </c>
      <c r="I32" s="2"/>
      <c r="J32" s="6">
        <f t="shared" si="14"/>
        <v>1.5642504488330343E-2</v>
      </c>
      <c r="K32" s="2"/>
      <c r="L32" s="7">
        <f t="shared" si="15"/>
        <v>-484.17500000000007</v>
      </c>
      <c r="M32" s="2"/>
      <c r="N32" s="6">
        <f t="shared" si="16"/>
        <v>-0.46308384622373983</v>
      </c>
      <c r="O32" s="11"/>
      <c r="P32" s="7">
        <v>4294.96</v>
      </c>
      <c r="Q32" s="2"/>
      <c r="R32" s="6">
        <f t="shared" si="17"/>
        <v>1.6605489334884995</v>
      </c>
      <c r="S32" s="2"/>
      <c r="T32" s="7">
        <v>3763.962</v>
      </c>
      <c r="U32" s="2"/>
      <c r="V32" s="6">
        <f t="shared" si="18"/>
        <v>3.0720703220646087E-2</v>
      </c>
      <c r="W32" s="2"/>
      <c r="X32" s="7">
        <f t="shared" si="19"/>
        <v>530.99800000000005</v>
      </c>
      <c r="Y32" s="2"/>
      <c r="Z32" s="6">
        <f t="shared" si="20"/>
        <v>0.14107421913398702</v>
      </c>
    </row>
    <row r="33" spans="1:26" s="24" customFormat="1" hidden="1" outlineLevel="2" x14ac:dyDescent="0.25">
      <c r="A33" s="28"/>
      <c r="B33" s="11" t="str">
        <f>CONCATENATE("          ", "6116", " - ", "EDUCATIONAL BENEFITS")</f>
        <v xml:space="preserve">          6116 - EDUCATIONAL BENEFITS</v>
      </c>
      <c r="C33" s="11"/>
      <c r="D33" s="7"/>
      <c r="E33" s="2"/>
      <c r="F33" s="6">
        <f t="shared" si="13"/>
        <v>0</v>
      </c>
      <c r="G33" s="2"/>
      <c r="H33" s="7">
        <v>0</v>
      </c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/>
      <c r="Q33" s="2"/>
      <c r="R33" s="6">
        <f t="shared" si="17"/>
        <v>0</v>
      </c>
      <c r="S33" s="2"/>
      <c r="T33" s="7">
        <v>0</v>
      </c>
      <c r="U33" s="2"/>
      <c r="V33" s="6">
        <f t="shared" si="18"/>
        <v>0</v>
      </c>
      <c r="W33" s="2"/>
      <c r="X33" s="7">
        <f t="shared" si="19"/>
        <v>0</v>
      </c>
      <c r="Y33" s="2"/>
      <c r="Z33" s="6">
        <f t="shared" si="20"/>
        <v>0</v>
      </c>
    </row>
    <row r="34" spans="1:26" s="24" customFormat="1" hidden="1" outlineLevel="2" x14ac:dyDescent="0.25">
      <c r="A34" s="28"/>
      <c r="B34" s="11" t="str">
        <f>CONCATENATE("          ", "6118", " - ", "VACATION")</f>
        <v xml:space="preserve">          6118 - VACATION</v>
      </c>
      <c r="C34" s="11"/>
      <c r="D34" s="7">
        <v>970.17</v>
      </c>
      <c r="E34" s="2"/>
      <c r="F34" s="6">
        <f t="shared" si="13"/>
        <v>0</v>
      </c>
      <c r="G34" s="2"/>
      <c r="H34" s="7">
        <v>468.72500000000002</v>
      </c>
      <c r="I34" s="2"/>
      <c r="J34" s="6">
        <f t="shared" si="14"/>
        <v>7.0126421304608022E-3</v>
      </c>
      <c r="K34" s="2"/>
      <c r="L34" s="7">
        <f t="shared" si="15"/>
        <v>501.44499999999994</v>
      </c>
      <c r="M34" s="2"/>
      <c r="N34" s="6">
        <f t="shared" si="16"/>
        <v>1.0698063896741157</v>
      </c>
      <c r="O34" s="11"/>
      <c r="P34" s="7">
        <v>3062.61</v>
      </c>
      <c r="Q34" s="2"/>
      <c r="R34" s="6">
        <f t="shared" si="17"/>
        <v>1.1840887387056489</v>
      </c>
      <c r="S34" s="2"/>
      <c r="T34" s="7">
        <v>1687.41</v>
      </c>
      <c r="U34" s="2"/>
      <c r="V34" s="6">
        <f t="shared" si="18"/>
        <v>1.3772302117170794E-2</v>
      </c>
      <c r="W34" s="2"/>
      <c r="X34" s="7">
        <f t="shared" si="19"/>
        <v>1375.2</v>
      </c>
      <c r="Y34" s="2"/>
      <c r="Z34" s="6">
        <f t="shared" si="20"/>
        <v>0.81497679876260065</v>
      </c>
    </row>
    <row r="35" spans="1:26" s="24" customFormat="1" hidden="1" outlineLevel="2" x14ac:dyDescent="0.25">
      <c r="A35" s="28"/>
      <c r="B35" s="11" t="str">
        <f>CONCATENATE("          ", "6119", " - ", "SICK LEAVE")</f>
        <v xml:space="preserve">          6119 - SICK LEAVE</v>
      </c>
      <c r="C35" s="11"/>
      <c r="D35" s="7">
        <v>672.96</v>
      </c>
      <c r="E35" s="2"/>
      <c r="F35" s="6">
        <f t="shared" si="13"/>
        <v>0</v>
      </c>
      <c r="G35" s="2"/>
      <c r="H35" s="7">
        <v>774.77850000000001</v>
      </c>
      <c r="I35" s="2"/>
      <c r="J35" s="6">
        <f t="shared" si="14"/>
        <v>1.1591539497307003E-2</v>
      </c>
      <c r="K35" s="2"/>
      <c r="L35" s="7">
        <f t="shared" si="15"/>
        <v>-101.81849999999997</v>
      </c>
      <c r="M35" s="2"/>
      <c r="N35" s="6">
        <f t="shared" si="16"/>
        <v>-0.13141626929503072</v>
      </c>
      <c r="O35" s="11"/>
      <c r="P35" s="7">
        <v>2222.86</v>
      </c>
      <c r="Q35" s="2"/>
      <c r="R35" s="6">
        <f t="shared" si="17"/>
        <v>0.8594184351645292</v>
      </c>
      <c r="S35" s="2"/>
      <c r="T35" s="7">
        <v>2290.9113000000002</v>
      </c>
      <c r="U35" s="2"/>
      <c r="V35" s="6">
        <f t="shared" si="18"/>
        <v>1.8697958733941662E-2</v>
      </c>
      <c r="W35" s="2"/>
      <c r="X35" s="7">
        <f t="shared" si="19"/>
        <v>-68.051300000000083</v>
      </c>
      <c r="Y35" s="2"/>
      <c r="Z35" s="6">
        <f t="shared" si="20"/>
        <v>-2.9704903895668103E-2</v>
      </c>
    </row>
    <row r="36" spans="1:26" s="24" customFormat="1" hidden="1" outlineLevel="2" x14ac:dyDescent="0.25">
      <c r="A36" s="28"/>
      <c r="B36" s="11" t="str">
        <f>CONCATENATE("          ", "6156", " - ", "EMPLOYEE MEALS")</f>
        <v xml:space="preserve">          6156 - EMPLOYEE MEALS</v>
      </c>
      <c r="C36" s="11"/>
      <c r="D36" s="7">
        <v>85.19</v>
      </c>
      <c r="E36" s="2"/>
      <c r="F36" s="6">
        <f t="shared" si="13"/>
        <v>0</v>
      </c>
      <c r="G36" s="2"/>
      <c r="H36" s="7">
        <v>175</v>
      </c>
      <c r="I36" s="2"/>
      <c r="J36" s="6">
        <f t="shared" si="14"/>
        <v>2.6181926989826453E-3</v>
      </c>
      <c r="K36" s="2"/>
      <c r="L36" s="7">
        <f t="shared" si="15"/>
        <v>-89.81</v>
      </c>
      <c r="M36" s="2"/>
      <c r="N36" s="6">
        <f t="shared" si="16"/>
        <v>-0.51319999999999999</v>
      </c>
      <c r="O36" s="11"/>
      <c r="P36" s="7">
        <v>726.37</v>
      </c>
      <c r="Q36" s="2"/>
      <c r="R36" s="6">
        <f t="shared" si="17"/>
        <v>0.28083449643722908</v>
      </c>
      <c r="S36" s="2"/>
      <c r="T36" s="7">
        <v>700</v>
      </c>
      <c r="U36" s="2"/>
      <c r="V36" s="6">
        <f t="shared" si="18"/>
        <v>5.7132596594897242E-3</v>
      </c>
      <c r="W36" s="2"/>
      <c r="X36" s="7">
        <f t="shared" si="19"/>
        <v>26.370000000000005</v>
      </c>
      <c r="Y36" s="2"/>
      <c r="Z36" s="6">
        <f t="shared" si="20"/>
        <v>3.7671428571428578E-2</v>
      </c>
    </row>
    <row r="37" spans="1:26" s="27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5318.8899999999994</v>
      </c>
      <c r="E37" s="1"/>
      <c r="F37" s="5">
        <f t="shared" ref="F37:F47" si="21">IF(D$12=0,0,D37/D$12)</f>
        <v>0</v>
      </c>
      <c r="G37" s="1"/>
      <c r="H37" s="1">
        <f>SUM(OSRRefH22_1x_0)</f>
        <v>28002.255000000001</v>
      </c>
      <c r="I37" s="1"/>
      <c r="J37" s="5">
        <f t="shared" ref="J37:J47" si="22">IF(H$12=0,0,H37/H$12)</f>
        <v>0.41894456912028727</v>
      </c>
      <c r="K37" s="1"/>
      <c r="L37" s="1">
        <f t="shared" ref="L37:L47" si="23">+D37-H37</f>
        <v>-22683.365000000002</v>
      </c>
      <c r="M37" s="1"/>
      <c r="N37" s="5">
        <f t="shared" ref="N37:N47" si="24">IF(H37=0,0,L37/H37)</f>
        <v>-0.81005494021820745</v>
      </c>
      <c r="O37" s="14"/>
      <c r="P37" s="1">
        <f>SUM(OSRRefP22_1x_0)</f>
        <v>37791.380000000005</v>
      </c>
      <c r="Q37" s="1"/>
      <c r="R37" s="5">
        <f t="shared" ref="R37:R47" si="25">IF(P$12=0,0,P37/P$12)</f>
        <v>14.611180489238228</v>
      </c>
      <c r="S37" s="1"/>
      <c r="T37" s="1">
        <f>SUM(OSRRefT22_1x_0)</f>
        <v>79429.371999999988</v>
      </c>
      <c r="U37" s="1"/>
      <c r="V37" s="5">
        <f t="shared" ref="V37:V47" si="26">IF(T$12=0,0,T37/T$12)</f>
        <v>0.64828660975171792</v>
      </c>
      <c r="W37" s="1"/>
      <c r="X37" s="1">
        <f t="shared" ref="X37:X47" si="27">+P37-T37</f>
        <v>-41637.991999999984</v>
      </c>
      <c r="Y37" s="1"/>
      <c r="Z37" s="5">
        <f t="shared" ref="Z37:Z47" si="28">IF(T37=0,0,X37/T37)</f>
        <v>-0.52421404011604156</v>
      </c>
    </row>
    <row r="38" spans="1:26" s="24" customFormat="1" hidden="1" outlineLevel="2" x14ac:dyDescent="0.25">
      <c r="A38" s="28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6609.625</v>
      </c>
      <c r="I38" s="2"/>
      <c r="J38" s="6">
        <f t="shared" si="22"/>
        <v>9.8887268102932371E-2</v>
      </c>
      <c r="K38" s="2"/>
      <c r="L38" s="7">
        <f t="shared" si="23"/>
        <v>-6609.625</v>
      </c>
      <c r="M38" s="2"/>
      <c r="N38" s="6">
        <f t="shared" si="24"/>
        <v>-1</v>
      </c>
      <c r="O38" s="11"/>
      <c r="P38" s="7"/>
      <c r="Q38" s="2"/>
      <c r="R38" s="6">
        <f t="shared" si="25"/>
        <v>0</v>
      </c>
      <c r="S38" s="2"/>
      <c r="T38" s="7">
        <v>23794.649999999998</v>
      </c>
      <c r="U38" s="2"/>
      <c r="V38" s="6">
        <f t="shared" si="26"/>
        <v>0.19420716279525307</v>
      </c>
      <c r="W38" s="2"/>
      <c r="X38" s="7">
        <f t="shared" si="27"/>
        <v>-23794.649999999998</v>
      </c>
      <c r="Y38" s="2"/>
      <c r="Z38" s="6">
        <f t="shared" si="28"/>
        <v>-1</v>
      </c>
    </row>
    <row r="39" spans="1:26" s="24" customFormat="1" hidden="1" outlineLevel="2" x14ac:dyDescent="0.25">
      <c r="A39" s="28"/>
      <c r="B39" s="11" t="str">
        <f>CONCATENATE("          ", "6002", " - ", "STAFF SALARIES")</f>
        <v xml:space="preserve">          6002 - STAFF SALARIES</v>
      </c>
      <c r="C39" s="11"/>
      <c r="D39" s="7">
        <v>5319.03</v>
      </c>
      <c r="E39" s="2"/>
      <c r="F39" s="6">
        <f t="shared" si="21"/>
        <v>0</v>
      </c>
      <c r="G39" s="2"/>
      <c r="H39" s="7">
        <v>4680</v>
      </c>
      <c r="I39" s="2"/>
      <c r="J39" s="6">
        <f t="shared" si="22"/>
        <v>7.0017953321364457E-2</v>
      </c>
      <c r="K39" s="2"/>
      <c r="L39" s="7">
        <f t="shared" si="23"/>
        <v>639.02999999999975</v>
      </c>
      <c r="M39" s="2"/>
      <c r="N39" s="6">
        <f t="shared" si="24"/>
        <v>0.13654487179487174</v>
      </c>
      <c r="O39" s="11"/>
      <c r="P39" s="7">
        <v>35659.420000000006</v>
      </c>
      <c r="Q39" s="2"/>
      <c r="R39" s="6">
        <f t="shared" si="25"/>
        <v>13.786906478714233</v>
      </c>
      <c r="S39" s="2"/>
      <c r="T39" s="7">
        <v>16848</v>
      </c>
      <c r="U39" s="2"/>
      <c r="V39" s="6">
        <f t="shared" si="26"/>
        <v>0.1375099982044041</v>
      </c>
      <c r="W39" s="2"/>
      <c r="X39" s="7">
        <f t="shared" si="27"/>
        <v>18811.420000000006</v>
      </c>
      <c r="Y39" s="2"/>
      <c r="Z39" s="6">
        <f t="shared" si="28"/>
        <v>1.1165372744539415</v>
      </c>
    </row>
    <row r="40" spans="1:26" s="24" customFormat="1" hidden="1" outlineLevel="2" x14ac:dyDescent="0.25">
      <c r="A40" s="28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8"/>
      <c r="B41" s="11" t="str">
        <f>CONCATENATE("          ", "6004", " - ", "STAFF HOURLY")</f>
        <v xml:space="preserve">          6004 - STAFF HOURLY</v>
      </c>
      <c r="C41" s="11"/>
      <c r="D41" s="7"/>
      <c r="E41" s="2"/>
      <c r="F41" s="6">
        <f t="shared" si="21"/>
        <v>0</v>
      </c>
      <c r="G41" s="2"/>
      <c r="H41" s="7">
        <v>4534.45</v>
      </c>
      <c r="I41" s="2"/>
      <c r="J41" s="6">
        <f t="shared" si="22"/>
        <v>6.784036505086774E-2</v>
      </c>
      <c r="K41" s="2"/>
      <c r="L41" s="7">
        <f t="shared" si="23"/>
        <v>-4534.45</v>
      </c>
      <c r="M41" s="2"/>
      <c r="N41" s="6">
        <f t="shared" si="24"/>
        <v>-1</v>
      </c>
      <c r="O41" s="11"/>
      <c r="P41" s="7"/>
      <c r="Q41" s="2"/>
      <c r="R41" s="6">
        <f t="shared" si="25"/>
        <v>0</v>
      </c>
      <c r="S41" s="2"/>
      <c r="T41" s="7">
        <v>11109.61</v>
      </c>
      <c r="U41" s="2"/>
      <c r="V41" s="6">
        <f t="shared" si="26"/>
        <v>9.0674409493805203E-2</v>
      </c>
      <c r="W41" s="2"/>
      <c r="X41" s="7">
        <f t="shared" si="27"/>
        <v>-11109.61</v>
      </c>
      <c r="Y41" s="2"/>
      <c r="Z41" s="6">
        <f t="shared" si="28"/>
        <v>-1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7">
        <v>347.86</v>
      </c>
      <c r="E42" s="2"/>
      <c r="F42" s="6">
        <f t="shared" si="21"/>
        <v>0</v>
      </c>
      <c r="G42" s="2"/>
      <c r="H42" s="7">
        <v>5278.31</v>
      </c>
      <c r="I42" s="2"/>
      <c r="J42" s="6">
        <f t="shared" si="22"/>
        <v>7.896932974266907E-2</v>
      </c>
      <c r="K42" s="2"/>
      <c r="L42" s="7">
        <f t="shared" si="23"/>
        <v>-4930.4500000000007</v>
      </c>
      <c r="M42" s="2"/>
      <c r="N42" s="6">
        <f t="shared" si="24"/>
        <v>-0.9340963300753462</v>
      </c>
      <c r="O42" s="11"/>
      <c r="P42" s="7">
        <v>2131.96</v>
      </c>
      <c r="Q42" s="2"/>
      <c r="R42" s="6">
        <f t="shared" si="25"/>
        <v>0.82427401052399596</v>
      </c>
      <c r="S42" s="2"/>
      <c r="T42" s="7">
        <v>12093.882</v>
      </c>
      <c r="U42" s="2"/>
      <c r="V42" s="6">
        <f t="shared" si="26"/>
        <v>9.8707840224612722E-2</v>
      </c>
      <c r="W42" s="2"/>
      <c r="X42" s="7">
        <f t="shared" si="27"/>
        <v>-9961.9219999999987</v>
      </c>
      <c r="Y42" s="2"/>
      <c r="Z42" s="6">
        <f t="shared" si="28"/>
        <v>-0.82371582590271664</v>
      </c>
    </row>
    <row r="43" spans="1:26" s="24" customFormat="1" hidden="1" outlineLevel="2" x14ac:dyDescent="0.25">
      <c r="A43" s="28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8"/>
      <c r="B44" s="11" t="str">
        <f>CONCATENATE("          ", "6007", " - ", "STUDENT HOURLY")</f>
        <v xml:space="preserve">          6007 - STUDENT HOURLY</v>
      </c>
      <c r="C44" s="11"/>
      <c r="D44" s="7">
        <v>-348</v>
      </c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-348</v>
      </c>
      <c r="M44" s="2"/>
      <c r="N44" s="6">
        <f t="shared" si="24"/>
        <v>0</v>
      </c>
      <c r="O44" s="11"/>
      <c r="P44" s="7">
        <v>0</v>
      </c>
      <c r="Q44" s="2"/>
      <c r="R44" s="6">
        <f t="shared" si="25"/>
        <v>0</v>
      </c>
      <c r="S44" s="2"/>
      <c r="T44" s="7">
        <v>756.6</v>
      </c>
      <c r="U44" s="2"/>
      <c r="V44" s="6">
        <f t="shared" si="26"/>
        <v>6.1752175119570369E-3</v>
      </c>
      <c r="W44" s="2"/>
      <c r="X44" s="7">
        <f t="shared" si="27"/>
        <v>-756.6</v>
      </c>
      <c r="Y44" s="2"/>
      <c r="Z44" s="6">
        <f t="shared" si="28"/>
        <v>-1</v>
      </c>
    </row>
    <row r="45" spans="1:26" s="24" customFormat="1" hidden="1" outlineLevel="2" x14ac:dyDescent="0.25">
      <c r="A45" s="28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6899.87</v>
      </c>
      <c r="I45" s="2"/>
      <c r="J45" s="6">
        <f t="shared" si="22"/>
        <v>0.10322965290245362</v>
      </c>
      <c r="K45" s="2"/>
      <c r="L45" s="7">
        <f t="shared" si="23"/>
        <v>-6899.87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14826.630000000001</v>
      </c>
      <c r="U45" s="2"/>
      <c r="V45" s="6">
        <f t="shared" si="26"/>
        <v>0.12101198152168591</v>
      </c>
      <c r="W45" s="2"/>
      <c r="X45" s="7">
        <f t="shared" si="27"/>
        <v>-14826.630000000001</v>
      </c>
      <c r="Y45" s="2"/>
      <c r="Z45" s="6">
        <f t="shared" si="28"/>
        <v>-1</v>
      </c>
    </row>
    <row r="46" spans="1:26" s="24" customFormat="1" hidden="1" outlineLevel="2" x14ac:dyDescent="0.25">
      <c r="A46" s="28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8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7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56" si="29">IF(D$12=0,0,D48/D$12)</f>
        <v>0</v>
      </c>
      <c r="G48" s="1"/>
      <c r="H48" s="1">
        <f>SUM(OSRRefH22_2x_0)</f>
        <v>422</v>
      </c>
      <c r="I48" s="1"/>
      <c r="J48" s="5">
        <f t="shared" ref="J48:J56" si="30">IF(H$12=0,0,H48/H$12)</f>
        <v>6.3135846798324357E-3</v>
      </c>
      <c r="K48" s="1"/>
      <c r="L48" s="1">
        <f t="shared" ref="L48:L56" si="31">+D48-H48</f>
        <v>-422</v>
      </c>
      <c r="M48" s="1"/>
      <c r="N48" s="5">
        <f t="shared" ref="N48:N56" si="32">IF(H48=0,0,L48/H48)</f>
        <v>-1</v>
      </c>
      <c r="O48" s="14"/>
      <c r="P48" s="1">
        <f>SUM(OSRRefP22_2x_0)</f>
        <v>0</v>
      </c>
      <c r="Q48" s="1"/>
      <c r="R48" s="5">
        <f t="shared" ref="R48:R56" si="33">IF(P$12=0,0,P48/P$12)</f>
        <v>0</v>
      </c>
      <c r="S48" s="1"/>
      <c r="T48" s="1">
        <f>SUM(OSRRefT22_2x_0)</f>
        <v>1002</v>
      </c>
      <c r="U48" s="1"/>
      <c r="V48" s="5">
        <f t="shared" ref="V48:V56" si="34">IF(T$12=0,0,T48/T$12)</f>
        <v>8.1781231125838631E-3</v>
      </c>
      <c r="W48" s="1"/>
      <c r="X48" s="1">
        <f t="shared" ref="X48:X56" si="35">+P48-T48</f>
        <v>-1002</v>
      </c>
      <c r="Y48" s="1"/>
      <c r="Z48" s="5">
        <f t="shared" ref="Z48:Z56" si="36">IF(T48=0,0,X48/T48)</f>
        <v>-1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422</v>
      </c>
      <c r="I49" s="2"/>
      <c r="J49" s="6">
        <f t="shared" si="30"/>
        <v>6.3135846798324357E-3</v>
      </c>
      <c r="K49" s="2"/>
      <c r="L49" s="7">
        <f t="shared" si="31"/>
        <v>-422</v>
      </c>
      <c r="M49" s="2"/>
      <c r="N49" s="6">
        <f t="shared" si="32"/>
        <v>-1</v>
      </c>
      <c r="O49" s="11"/>
      <c r="P49" s="7"/>
      <c r="Q49" s="2"/>
      <c r="R49" s="6">
        <f t="shared" si="33"/>
        <v>0</v>
      </c>
      <c r="S49" s="2"/>
      <c r="T49" s="7">
        <v>1002</v>
      </c>
      <c r="U49" s="2"/>
      <c r="V49" s="6">
        <f t="shared" si="34"/>
        <v>8.1781231125838631E-3</v>
      </c>
      <c r="W49" s="2"/>
      <c r="X49" s="7">
        <f t="shared" si="35"/>
        <v>-1002</v>
      </c>
      <c r="Y49" s="2"/>
      <c r="Z49" s="6">
        <f t="shared" si="36"/>
        <v>-1</v>
      </c>
    </row>
    <row r="50" spans="1:26" s="27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15</v>
      </c>
      <c r="I50" s="1"/>
      <c r="J50" s="5">
        <f t="shared" si="30"/>
        <v>2.244165170556553E-4</v>
      </c>
      <c r="K50" s="1"/>
      <c r="L50" s="1">
        <f t="shared" si="31"/>
        <v>-15</v>
      </c>
      <c r="M50" s="1"/>
      <c r="N50" s="5">
        <f t="shared" si="32"/>
        <v>-1</v>
      </c>
      <c r="O50" s="14"/>
      <c r="P50" s="1">
        <f>SUM(OSRRefP22_3x_0)</f>
        <v>3.31</v>
      </c>
      <c r="Q50" s="1"/>
      <c r="R50" s="5">
        <f t="shared" si="33"/>
        <v>1.2797364748092959E-3</v>
      </c>
      <c r="S50" s="1"/>
      <c r="T50" s="1">
        <f>SUM(OSRRefT22_3x_0)</f>
        <v>38</v>
      </c>
      <c r="U50" s="1"/>
      <c r="V50" s="5">
        <f t="shared" si="34"/>
        <v>3.1014838151515649E-4</v>
      </c>
      <c r="W50" s="1"/>
      <c r="X50" s="1">
        <f t="shared" si="35"/>
        <v>-34.69</v>
      </c>
      <c r="Y50" s="1"/>
      <c r="Z50" s="5">
        <f t="shared" si="36"/>
        <v>-0.9128947368421052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15</v>
      </c>
      <c r="I51" s="2"/>
      <c r="J51" s="6">
        <f t="shared" si="30"/>
        <v>2.244165170556553E-4</v>
      </c>
      <c r="K51" s="2"/>
      <c r="L51" s="7">
        <f t="shared" si="31"/>
        <v>-15</v>
      </c>
      <c r="M51" s="2"/>
      <c r="N51" s="6">
        <f t="shared" si="32"/>
        <v>-1</v>
      </c>
      <c r="O51" s="11"/>
      <c r="P51" s="7">
        <v>3.31</v>
      </c>
      <c r="Q51" s="2"/>
      <c r="R51" s="6">
        <f t="shared" si="33"/>
        <v>1.2797364748092959E-3</v>
      </c>
      <c r="S51" s="2"/>
      <c r="T51" s="7">
        <v>38</v>
      </c>
      <c r="U51" s="2"/>
      <c r="V51" s="6">
        <f t="shared" si="34"/>
        <v>3.1014838151515649E-4</v>
      </c>
      <c r="W51" s="2"/>
      <c r="X51" s="7">
        <f t="shared" si="35"/>
        <v>-34.69</v>
      </c>
      <c r="Y51" s="2"/>
      <c r="Z51" s="6">
        <f t="shared" si="36"/>
        <v>-0.9128947368421052</v>
      </c>
    </row>
    <row r="52" spans="1:26" s="27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204.06</v>
      </c>
      <c r="E52" s="1"/>
      <c r="F52" s="5">
        <f t="shared" si="29"/>
        <v>0</v>
      </c>
      <c r="G52" s="1"/>
      <c r="H52" s="1">
        <f>SUM(OSRRefH22_4x_0)</f>
        <v>6747</v>
      </c>
      <c r="I52" s="1"/>
      <c r="J52" s="5">
        <f t="shared" si="30"/>
        <v>0.10094254937163376</v>
      </c>
      <c r="K52" s="1"/>
      <c r="L52" s="1">
        <f t="shared" si="31"/>
        <v>-6542.94</v>
      </c>
      <c r="M52" s="1"/>
      <c r="N52" s="5">
        <f t="shared" si="32"/>
        <v>-0.96975544686527337</v>
      </c>
      <c r="O52" s="14"/>
      <c r="P52" s="1">
        <f>SUM(OSRRefP22_4x_0)</f>
        <v>434.24</v>
      </c>
      <c r="Q52" s="1"/>
      <c r="R52" s="5">
        <f t="shared" si="33"/>
        <v>0.1678890534202987</v>
      </c>
      <c r="S52" s="1"/>
      <c r="T52" s="1">
        <f>SUM(OSRRefT22_4x_0)</f>
        <v>13611</v>
      </c>
      <c r="U52" s="1"/>
      <c r="V52" s="5">
        <f t="shared" si="34"/>
        <v>0.11109025317902091</v>
      </c>
      <c r="W52" s="1"/>
      <c r="X52" s="1">
        <f t="shared" si="35"/>
        <v>-13176.76</v>
      </c>
      <c r="Y52" s="1"/>
      <c r="Z52" s="5">
        <f t="shared" si="36"/>
        <v>-0.96809639262361324</v>
      </c>
    </row>
    <row r="53" spans="1:26" s="24" customFormat="1" hidden="1" outlineLevel="2" x14ac:dyDescent="0.25">
      <c r="A53" s="28"/>
      <c r="B53" s="11" t="str">
        <f>CONCATENATE("          ", "6381", " - ", "BANK/CREDIT CARD FEES")</f>
        <v xml:space="preserve">          6381 - BANK/CREDIT CARD FEES</v>
      </c>
      <c r="C53" s="11"/>
      <c r="D53" s="7">
        <v>204.06</v>
      </c>
      <c r="E53" s="2"/>
      <c r="F53" s="6">
        <f t="shared" si="29"/>
        <v>0</v>
      </c>
      <c r="G53" s="2"/>
      <c r="H53" s="7">
        <v>6747</v>
      </c>
      <c r="I53" s="2"/>
      <c r="J53" s="6">
        <f t="shared" si="30"/>
        <v>0.10094254937163376</v>
      </c>
      <c r="K53" s="2"/>
      <c r="L53" s="7">
        <f t="shared" si="31"/>
        <v>-6542.94</v>
      </c>
      <c r="M53" s="2"/>
      <c r="N53" s="6">
        <f t="shared" si="32"/>
        <v>-0.96975544686527337</v>
      </c>
      <c r="O53" s="11"/>
      <c r="P53" s="7">
        <v>434.24</v>
      </c>
      <c r="Q53" s="2"/>
      <c r="R53" s="6">
        <f t="shared" si="33"/>
        <v>0.1678890534202987</v>
      </c>
      <c r="S53" s="2"/>
      <c r="T53" s="7">
        <v>13611</v>
      </c>
      <c r="U53" s="2"/>
      <c r="V53" s="6">
        <f t="shared" si="34"/>
        <v>0.11109025317902091</v>
      </c>
      <c r="W53" s="2"/>
      <c r="X53" s="7">
        <f t="shared" si="35"/>
        <v>-13176.76</v>
      </c>
      <c r="Y53" s="2"/>
      <c r="Z53" s="6">
        <f t="shared" si="36"/>
        <v>-0.96809639262361324</v>
      </c>
    </row>
    <row r="54" spans="1:26" s="27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9263.4500000000007</v>
      </c>
      <c r="E54" s="1"/>
      <c r="F54" s="5">
        <f t="shared" si="29"/>
        <v>0</v>
      </c>
      <c r="G54" s="1"/>
      <c r="H54" s="1">
        <f>SUM(OSRRefH22_5x_0)</f>
        <v>8675</v>
      </c>
      <c r="I54" s="1"/>
      <c r="J54" s="5">
        <f t="shared" si="30"/>
        <v>0.12978755236385398</v>
      </c>
      <c r="K54" s="1"/>
      <c r="L54" s="1">
        <f t="shared" si="31"/>
        <v>588.45000000000073</v>
      </c>
      <c r="M54" s="1"/>
      <c r="N54" s="5">
        <f t="shared" si="32"/>
        <v>6.7832853025936682E-2</v>
      </c>
      <c r="O54" s="14"/>
      <c r="P54" s="1">
        <f>SUM(OSRRefP22_5x_0)</f>
        <v>36789.64</v>
      </c>
      <c r="Q54" s="1"/>
      <c r="R54" s="5">
        <f t="shared" si="33"/>
        <v>14.223880423898207</v>
      </c>
      <c r="S54" s="1"/>
      <c r="T54" s="1">
        <f>SUM(OSRRefT22_5x_0)</f>
        <v>34700</v>
      </c>
      <c r="U54" s="1"/>
      <c r="V54" s="5">
        <f t="shared" si="34"/>
        <v>0.28321444312041921</v>
      </c>
      <c r="W54" s="1"/>
      <c r="X54" s="1">
        <f t="shared" si="35"/>
        <v>2089.6399999999994</v>
      </c>
      <c r="Y54" s="1"/>
      <c r="Z54" s="5">
        <f t="shared" si="36"/>
        <v>6.0220172910662804E-2</v>
      </c>
    </row>
    <row r="55" spans="1:26" s="24" customFormat="1" hidden="1" outlineLevel="2" x14ac:dyDescent="0.25">
      <c r="A55" s="28"/>
      <c r="B55" s="11" t="str">
        <f>CONCATENATE("          ", "6321", " - ", "BUILDING DEPRECIATION")</f>
        <v xml:space="preserve">          6321 - BUILDING DEPRECIATION</v>
      </c>
      <c r="C55" s="11"/>
      <c r="D55" s="7">
        <v>5080.51</v>
      </c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5080.51</v>
      </c>
      <c r="M55" s="2"/>
      <c r="N55" s="6">
        <f t="shared" si="32"/>
        <v>0</v>
      </c>
      <c r="O55" s="11"/>
      <c r="P55" s="7">
        <v>20322.04</v>
      </c>
      <c r="Q55" s="2"/>
      <c r="R55" s="6">
        <f t="shared" si="33"/>
        <v>7.8570561421551375</v>
      </c>
      <c r="S55" s="2"/>
      <c r="T55" s="7"/>
      <c r="U55" s="2"/>
      <c r="V55" s="6">
        <f t="shared" si="34"/>
        <v>0</v>
      </c>
      <c r="W55" s="2"/>
      <c r="X55" s="7">
        <f t="shared" si="35"/>
        <v>20322.04</v>
      </c>
      <c r="Y55" s="2"/>
      <c r="Z55" s="6">
        <f t="shared" si="36"/>
        <v>0</v>
      </c>
    </row>
    <row r="56" spans="1:26" s="24" customFormat="1" hidden="1" outlineLevel="2" x14ac:dyDescent="0.25">
      <c r="A56" s="28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4182.9399999999996</v>
      </c>
      <c r="E56" s="2"/>
      <c r="F56" s="6">
        <f t="shared" si="29"/>
        <v>0</v>
      </c>
      <c r="G56" s="2"/>
      <c r="H56" s="7">
        <v>8675</v>
      </c>
      <c r="I56" s="2"/>
      <c r="J56" s="6">
        <f t="shared" si="30"/>
        <v>0.12978755236385398</v>
      </c>
      <c r="K56" s="2"/>
      <c r="L56" s="7">
        <f t="shared" si="31"/>
        <v>-4492.0600000000004</v>
      </c>
      <c r="M56" s="2"/>
      <c r="N56" s="6">
        <f t="shared" si="32"/>
        <v>-0.51781671469740642</v>
      </c>
      <c r="O56" s="11"/>
      <c r="P56" s="7">
        <v>16467.599999999999</v>
      </c>
      <c r="Q56" s="2"/>
      <c r="R56" s="6">
        <f t="shared" si="33"/>
        <v>6.3668242817430691</v>
      </c>
      <c r="S56" s="2"/>
      <c r="T56" s="7">
        <v>34700</v>
      </c>
      <c r="U56" s="2"/>
      <c r="V56" s="6">
        <f t="shared" si="34"/>
        <v>0.28321444312041921</v>
      </c>
      <c r="W56" s="2"/>
      <c r="X56" s="7">
        <f t="shared" si="35"/>
        <v>-18232.400000000001</v>
      </c>
      <c r="Y56" s="2"/>
      <c r="Z56" s="6">
        <f t="shared" si="36"/>
        <v>-0.52542939481268014</v>
      </c>
    </row>
    <row r="57" spans="1:26" s="27" customFormat="1" outlineLevel="1" collapsed="1" x14ac:dyDescent="0.25">
      <c r="A57" s="29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SUM(OSRRefD22_6x_0)</f>
        <v>0</v>
      </c>
      <c r="E57" s="1"/>
      <c r="F57" s="5">
        <f t="shared" ref="F57:F73" si="37">IF(D$12=0,0,D57/D$12)</f>
        <v>0</v>
      </c>
      <c r="G57" s="1"/>
      <c r="H57" s="1">
        <f>SUM(OSRRefH22_6x_0)</f>
        <v>146</v>
      </c>
      <c r="I57" s="1"/>
      <c r="J57" s="5">
        <f t="shared" ref="J57:J73" si="38">IF(H$12=0,0,H57/H$12)</f>
        <v>2.1843207660083783E-3</v>
      </c>
      <c r="K57" s="1"/>
      <c r="L57" s="1">
        <f t="shared" ref="L57:L73" si="39">+D57-H57</f>
        <v>-146</v>
      </c>
      <c r="M57" s="1"/>
      <c r="N57" s="5">
        <f t="shared" ref="N57:N73" si="40">IF(H57=0,0,L57/H57)</f>
        <v>-1</v>
      </c>
      <c r="O57" s="14"/>
      <c r="P57" s="1">
        <f>SUM(OSRRefP22_6x_0)</f>
        <v>0</v>
      </c>
      <c r="Q57" s="1"/>
      <c r="R57" s="5">
        <f t="shared" ref="R57:R73" si="41">IF(P$12=0,0,P57/P$12)</f>
        <v>0</v>
      </c>
      <c r="S57" s="1"/>
      <c r="T57" s="1">
        <f>SUM(OSRRefT22_6x_0)</f>
        <v>146</v>
      </c>
      <c r="U57" s="1"/>
      <c r="V57" s="5">
        <f t="shared" ref="V57:V73" si="42">IF(T$12=0,0,T57/T$12)</f>
        <v>1.1916227289792854E-3</v>
      </c>
      <c r="W57" s="1"/>
      <c r="X57" s="1">
        <f t="shared" ref="X57:X73" si="43">+P57-T57</f>
        <v>-146</v>
      </c>
      <c r="Y57" s="1"/>
      <c r="Z57" s="5">
        <f t="shared" ref="Z57:Z73" si="44">IF(T57=0,0,X57/T57)</f>
        <v>-1</v>
      </c>
    </row>
    <row r="58" spans="1:26" s="24" customFormat="1" hidden="1" outlineLevel="2" x14ac:dyDescent="0.25">
      <c r="A58" s="28"/>
      <c r="B58" s="11" t="str">
        <f>CONCATENATE("          ", "6351", " - ", "EQUIPMENT RENTAL")</f>
        <v xml:space="preserve">          6351 - EQUIPMENT RENTAL</v>
      </c>
      <c r="C58" s="11"/>
      <c r="D58" s="7"/>
      <c r="E58" s="2"/>
      <c r="F58" s="6">
        <f t="shared" si="37"/>
        <v>0</v>
      </c>
      <c r="G58" s="2"/>
      <c r="H58" s="7">
        <v>146</v>
      </c>
      <c r="I58" s="2"/>
      <c r="J58" s="6">
        <f t="shared" si="38"/>
        <v>2.1843207660083783E-3</v>
      </c>
      <c r="K58" s="2"/>
      <c r="L58" s="7">
        <f t="shared" si="39"/>
        <v>-146</v>
      </c>
      <c r="M58" s="2"/>
      <c r="N58" s="6">
        <f t="shared" si="40"/>
        <v>-1</v>
      </c>
      <c r="O58" s="11"/>
      <c r="P58" s="7"/>
      <c r="Q58" s="2"/>
      <c r="R58" s="6">
        <f t="shared" si="41"/>
        <v>0</v>
      </c>
      <c r="S58" s="2"/>
      <c r="T58" s="7">
        <v>146</v>
      </c>
      <c r="U58" s="2"/>
      <c r="V58" s="6">
        <f t="shared" si="42"/>
        <v>1.1916227289792854E-3</v>
      </c>
      <c r="W58" s="2"/>
      <c r="X58" s="7">
        <f t="shared" si="43"/>
        <v>-146</v>
      </c>
      <c r="Y58" s="2"/>
      <c r="Z58" s="6">
        <f t="shared" si="44"/>
        <v>-1</v>
      </c>
    </row>
    <row r="59" spans="1:26" s="27" customFormat="1" outlineLevel="1" collapsed="1" x14ac:dyDescent="0.25">
      <c r="A59" s="29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SUM(OSRRefD22_7x_0)</f>
        <v>85.43</v>
      </c>
      <c r="E59" s="1"/>
      <c r="F59" s="5">
        <f t="shared" si="37"/>
        <v>0</v>
      </c>
      <c r="G59" s="1"/>
      <c r="H59" s="1">
        <f>SUM(OSRRefH22_7x_0)</f>
        <v>0</v>
      </c>
      <c r="I59" s="1"/>
      <c r="J59" s="5">
        <f t="shared" si="38"/>
        <v>0</v>
      </c>
      <c r="K59" s="1"/>
      <c r="L59" s="1">
        <f t="shared" si="39"/>
        <v>85.43</v>
      </c>
      <c r="M59" s="1"/>
      <c r="N59" s="5">
        <f t="shared" si="40"/>
        <v>0</v>
      </c>
      <c r="O59" s="14"/>
      <c r="P59" s="1">
        <f>SUM(OSRRefP22_7x_0)</f>
        <v>95.43</v>
      </c>
      <c r="Q59" s="1"/>
      <c r="R59" s="5">
        <f t="shared" si="41"/>
        <v>3.6895846462553207E-2</v>
      </c>
      <c r="S59" s="1"/>
      <c r="T59" s="1">
        <f>SUM(OSRRefT22_7x_0)</f>
        <v>0</v>
      </c>
      <c r="U59" s="1"/>
      <c r="V59" s="5">
        <f t="shared" si="42"/>
        <v>0</v>
      </c>
      <c r="W59" s="1"/>
      <c r="X59" s="1">
        <f t="shared" si="43"/>
        <v>95.43</v>
      </c>
      <c r="Y59" s="1"/>
      <c r="Z59" s="5">
        <f t="shared" si="44"/>
        <v>0</v>
      </c>
    </row>
    <row r="60" spans="1:26" s="24" customFormat="1" hidden="1" outlineLevel="2" x14ac:dyDescent="0.25">
      <c r="A60" s="28"/>
      <c r="B60" s="11" t="str">
        <f>CONCATENATE("          ", "6305", " - ", "FREIGHT OUT")</f>
        <v xml:space="preserve">          6305 - FREIGHT OUT</v>
      </c>
      <c r="C60" s="11"/>
      <c r="D60" s="7">
        <v>85.43</v>
      </c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85.43</v>
      </c>
      <c r="M60" s="2"/>
      <c r="N60" s="6">
        <f t="shared" si="40"/>
        <v>0</v>
      </c>
      <c r="O60" s="11"/>
      <c r="P60" s="7">
        <v>95.43</v>
      </c>
      <c r="Q60" s="2"/>
      <c r="R60" s="6">
        <f t="shared" si="41"/>
        <v>3.6895846462553207E-2</v>
      </c>
      <c r="S60" s="2"/>
      <c r="T60" s="7"/>
      <c r="U60" s="2"/>
      <c r="V60" s="6">
        <f t="shared" si="42"/>
        <v>0</v>
      </c>
      <c r="W60" s="2"/>
      <c r="X60" s="7">
        <f t="shared" si="43"/>
        <v>95.43</v>
      </c>
      <c r="Y60" s="2"/>
      <c r="Z60" s="6">
        <f t="shared" si="44"/>
        <v>0</v>
      </c>
    </row>
    <row r="61" spans="1:26" s="27" customFormat="1" outlineLevel="1" collapsed="1" x14ac:dyDescent="0.25">
      <c r="A61" s="29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SUM(OSRRefD22_8x_0)</f>
        <v>0</v>
      </c>
      <c r="E61" s="1"/>
      <c r="F61" s="5">
        <f t="shared" si="37"/>
        <v>0</v>
      </c>
      <c r="G61" s="1"/>
      <c r="H61" s="1">
        <f>SUM(OSRRefH22_8x_0)</f>
        <v>0</v>
      </c>
      <c r="I61" s="1"/>
      <c r="J61" s="5">
        <f t="shared" si="38"/>
        <v>0</v>
      </c>
      <c r="K61" s="1"/>
      <c r="L61" s="1">
        <f t="shared" si="39"/>
        <v>0</v>
      </c>
      <c r="M61" s="1"/>
      <c r="N61" s="5">
        <f t="shared" si="40"/>
        <v>0</v>
      </c>
      <c r="O61" s="14"/>
      <c r="P61" s="1">
        <f>SUM(OSRRefP22_8x_0)</f>
        <v>1509.1</v>
      </c>
      <c r="Q61" s="1"/>
      <c r="R61" s="5">
        <f t="shared" si="41"/>
        <v>0.58345930940625634</v>
      </c>
      <c r="S61" s="1"/>
      <c r="T61" s="1">
        <f>SUM(OSRRefT22_8x_0)</f>
        <v>3150</v>
      </c>
      <c r="U61" s="1"/>
      <c r="V61" s="5">
        <f t="shared" si="42"/>
        <v>2.5709668467703759E-2</v>
      </c>
      <c r="W61" s="1"/>
      <c r="X61" s="1">
        <f t="shared" si="43"/>
        <v>-1640.9</v>
      </c>
      <c r="Y61" s="1"/>
      <c r="Z61" s="5">
        <f t="shared" si="44"/>
        <v>-0.5209206349206349</v>
      </c>
    </row>
    <row r="62" spans="1:26" s="24" customFormat="1" hidden="1" outlineLevel="2" x14ac:dyDescent="0.25">
      <c r="A62" s="28"/>
      <c r="B62" s="11" t="str">
        <f>CONCATENATE("          ", "6279", " - ", "GENERAL EXPENSE")</f>
        <v xml:space="preserve">          6279 - GENERAL EXPENSE</v>
      </c>
      <c r="C62" s="11"/>
      <c r="D62" s="7"/>
      <c r="E62" s="2"/>
      <c r="F62" s="6">
        <f t="shared" si="37"/>
        <v>0</v>
      </c>
      <c r="G62" s="2"/>
      <c r="H62" s="7"/>
      <c r="I62" s="2"/>
      <c r="J62" s="6">
        <f t="shared" si="38"/>
        <v>0</v>
      </c>
      <c r="K62" s="2"/>
      <c r="L62" s="7">
        <f t="shared" si="39"/>
        <v>0</v>
      </c>
      <c r="M62" s="2"/>
      <c r="N62" s="6">
        <f t="shared" si="40"/>
        <v>0</v>
      </c>
      <c r="O62" s="11"/>
      <c r="P62" s="7">
        <v>1509.1</v>
      </c>
      <c r="Q62" s="2"/>
      <c r="R62" s="6">
        <f t="shared" si="41"/>
        <v>0.58345930940625634</v>
      </c>
      <c r="S62" s="2"/>
      <c r="T62" s="7">
        <v>3150</v>
      </c>
      <c r="U62" s="2"/>
      <c r="V62" s="6">
        <f t="shared" si="42"/>
        <v>2.5709668467703759E-2</v>
      </c>
      <c r="W62" s="2"/>
      <c r="X62" s="7">
        <f t="shared" si="43"/>
        <v>-1640.9</v>
      </c>
      <c r="Y62" s="2"/>
      <c r="Z62" s="6">
        <f t="shared" si="44"/>
        <v>-0.5209206349206349</v>
      </c>
    </row>
    <row r="63" spans="1:26" s="27" customFormat="1" outlineLevel="1" collapsed="1" x14ac:dyDescent="0.25">
      <c r="A63" s="29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SUM(OSRRefD22_9x_0)</f>
        <v>243.54</v>
      </c>
      <c r="E63" s="1"/>
      <c r="F63" s="5">
        <f t="shared" si="37"/>
        <v>0</v>
      </c>
      <c r="G63" s="1"/>
      <c r="H63" s="1">
        <f>SUM(OSRRefH22_9x_0)</f>
        <v>270</v>
      </c>
      <c r="I63" s="1"/>
      <c r="J63" s="5">
        <f t="shared" si="38"/>
        <v>4.039497307001795E-3</v>
      </c>
      <c r="K63" s="1"/>
      <c r="L63" s="1">
        <f t="shared" si="39"/>
        <v>-26.460000000000008</v>
      </c>
      <c r="M63" s="1"/>
      <c r="N63" s="5">
        <f t="shared" si="40"/>
        <v>-9.8000000000000032E-2</v>
      </c>
      <c r="O63" s="14"/>
      <c r="P63" s="1">
        <f>SUM(OSRRefP22_9x_0)</f>
        <v>974.16</v>
      </c>
      <c r="Q63" s="1"/>
      <c r="R63" s="5">
        <f t="shared" si="41"/>
        <v>0.37663688347438784</v>
      </c>
      <c r="S63" s="1"/>
      <c r="T63" s="1">
        <f>SUM(OSRRefT22_9x_0)</f>
        <v>1080</v>
      </c>
      <c r="U63" s="1"/>
      <c r="V63" s="5">
        <f t="shared" si="42"/>
        <v>8.8147434746412897E-3</v>
      </c>
      <c r="W63" s="1"/>
      <c r="X63" s="1">
        <f t="shared" si="43"/>
        <v>-105.84000000000003</v>
      </c>
      <c r="Y63" s="1"/>
      <c r="Z63" s="5">
        <f t="shared" si="44"/>
        <v>-9.8000000000000032E-2</v>
      </c>
    </row>
    <row r="64" spans="1:26" s="24" customFormat="1" hidden="1" outlineLevel="2" x14ac:dyDescent="0.25">
      <c r="A64" s="28"/>
      <c r="B64" s="11" t="str">
        <f>CONCATENATE("          ", "6314", " - ", "LIABILITY INSURANCE")</f>
        <v xml:space="preserve">          6314 - LIABILITY INSURANCE</v>
      </c>
      <c r="C64" s="11"/>
      <c r="D64" s="7">
        <v>243.54</v>
      </c>
      <c r="E64" s="2"/>
      <c r="F64" s="6">
        <f t="shared" si="37"/>
        <v>0</v>
      </c>
      <c r="G64" s="2"/>
      <c r="H64" s="7">
        <v>270</v>
      </c>
      <c r="I64" s="2"/>
      <c r="J64" s="6">
        <f t="shared" si="38"/>
        <v>4.039497307001795E-3</v>
      </c>
      <c r="K64" s="2"/>
      <c r="L64" s="7">
        <f t="shared" si="39"/>
        <v>-26.460000000000008</v>
      </c>
      <c r="M64" s="2"/>
      <c r="N64" s="6">
        <f t="shared" si="40"/>
        <v>-9.8000000000000032E-2</v>
      </c>
      <c r="O64" s="11"/>
      <c r="P64" s="7">
        <v>974.16</v>
      </c>
      <c r="Q64" s="2"/>
      <c r="R64" s="6">
        <f t="shared" si="41"/>
        <v>0.37663688347438784</v>
      </c>
      <c r="S64" s="2"/>
      <c r="T64" s="7">
        <v>1080</v>
      </c>
      <c r="U64" s="2"/>
      <c r="V64" s="6">
        <f t="shared" si="42"/>
        <v>8.8147434746412897E-3</v>
      </c>
      <c r="W64" s="2"/>
      <c r="X64" s="7">
        <f t="shared" si="43"/>
        <v>-105.84000000000003</v>
      </c>
      <c r="Y64" s="2"/>
      <c r="Z64" s="6">
        <f t="shared" si="44"/>
        <v>-9.8000000000000032E-2</v>
      </c>
    </row>
    <row r="65" spans="1:26" s="27" customFormat="1" outlineLevel="1" collapsed="1" x14ac:dyDescent="0.25">
      <c r="A65" s="29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SUM(OSRRefD22_10x_0)</f>
        <v>3781.85</v>
      </c>
      <c r="E65" s="1"/>
      <c r="F65" s="5">
        <f t="shared" si="37"/>
        <v>0</v>
      </c>
      <c r="G65" s="1"/>
      <c r="H65" s="1">
        <f>SUM(OSRRefH22_10x_0)</f>
        <v>4044</v>
      </c>
      <c r="I65" s="1"/>
      <c r="J65" s="5">
        <f t="shared" si="38"/>
        <v>6.0502692998204669E-2</v>
      </c>
      <c r="K65" s="1"/>
      <c r="L65" s="1">
        <f t="shared" si="39"/>
        <v>-262.15000000000009</v>
      </c>
      <c r="M65" s="1"/>
      <c r="N65" s="5">
        <f t="shared" si="40"/>
        <v>-6.4824431256182022E-2</v>
      </c>
      <c r="O65" s="14"/>
      <c r="P65" s="1">
        <f>SUM(OSRRefP22_10x_0)</f>
        <v>15913.849999999999</v>
      </c>
      <c r="Q65" s="1"/>
      <c r="R65" s="5">
        <f t="shared" si="41"/>
        <v>6.1527293956628135</v>
      </c>
      <c r="S65" s="1"/>
      <c r="T65" s="1">
        <f>SUM(OSRRefT22_10x_0)</f>
        <v>16176</v>
      </c>
      <c r="U65" s="1"/>
      <c r="V65" s="5">
        <f t="shared" si="42"/>
        <v>0.13202526893129396</v>
      </c>
      <c r="W65" s="1"/>
      <c r="X65" s="1">
        <f t="shared" si="43"/>
        <v>-262.15000000000146</v>
      </c>
      <c r="Y65" s="1"/>
      <c r="Z65" s="5">
        <f t="shared" si="44"/>
        <v>-1.6206107814045589E-2</v>
      </c>
    </row>
    <row r="66" spans="1:26" s="24" customFormat="1" hidden="1" outlineLevel="2" x14ac:dyDescent="0.25">
      <c r="A66" s="28"/>
      <c r="B66" s="11" t="str">
        <f>CONCATENATE("          ", "6401", " - ", "INTEREST EXPENSE")</f>
        <v xml:space="preserve">          6401 - INTEREST EXPENSE</v>
      </c>
      <c r="C66" s="11"/>
      <c r="D66" s="7">
        <v>3781.85</v>
      </c>
      <c r="E66" s="2"/>
      <c r="F66" s="6">
        <f t="shared" si="37"/>
        <v>0</v>
      </c>
      <c r="G66" s="2"/>
      <c r="H66" s="7">
        <v>4044</v>
      </c>
      <c r="I66" s="2"/>
      <c r="J66" s="6">
        <f t="shared" si="38"/>
        <v>6.0502692998204669E-2</v>
      </c>
      <c r="K66" s="2"/>
      <c r="L66" s="7">
        <f t="shared" si="39"/>
        <v>-262.15000000000009</v>
      </c>
      <c r="M66" s="2"/>
      <c r="N66" s="6">
        <f t="shared" si="40"/>
        <v>-6.4824431256182022E-2</v>
      </c>
      <c r="O66" s="11"/>
      <c r="P66" s="7">
        <v>15913.849999999999</v>
      </c>
      <c r="Q66" s="2"/>
      <c r="R66" s="6">
        <f t="shared" si="41"/>
        <v>6.1527293956628135</v>
      </c>
      <c r="S66" s="2"/>
      <c r="T66" s="7">
        <v>16176</v>
      </c>
      <c r="U66" s="2"/>
      <c r="V66" s="6">
        <f t="shared" si="42"/>
        <v>0.13202526893129396</v>
      </c>
      <c r="W66" s="2"/>
      <c r="X66" s="7">
        <f t="shared" si="43"/>
        <v>-262.15000000000146</v>
      </c>
      <c r="Y66" s="2"/>
      <c r="Z66" s="6">
        <f t="shared" si="44"/>
        <v>-1.6206107814045589E-2</v>
      </c>
    </row>
    <row r="67" spans="1:26" s="27" customFormat="1" outlineLevel="1" collapsed="1" x14ac:dyDescent="0.25">
      <c r="A67" s="29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SUM(OSRRefD22_11x_0)</f>
        <v>0</v>
      </c>
      <c r="E67" s="1"/>
      <c r="F67" s="5">
        <f t="shared" si="37"/>
        <v>0</v>
      </c>
      <c r="G67" s="1"/>
      <c r="H67" s="1">
        <f>SUM(OSRRefH22_11x_0)</f>
        <v>0</v>
      </c>
      <c r="I67" s="1"/>
      <c r="J67" s="5">
        <f t="shared" si="38"/>
        <v>0</v>
      </c>
      <c r="K67" s="1"/>
      <c r="L67" s="1">
        <f t="shared" si="39"/>
        <v>0</v>
      </c>
      <c r="M67" s="1"/>
      <c r="N67" s="5">
        <f t="shared" si="40"/>
        <v>0</v>
      </c>
      <c r="O67" s="14"/>
      <c r="P67" s="1">
        <f>SUM(OSRRefP22_11x_0)</f>
        <v>0</v>
      </c>
      <c r="Q67" s="1"/>
      <c r="R67" s="5">
        <f t="shared" si="41"/>
        <v>0</v>
      </c>
      <c r="S67" s="1"/>
      <c r="T67" s="1">
        <f>SUM(OSRRefT22_11x_0)</f>
        <v>0</v>
      </c>
      <c r="U67" s="1"/>
      <c r="V67" s="5">
        <f t="shared" si="42"/>
        <v>0</v>
      </c>
      <c r="W67" s="1"/>
      <c r="X67" s="1">
        <f t="shared" si="43"/>
        <v>0</v>
      </c>
      <c r="Y67" s="1"/>
      <c r="Z67" s="5">
        <f t="shared" si="44"/>
        <v>0</v>
      </c>
    </row>
    <row r="68" spans="1:26" s="24" customFormat="1" hidden="1" outlineLevel="2" x14ac:dyDescent="0.25">
      <c r="A68" s="28"/>
      <c r="B68" s="11" t="str">
        <f>CONCATENATE("          ", "6273", " - ", "RENT")</f>
        <v xml:space="preserve">          6273 - RENT</v>
      </c>
      <c r="C68" s="11"/>
      <c r="D68" s="7"/>
      <c r="E68" s="2"/>
      <c r="F68" s="6">
        <f t="shared" si="37"/>
        <v>0</v>
      </c>
      <c r="G68" s="2"/>
      <c r="H68" s="7">
        <v>0</v>
      </c>
      <c r="I68" s="2"/>
      <c r="J68" s="6">
        <f t="shared" si="38"/>
        <v>0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/>
      <c r="Q68" s="2"/>
      <c r="R68" s="6">
        <f t="shared" si="41"/>
        <v>0</v>
      </c>
      <c r="S68" s="2"/>
      <c r="T68" s="7">
        <v>0</v>
      </c>
      <c r="U68" s="2"/>
      <c r="V68" s="6">
        <f t="shared" si="42"/>
        <v>0</v>
      </c>
      <c r="W68" s="2"/>
      <c r="X68" s="7">
        <f t="shared" si="43"/>
        <v>0</v>
      </c>
      <c r="Y68" s="2"/>
      <c r="Z68" s="6">
        <f t="shared" si="44"/>
        <v>0</v>
      </c>
    </row>
    <row r="69" spans="1:26" s="27" customFormat="1" outlineLevel="1" collapsed="1" x14ac:dyDescent="0.25">
      <c r="A69" s="29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SUM(OSRRefD22_12x_0)</f>
        <v>22.02</v>
      </c>
      <c r="E69" s="1"/>
      <c r="F69" s="5">
        <f t="shared" si="37"/>
        <v>0</v>
      </c>
      <c r="G69" s="1"/>
      <c r="H69" s="1">
        <f>SUM(OSRRefH22_12x_0)</f>
        <v>388</v>
      </c>
      <c r="I69" s="1"/>
      <c r="J69" s="5">
        <f t="shared" si="38"/>
        <v>5.8049072411729503E-3</v>
      </c>
      <c r="K69" s="1"/>
      <c r="L69" s="1">
        <f t="shared" si="39"/>
        <v>-365.98</v>
      </c>
      <c r="M69" s="1"/>
      <c r="N69" s="5">
        <f t="shared" si="40"/>
        <v>-0.9432474226804124</v>
      </c>
      <c r="O69" s="14"/>
      <c r="P69" s="1">
        <f>SUM(OSRRefP22_12x_0)</f>
        <v>1108.73</v>
      </c>
      <c r="Q69" s="1"/>
      <c r="R69" s="5">
        <f t="shared" si="41"/>
        <v>0.42866532378106065</v>
      </c>
      <c r="S69" s="1"/>
      <c r="T69" s="1">
        <f>SUM(OSRRefT22_12x_0)</f>
        <v>1597</v>
      </c>
      <c r="U69" s="1"/>
      <c r="V69" s="5">
        <f t="shared" si="42"/>
        <v>1.3034393823150128E-2</v>
      </c>
      <c r="W69" s="1"/>
      <c r="X69" s="1">
        <f t="shared" si="43"/>
        <v>-488.27</v>
      </c>
      <c r="Y69" s="1"/>
      <c r="Z69" s="5">
        <f t="shared" si="44"/>
        <v>-0.305742016280526</v>
      </c>
    </row>
    <row r="70" spans="1:26" s="24" customFormat="1" hidden="1" outlineLevel="2" x14ac:dyDescent="0.25">
      <c r="A70" s="28"/>
      <c r="B70" s="11" t="str">
        <f>CONCATENATE("          ", "6371", " - ", "COMPUTER SOFTWARE MAINTENANCE")</f>
        <v xml:space="preserve">          6371 - COMPUTER SOFTWARE MAINTENANCE</v>
      </c>
      <c r="C70" s="11"/>
      <c r="D70" s="7"/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/>
      <c r="Q70" s="2"/>
      <c r="R70" s="6">
        <f t="shared" si="41"/>
        <v>0</v>
      </c>
      <c r="S70" s="2"/>
      <c r="T70" s="7">
        <v>43</v>
      </c>
      <c r="U70" s="2"/>
      <c r="V70" s="6">
        <f t="shared" si="42"/>
        <v>3.5095737908294022E-4</v>
      </c>
      <c r="W70" s="2"/>
      <c r="X70" s="7">
        <f t="shared" si="43"/>
        <v>-43</v>
      </c>
      <c r="Y70" s="2"/>
      <c r="Z70" s="6">
        <f t="shared" si="44"/>
        <v>-1</v>
      </c>
    </row>
    <row r="71" spans="1:26" s="24" customFormat="1" hidden="1" outlineLevel="2" x14ac:dyDescent="0.25">
      <c r="A71" s="28"/>
      <c r="B71" s="11" t="str">
        <f>CONCATENATE("          ", "6372", " - ", "COMPUTER HARDWARE MAINTENANCE")</f>
        <v xml:space="preserve">          6372 - COMPUTER HARDWARE MAINTENANCE</v>
      </c>
      <c r="C71" s="11"/>
      <c r="D71" s="7"/>
      <c r="E71" s="2"/>
      <c r="F71" s="6">
        <f t="shared" si="37"/>
        <v>0</v>
      </c>
      <c r="G71" s="2"/>
      <c r="H71" s="7"/>
      <c r="I71" s="2"/>
      <c r="J71" s="6">
        <f t="shared" si="38"/>
        <v>0</v>
      </c>
      <c r="K71" s="2"/>
      <c r="L71" s="7">
        <f t="shared" si="39"/>
        <v>0</v>
      </c>
      <c r="M71" s="2"/>
      <c r="N71" s="6">
        <f t="shared" si="40"/>
        <v>0</v>
      </c>
      <c r="O71" s="11"/>
      <c r="P71" s="7"/>
      <c r="Q71" s="2"/>
      <c r="R71" s="6">
        <f t="shared" si="41"/>
        <v>0</v>
      </c>
      <c r="S71" s="2"/>
      <c r="T71" s="7">
        <v>437</v>
      </c>
      <c r="U71" s="2"/>
      <c r="V71" s="6">
        <f t="shared" si="42"/>
        <v>3.5667063874242995E-3</v>
      </c>
      <c r="W71" s="2"/>
      <c r="X71" s="7">
        <f t="shared" si="43"/>
        <v>-437</v>
      </c>
      <c r="Y71" s="2"/>
      <c r="Z71" s="6">
        <f t="shared" si="44"/>
        <v>-1</v>
      </c>
    </row>
    <row r="72" spans="1:26" s="24" customFormat="1" hidden="1" outlineLevel="2" x14ac:dyDescent="0.25">
      <c r="A72" s="28"/>
      <c r="B72" s="11" t="str">
        <f>CONCATENATE("          ", "6373", " - ", "MAINTENANCE CONTRACTS")</f>
        <v xml:space="preserve">          6373 - MAINTENANCE CONTRACTS</v>
      </c>
      <c r="C72" s="11"/>
      <c r="D72" s="7"/>
      <c r="E72" s="2"/>
      <c r="F72" s="6">
        <f t="shared" si="37"/>
        <v>0</v>
      </c>
      <c r="G72" s="2"/>
      <c r="H72" s="7">
        <v>103</v>
      </c>
      <c r="I72" s="2"/>
      <c r="J72" s="6">
        <f t="shared" si="38"/>
        <v>1.5409934171154997E-3</v>
      </c>
      <c r="K72" s="2"/>
      <c r="L72" s="7">
        <f t="shared" si="39"/>
        <v>-103</v>
      </c>
      <c r="M72" s="2"/>
      <c r="N72" s="6">
        <f t="shared" si="40"/>
        <v>-1</v>
      </c>
      <c r="O72" s="11"/>
      <c r="P72" s="7">
        <v>655.15</v>
      </c>
      <c r="Q72" s="2"/>
      <c r="R72" s="6">
        <f t="shared" si="41"/>
        <v>0.25329889772547137</v>
      </c>
      <c r="S72" s="2"/>
      <c r="T72" s="7">
        <v>103</v>
      </c>
      <c r="U72" s="2"/>
      <c r="V72" s="6">
        <f t="shared" si="42"/>
        <v>8.4066534989634518E-4</v>
      </c>
      <c r="W72" s="2"/>
      <c r="X72" s="7">
        <f t="shared" si="43"/>
        <v>552.15</v>
      </c>
      <c r="Y72" s="2"/>
      <c r="Z72" s="6">
        <f t="shared" si="44"/>
        <v>5.3606796116504851</v>
      </c>
    </row>
    <row r="73" spans="1:26" s="24" customFormat="1" hidden="1" outlineLevel="2" x14ac:dyDescent="0.25">
      <c r="A73" s="28"/>
      <c r="B73" s="11" t="str">
        <f>CONCATENATE("          ", "6375", " - ", "OUTSIDE REPAIRS &amp; MAINTENANCE")</f>
        <v xml:space="preserve">          6375 - OUTSIDE REPAIRS &amp; MAINTENANCE</v>
      </c>
      <c r="C73" s="11"/>
      <c r="D73" s="7">
        <v>22.02</v>
      </c>
      <c r="E73" s="2"/>
      <c r="F73" s="6">
        <f t="shared" si="37"/>
        <v>0</v>
      </c>
      <c r="G73" s="2"/>
      <c r="H73" s="7">
        <v>285</v>
      </c>
      <c r="I73" s="2"/>
      <c r="J73" s="6">
        <f t="shared" si="38"/>
        <v>4.263913824057451E-3</v>
      </c>
      <c r="K73" s="2"/>
      <c r="L73" s="7">
        <f t="shared" si="39"/>
        <v>-262.98</v>
      </c>
      <c r="M73" s="2"/>
      <c r="N73" s="6">
        <f t="shared" si="40"/>
        <v>-0.92273684210526319</v>
      </c>
      <c r="O73" s="11"/>
      <c r="P73" s="7">
        <v>453.58</v>
      </c>
      <c r="Q73" s="2"/>
      <c r="R73" s="6">
        <f t="shared" si="41"/>
        <v>0.17536642605558925</v>
      </c>
      <c r="S73" s="2"/>
      <c r="T73" s="7">
        <v>1014</v>
      </c>
      <c r="U73" s="2"/>
      <c r="V73" s="6">
        <f t="shared" si="42"/>
        <v>8.2760647067465429E-3</v>
      </c>
      <c r="W73" s="2"/>
      <c r="X73" s="7">
        <f t="shared" si="43"/>
        <v>-560.42000000000007</v>
      </c>
      <c r="Y73" s="2"/>
      <c r="Z73" s="6">
        <f t="shared" si="44"/>
        <v>-0.55268244575936887</v>
      </c>
    </row>
    <row r="74" spans="1:26" s="27" customFormat="1" outlineLevel="1" collapsed="1" x14ac:dyDescent="0.25">
      <c r="A74" s="29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1">
        <f>SUM(OSRRefD22_13x_0)</f>
        <v>185.7</v>
      </c>
      <c r="E74" s="1"/>
      <c r="F74" s="5">
        <f t="shared" ref="F74:F76" si="45">IF(D$12=0,0,D74/D$12)</f>
        <v>0</v>
      </c>
      <c r="G74" s="1"/>
      <c r="H74" s="1">
        <f>SUM(OSRRefH22_13x_0)</f>
        <v>1108</v>
      </c>
      <c r="I74" s="1"/>
      <c r="J74" s="5">
        <f t="shared" ref="J74:J76" si="46">IF(H$12=0,0,H74/H$12)</f>
        <v>1.6576900059844406E-2</v>
      </c>
      <c r="K74" s="1"/>
      <c r="L74" s="1">
        <f t="shared" ref="L74:L76" si="47">+D74-H74</f>
        <v>-922.3</v>
      </c>
      <c r="M74" s="1"/>
      <c r="N74" s="5">
        <f t="shared" ref="N74:N76" si="48">IF(H74=0,0,L74/H74)</f>
        <v>-0.8324007220216606</v>
      </c>
      <c r="O74" s="14"/>
      <c r="P74" s="1">
        <f>SUM(OSRRefP22_13x_0)</f>
        <v>185.7</v>
      </c>
      <c r="Q74" s="1"/>
      <c r="R74" s="5">
        <f t="shared" ref="R74:R76" si="49">IF(P$12=0,0,P74/P$12)</f>
        <v>7.1796695882805517E-2</v>
      </c>
      <c r="S74" s="1"/>
      <c r="T74" s="1">
        <f>SUM(OSRRefT22_13x_0)</f>
        <v>2095</v>
      </c>
      <c r="U74" s="1"/>
      <c r="V74" s="5">
        <f t="shared" ref="V74:V76" si="50">IF(T$12=0,0,T74/T$12)</f>
        <v>1.709896998090139E-2</v>
      </c>
      <c r="W74" s="1"/>
      <c r="X74" s="1">
        <f t="shared" ref="X74:X76" si="51">+P74-T74</f>
        <v>-1909.3</v>
      </c>
      <c r="Y74" s="1"/>
      <c r="Z74" s="5">
        <f t="shared" ref="Z74:Z76" si="52">IF(T74=0,0,X74/T74)</f>
        <v>-0.9113603818615752</v>
      </c>
    </row>
    <row r="75" spans="1:26" s="24" customFormat="1" hidden="1" outlineLevel="2" x14ac:dyDescent="0.25">
      <c r="A75" s="28"/>
      <c r="B75" s="11" t="str">
        <f>CONCATENATE("          ", "6254", " - ", "ROYALTY &amp; COMMISSIONS")</f>
        <v xml:space="preserve">          6254 - ROYALTY &amp; COMMISSIONS</v>
      </c>
      <c r="C75" s="11"/>
      <c r="D75" s="7">
        <v>185.7</v>
      </c>
      <c r="E75" s="2"/>
      <c r="F75" s="6">
        <f t="shared" si="45"/>
        <v>0</v>
      </c>
      <c r="G75" s="2"/>
      <c r="H75" s="7"/>
      <c r="I75" s="2"/>
      <c r="J75" s="6">
        <f t="shared" si="46"/>
        <v>0</v>
      </c>
      <c r="K75" s="2"/>
      <c r="L75" s="7">
        <f t="shared" si="47"/>
        <v>185.7</v>
      </c>
      <c r="M75" s="2"/>
      <c r="N75" s="6">
        <f t="shared" si="48"/>
        <v>0</v>
      </c>
      <c r="O75" s="11"/>
      <c r="P75" s="7">
        <v>185.7</v>
      </c>
      <c r="Q75" s="2"/>
      <c r="R75" s="6">
        <f t="shared" si="49"/>
        <v>7.1796695882805517E-2</v>
      </c>
      <c r="S75" s="2"/>
      <c r="T75" s="7"/>
      <c r="U75" s="2"/>
      <c r="V75" s="6">
        <f t="shared" si="50"/>
        <v>0</v>
      </c>
      <c r="W75" s="2"/>
      <c r="X75" s="7">
        <f t="shared" si="51"/>
        <v>185.7</v>
      </c>
      <c r="Y75" s="2"/>
      <c r="Z75" s="6">
        <f t="shared" si="52"/>
        <v>0</v>
      </c>
    </row>
    <row r="76" spans="1:26" s="24" customFormat="1" hidden="1" outlineLevel="2" x14ac:dyDescent="0.25">
      <c r="A76" s="28"/>
      <c r="B76" s="11" t="str">
        <f>CONCATENATE("          ", "6259", " - ", "ROYALTY &amp; COMMISSIONS")</f>
        <v xml:space="preserve">          6259 - ROYALTY &amp; COMMISSIONS</v>
      </c>
      <c r="C76" s="11"/>
      <c r="D76" s="7"/>
      <c r="E76" s="2"/>
      <c r="F76" s="6">
        <f t="shared" si="45"/>
        <v>0</v>
      </c>
      <c r="G76" s="2"/>
      <c r="H76" s="7">
        <v>1108</v>
      </c>
      <c r="I76" s="2"/>
      <c r="J76" s="6">
        <f t="shared" si="46"/>
        <v>1.6576900059844406E-2</v>
      </c>
      <c r="K76" s="2"/>
      <c r="L76" s="7">
        <f t="shared" si="47"/>
        <v>-1108</v>
      </c>
      <c r="M76" s="2"/>
      <c r="N76" s="6">
        <f t="shared" si="48"/>
        <v>-1</v>
      </c>
      <c r="O76" s="11"/>
      <c r="P76" s="7"/>
      <c r="Q76" s="2"/>
      <c r="R76" s="6">
        <f t="shared" si="49"/>
        <v>0</v>
      </c>
      <c r="S76" s="2"/>
      <c r="T76" s="7">
        <v>2095</v>
      </c>
      <c r="U76" s="2"/>
      <c r="V76" s="6">
        <f t="shared" si="50"/>
        <v>1.709896998090139E-2</v>
      </c>
      <c r="W76" s="2"/>
      <c r="X76" s="7">
        <f t="shared" si="51"/>
        <v>-2095</v>
      </c>
      <c r="Y76" s="2"/>
      <c r="Z76" s="6">
        <f t="shared" si="52"/>
        <v>-1</v>
      </c>
    </row>
    <row r="77" spans="1:26" s="27" customFormat="1" outlineLevel="1" collapsed="1" x14ac:dyDescent="0.25">
      <c r="A77" s="29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SUM(OSRRefD22_14x_0)</f>
        <v>558</v>
      </c>
      <c r="E77" s="1"/>
      <c r="F77" s="5">
        <f t="shared" ref="F77:F81" si="53">IF(D$12=0,0,D77/D$12)</f>
        <v>0</v>
      </c>
      <c r="G77" s="1"/>
      <c r="H77" s="1">
        <f>SUM(OSRRefH22_14x_0)</f>
        <v>776</v>
      </c>
      <c r="I77" s="1"/>
      <c r="J77" s="5">
        <f t="shared" ref="J77:J81" si="54">IF(H$12=0,0,H77/H$12)</f>
        <v>1.1609814482345901E-2</v>
      </c>
      <c r="K77" s="1"/>
      <c r="L77" s="1">
        <f t="shared" ref="L77:L81" si="55">+D77-H77</f>
        <v>-218</v>
      </c>
      <c r="M77" s="1"/>
      <c r="N77" s="5">
        <f t="shared" ref="N77:N81" si="56">IF(H77=0,0,L77/H77)</f>
        <v>-0.28092783505154639</v>
      </c>
      <c r="O77" s="14"/>
      <c r="P77" s="1">
        <f>SUM(OSRRefP22_14x_0)</f>
        <v>-974.76</v>
      </c>
      <c r="Q77" s="1"/>
      <c r="R77" s="5">
        <f t="shared" ref="R77:R81" si="57">IF(P$12=0,0,P77/P$12)</f>
        <v>-0.3768688598746554</v>
      </c>
      <c r="S77" s="1"/>
      <c r="T77" s="1">
        <f>SUM(OSRRefT22_14x_0)</f>
        <v>2915</v>
      </c>
      <c r="U77" s="1"/>
      <c r="V77" s="5">
        <f t="shared" ref="V77:V81" si="58">IF(T$12=0,0,T77/T$12)</f>
        <v>2.3791645582017924E-2</v>
      </c>
      <c r="W77" s="1"/>
      <c r="X77" s="1">
        <f t="shared" ref="X77:X81" si="59">+P77-T77</f>
        <v>-3889.76</v>
      </c>
      <c r="Y77" s="1"/>
      <c r="Z77" s="5">
        <f t="shared" ref="Z77:Z81" si="60">IF(T77=0,0,X77/T77)</f>
        <v>-1.3343945111492281</v>
      </c>
    </row>
    <row r="78" spans="1:26" s="24" customFormat="1" hidden="1" outlineLevel="2" x14ac:dyDescent="0.25">
      <c r="A78" s="28"/>
      <c r="B78" s="11" t="str">
        <f>CONCATENATE("          ", "6282", " - ", "JANITORIAL/EXTERMINATOR EXPENS")</f>
        <v xml:space="preserve">          6282 - JANITORIAL/EXTERMINATOR EXPENS</v>
      </c>
      <c r="C78" s="11"/>
      <c r="D78" s="7">
        <v>558</v>
      </c>
      <c r="E78" s="2"/>
      <c r="F78" s="6">
        <f t="shared" si="53"/>
        <v>0</v>
      </c>
      <c r="G78" s="2"/>
      <c r="H78" s="7"/>
      <c r="I78" s="2"/>
      <c r="J78" s="6">
        <f t="shared" si="54"/>
        <v>0</v>
      </c>
      <c r="K78" s="2"/>
      <c r="L78" s="7">
        <f t="shared" si="55"/>
        <v>558</v>
      </c>
      <c r="M78" s="2"/>
      <c r="N78" s="6">
        <f t="shared" si="56"/>
        <v>0</v>
      </c>
      <c r="O78" s="11"/>
      <c r="P78" s="7">
        <v>-170.16</v>
      </c>
      <c r="Q78" s="2"/>
      <c r="R78" s="6">
        <f t="shared" si="57"/>
        <v>-6.5788507115876069E-2</v>
      </c>
      <c r="S78" s="2"/>
      <c r="T78" s="7">
        <v>314</v>
      </c>
      <c r="U78" s="2"/>
      <c r="V78" s="6">
        <f t="shared" si="58"/>
        <v>2.5628050472568191E-3</v>
      </c>
      <c r="W78" s="2"/>
      <c r="X78" s="7">
        <f t="shared" si="59"/>
        <v>-484.15999999999997</v>
      </c>
      <c r="Y78" s="2"/>
      <c r="Z78" s="6">
        <f t="shared" si="60"/>
        <v>-1.5419108280254776</v>
      </c>
    </row>
    <row r="79" spans="1:26" s="24" customFormat="1" hidden="1" outlineLevel="2" x14ac:dyDescent="0.25">
      <c r="A79" s="28"/>
      <c r="B79" s="11" t="str">
        <f>CONCATENATE("          ", "6284", " - ", "TRASH REMOVAL EXPENSE")</f>
        <v xml:space="preserve">          6284 - TRASH REMOVAL EXPENSE</v>
      </c>
      <c r="C79" s="11"/>
      <c r="D79" s="7"/>
      <c r="E79" s="2"/>
      <c r="F79" s="6">
        <f t="shared" si="53"/>
        <v>0</v>
      </c>
      <c r="G79" s="2"/>
      <c r="H79" s="7">
        <v>237</v>
      </c>
      <c r="I79" s="2"/>
      <c r="J79" s="6">
        <f t="shared" si="54"/>
        <v>3.5457809694793537E-3</v>
      </c>
      <c r="K79" s="2"/>
      <c r="L79" s="7">
        <f t="shared" si="55"/>
        <v>-237</v>
      </c>
      <c r="M79" s="2"/>
      <c r="N79" s="6">
        <f t="shared" si="56"/>
        <v>-1</v>
      </c>
      <c r="O79" s="11"/>
      <c r="P79" s="7"/>
      <c r="Q79" s="2"/>
      <c r="R79" s="6">
        <f t="shared" si="57"/>
        <v>0</v>
      </c>
      <c r="S79" s="2"/>
      <c r="T79" s="7">
        <v>711</v>
      </c>
      <c r="U79" s="2"/>
      <c r="V79" s="6">
        <f t="shared" si="58"/>
        <v>5.8030394541388483E-3</v>
      </c>
      <c r="W79" s="2"/>
      <c r="X79" s="7">
        <f t="shared" si="59"/>
        <v>-711</v>
      </c>
      <c r="Y79" s="2"/>
      <c r="Z79" s="6">
        <f t="shared" si="60"/>
        <v>-1</v>
      </c>
    </row>
    <row r="80" spans="1:26" s="24" customFormat="1" hidden="1" outlineLevel="2" x14ac:dyDescent="0.25">
      <c r="A80" s="28"/>
      <c r="B80" s="11" t="str">
        <f>CONCATENATE("          ", "6285", " - ", "JANITORIAL SERVICES")</f>
        <v xml:space="preserve">          6285 - JANITORIAL SERVICES</v>
      </c>
      <c r="C80" s="11"/>
      <c r="D80" s="7"/>
      <c r="E80" s="2"/>
      <c r="F80" s="6">
        <f t="shared" si="53"/>
        <v>0</v>
      </c>
      <c r="G80" s="2"/>
      <c r="H80" s="7">
        <v>450</v>
      </c>
      <c r="I80" s="2"/>
      <c r="J80" s="6">
        <f t="shared" si="54"/>
        <v>6.7324955116696587E-3</v>
      </c>
      <c r="K80" s="2"/>
      <c r="L80" s="7">
        <f t="shared" si="55"/>
        <v>-450</v>
      </c>
      <c r="M80" s="2"/>
      <c r="N80" s="6">
        <f t="shared" si="56"/>
        <v>-1</v>
      </c>
      <c r="O80" s="11"/>
      <c r="P80" s="7">
        <v>-804.6</v>
      </c>
      <c r="Q80" s="2"/>
      <c r="R80" s="6">
        <f t="shared" si="57"/>
        <v>-0.31108035275877932</v>
      </c>
      <c r="S80" s="2"/>
      <c r="T80" s="7">
        <v>1513</v>
      </c>
      <c r="U80" s="2"/>
      <c r="V80" s="6">
        <f t="shared" si="58"/>
        <v>1.2348802664011361E-2</v>
      </c>
      <c r="W80" s="2"/>
      <c r="X80" s="7">
        <f t="shared" si="59"/>
        <v>-2317.6</v>
      </c>
      <c r="Y80" s="2"/>
      <c r="Z80" s="6">
        <f t="shared" si="60"/>
        <v>-1.5317911434236615</v>
      </c>
    </row>
    <row r="81" spans="1:26" s="24" customFormat="1" hidden="1" outlineLevel="2" x14ac:dyDescent="0.25">
      <c r="A81" s="28"/>
      <c r="B81" s="11" t="str">
        <f>CONCATENATE("          ", "6286", " - ", "LAUNDRY EXPENSE")</f>
        <v xml:space="preserve">          6286 - LAUNDRY EXPENSE</v>
      </c>
      <c r="C81" s="11"/>
      <c r="D81" s="7"/>
      <c r="E81" s="2"/>
      <c r="F81" s="6">
        <f t="shared" si="53"/>
        <v>0</v>
      </c>
      <c r="G81" s="2"/>
      <c r="H81" s="7">
        <v>89</v>
      </c>
      <c r="I81" s="2"/>
      <c r="J81" s="6">
        <f t="shared" si="54"/>
        <v>1.331538001196888E-3</v>
      </c>
      <c r="K81" s="2"/>
      <c r="L81" s="7">
        <f t="shared" si="55"/>
        <v>-89</v>
      </c>
      <c r="M81" s="2"/>
      <c r="N81" s="6">
        <f t="shared" si="56"/>
        <v>-1</v>
      </c>
      <c r="O81" s="11"/>
      <c r="P81" s="7"/>
      <c r="Q81" s="2"/>
      <c r="R81" s="6">
        <f t="shared" si="57"/>
        <v>0</v>
      </c>
      <c r="S81" s="2"/>
      <c r="T81" s="7">
        <v>377</v>
      </c>
      <c r="U81" s="2"/>
      <c r="V81" s="6">
        <f t="shared" si="58"/>
        <v>3.0769984166108943E-3</v>
      </c>
      <c r="W81" s="2"/>
      <c r="X81" s="7">
        <f t="shared" si="59"/>
        <v>-377</v>
      </c>
      <c r="Y81" s="2"/>
      <c r="Z81" s="6">
        <f t="shared" si="60"/>
        <v>-1</v>
      </c>
    </row>
    <row r="82" spans="1:26" s="27" customFormat="1" outlineLevel="1" collapsed="1" x14ac:dyDescent="0.25">
      <c r="A82" s="29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SUM(OSRRefD22_15x_0)</f>
        <v>0</v>
      </c>
      <c r="E82" s="1"/>
      <c r="F82" s="5">
        <f t="shared" ref="F82:F91" si="61">IF(D$12=0,0,D82/D$12)</f>
        <v>0</v>
      </c>
      <c r="G82" s="1"/>
      <c r="H82" s="1">
        <f>SUM(OSRRefH22_15x_0)</f>
        <v>176</v>
      </c>
      <c r="I82" s="1"/>
      <c r="J82" s="5">
        <f t="shared" ref="J82:J91" si="62">IF(H$12=0,0,H82/H$12)</f>
        <v>2.6331538001196889E-3</v>
      </c>
      <c r="K82" s="1"/>
      <c r="L82" s="1">
        <f t="shared" ref="L82:L91" si="63">+D82-H82</f>
        <v>-176</v>
      </c>
      <c r="M82" s="1"/>
      <c r="N82" s="5">
        <f t="shared" ref="N82:N91" si="64">IF(H82=0,0,L82/H82)</f>
        <v>-1</v>
      </c>
      <c r="O82" s="14"/>
      <c r="P82" s="1">
        <f>SUM(OSRRefP22_15x_0)</f>
        <v>0</v>
      </c>
      <c r="Q82" s="1"/>
      <c r="R82" s="5">
        <f t="shared" ref="R82:R91" si="65">IF(P$12=0,0,P82/P$12)</f>
        <v>0</v>
      </c>
      <c r="S82" s="1"/>
      <c r="T82" s="1">
        <f>SUM(OSRRefT22_15x_0)</f>
        <v>704</v>
      </c>
      <c r="U82" s="1"/>
      <c r="V82" s="5">
        <f t="shared" ref="V82:V91" si="66">IF(T$12=0,0,T82/T$12)</f>
        <v>5.7459068575439511E-3</v>
      </c>
      <c r="W82" s="1"/>
      <c r="X82" s="1">
        <f t="shared" ref="X82:X91" si="67">+P82-T82</f>
        <v>-704</v>
      </c>
      <c r="Y82" s="1"/>
      <c r="Z82" s="5">
        <f t="shared" ref="Z82:Z91" si="68">IF(T82=0,0,X82/T82)</f>
        <v>-1</v>
      </c>
    </row>
    <row r="83" spans="1:26" s="24" customFormat="1" hidden="1" outlineLevel="2" x14ac:dyDescent="0.25">
      <c r="A83" s="28"/>
      <c r="B83" s="11" t="str">
        <f>CONCATENATE("          ", "6275", " - ", "SUBSCRIPTIONS")</f>
        <v xml:space="preserve">          6275 - SUBSCRIPTIONS</v>
      </c>
      <c r="C83" s="11"/>
      <c r="D83" s="7"/>
      <c r="E83" s="2"/>
      <c r="F83" s="6">
        <f t="shared" si="61"/>
        <v>0</v>
      </c>
      <c r="G83" s="2"/>
      <c r="H83" s="7">
        <v>176</v>
      </c>
      <c r="I83" s="2"/>
      <c r="J83" s="6">
        <f t="shared" si="62"/>
        <v>2.6331538001196889E-3</v>
      </c>
      <c r="K83" s="2"/>
      <c r="L83" s="7">
        <f t="shared" si="63"/>
        <v>-176</v>
      </c>
      <c r="M83" s="2"/>
      <c r="N83" s="6">
        <f t="shared" si="64"/>
        <v>-1</v>
      </c>
      <c r="O83" s="11"/>
      <c r="P83" s="7"/>
      <c r="Q83" s="2"/>
      <c r="R83" s="6">
        <f t="shared" si="65"/>
        <v>0</v>
      </c>
      <c r="S83" s="2"/>
      <c r="T83" s="7">
        <v>704</v>
      </c>
      <c r="U83" s="2"/>
      <c r="V83" s="6">
        <f t="shared" si="66"/>
        <v>5.7459068575439511E-3</v>
      </c>
      <c r="W83" s="2"/>
      <c r="X83" s="7">
        <f t="shared" si="67"/>
        <v>-704</v>
      </c>
      <c r="Y83" s="2"/>
      <c r="Z83" s="6">
        <f t="shared" si="68"/>
        <v>-1</v>
      </c>
    </row>
    <row r="84" spans="1:26" s="27" customFormat="1" outlineLevel="1" collapsed="1" x14ac:dyDescent="0.25">
      <c r="A84" s="29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SUM(OSRRefD22_16x_0)</f>
        <v>41</v>
      </c>
      <c r="E84" s="1"/>
      <c r="F84" s="5">
        <f t="shared" si="61"/>
        <v>0</v>
      </c>
      <c r="G84" s="1"/>
      <c r="H84" s="1">
        <f>SUM(OSRRefH22_16x_0)</f>
        <v>1963</v>
      </c>
      <c r="I84" s="1"/>
      <c r="J84" s="5">
        <f t="shared" si="62"/>
        <v>2.9368641532016758E-2</v>
      </c>
      <c r="K84" s="1"/>
      <c r="L84" s="1">
        <f t="shared" si="63"/>
        <v>-1922</v>
      </c>
      <c r="M84" s="1"/>
      <c r="N84" s="5">
        <f t="shared" si="64"/>
        <v>-0.97911360163015793</v>
      </c>
      <c r="O84" s="14"/>
      <c r="P84" s="1">
        <f>SUM(OSRRefP22_16x_0)</f>
        <v>1094.0899999999999</v>
      </c>
      <c r="Q84" s="1"/>
      <c r="R84" s="5">
        <f t="shared" si="65"/>
        <v>0.42300509961453248</v>
      </c>
      <c r="S84" s="1"/>
      <c r="T84" s="1">
        <f>SUM(OSRRefT22_16x_0)</f>
        <v>12018</v>
      </c>
      <c r="U84" s="1"/>
      <c r="V84" s="5">
        <f t="shared" si="66"/>
        <v>9.8088506553925009E-2</v>
      </c>
      <c r="W84" s="1"/>
      <c r="X84" s="1">
        <f t="shared" si="67"/>
        <v>-10923.91</v>
      </c>
      <c r="Y84" s="1"/>
      <c r="Z84" s="5">
        <f t="shared" si="68"/>
        <v>-0.90896238974871024</v>
      </c>
    </row>
    <row r="85" spans="1:26" s="24" customFormat="1" hidden="1" outlineLevel="2" x14ac:dyDescent="0.25">
      <c r="A85" s="28"/>
      <c r="B85" s="11" t="str">
        <f>CONCATENATE("          ", "6234", " - ", "EXPENDABLE SUPPLIES &amp; EQUIPMEN")</f>
        <v xml:space="preserve">          6234 - EXPENDABLE SUPPLIES &amp; EQUIPMEN</v>
      </c>
      <c r="C85" s="11"/>
      <c r="D85" s="7"/>
      <c r="E85" s="2"/>
      <c r="F85" s="6">
        <f t="shared" si="61"/>
        <v>0</v>
      </c>
      <c r="G85" s="2"/>
      <c r="H85" s="7"/>
      <c r="I85" s="2"/>
      <c r="J85" s="6">
        <f t="shared" si="62"/>
        <v>0</v>
      </c>
      <c r="K85" s="2"/>
      <c r="L85" s="7">
        <f t="shared" si="63"/>
        <v>0</v>
      </c>
      <c r="M85" s="2"/>
      <c r="N85" s="6">
        <f t="shared" si="64"/>
        <v>0</v>
      </c>
      <c r="O85" s="11"/>
      <c r="P85" s="7">
        <v>316.67</v>
      </c>
      <c r="Q85" s="2"/>
      <c r="R85" s="6">
        <f t="shared" si="65"/>
        <v>0.12243327778787304</v>
      </c>
      <c r="S85" s="2"/>
      <c r="T85" s="7"/>
      <c r="U85" s="2"/>
      <c r="V85" s="6">
        <f t="shared" si="66"/>
        <v>0</v>
      </c>
      <c r="W85" s="2"/>
      <c r="X85" s="7">
        <f t="shared" si="67"/>
        <v>316.67</v>
      </c>
      <c r="Y85" s="2"/>
      <c r="Z85" s="6">
        <f t="shared" si="68"/>
        <v>0</v>
      </c>
    </row>
    <row r="86" spans="1:26" s="24" customFormat="1" hidden="1" outlineLevel="2" x14ac:dyDescent="0.25">
      <c r="A86" s="28"/>
      <c r="B86" s="11" t="str">
        <f>CONCATENATE("          ", "6235", " - ", "COVID-19 EXPENSES")</f>
        <v xml:space="preserve">          6235 - COVID-19 EXPENSES</v>
      </c>
      <c r="C86" s="11"/>
      <c r="D86" s="7"/>
      <c r="E86" s="2"/>
      <c r="F86" s="6">
        <f t="shared" si="61"/>
        <v>0</v>
      </c>
      <c r="G86" s="2"/>
      <c r="H86" s="7">
        <v>400</v>
      </c>
      <c r="I86" s="2"/>
      <c r="J86" s="6">
        <f t="shared" si="62"/>
        <v>5.9844404548174742E-3</v>
      </c>
      <c r="K86" s="2"/>
      <c r="L86" s="7">
        <f t="shared" si="63"/>
        <v>-400</v>
      </c>
      <c r="M86" s="2"/>
      <c r="N86" s="6">
        <f t="shared" si="64"/>
        <v>-1</v>
      </c>
      <c r="O86" s="11"/>
      <c r="P86" s="7">
        <v>207.27</v>
      </c>
      <c r="Q86" s="2"/>
      <c r="R86" s="6">
        <f t="shared" si="65"/>
        <v>8.0136247472423802E-2</v>
      </c>
      <c r="S86" s="2"/>
      <c r="T86" s="7">
        <v>2100</v>
      </c>
      <c r="U86" s="2"/>
      <c r="V86" s="6">
        <f t="shared" si="66"/>
        <v>1.7139778978469172E-2</v>
      </c>
      <c r="W86" s="2"/>
      <c r="X86" s="7">
        <f t="shared" si="67"/>
        <v>-1892.73</v>
      </c>
      <c r="Y86" s="2"/>
      <c r="Z86" s="6">
        <f t="shared" si="68"/>
        <v>-0.90129999999999999</v>
      </c>
    </row>
    <row r="87" spans="1:26" s="24" customFormat="1" hidden="1" outlineLevel="2" x14ac:dyDescent="0.25">
      <c r="A87" s="28"/>
      <c r="B87" s="11" t="str">
        <f>CONCATENATE("          ", "6237", " - ", "JANITORIAL SUPPLIES")</f>
        <v xml:space="preserve">          6237 - JANITORIAL SUPPLIES</v>
      </c>
      <c r="C87" s="11"/>
      <c r="D87" s="7"/>
      <c r="E87" s="2"/>
      <c r="F87" s="6">
        <f t="shared" si="61"/>
        <v>0</v>
      </c>
      <c r="G87" s="2"/>
      <c r="H87" s="7">
        <v>238</v>
      </c>
      <c r="I87" s="2"/>
      <c r="J87" s="6">
        <f t="shared" si="62"/>
        <v>3.5607420706163973E-3</v>
      </c>
      <c r="K87" s="2"/>
      <c r="L87" s="7">
        <f t="shared" si="63"/>
        <v>-238</v>
      </c>
      <c r="M87" s="2"/>
      <c r="N87" s="6">
        <f t="shared" si="64"/>
        <v>-1</v>
      </c>
      <c r="O87" s="11"/>
      <c r="P87" s="7">
        <v>317.57</v>
      </c>
      <c r="Q87" s="2"/>
      <c r="R87" s="6">
        <f t="shared" si="65"/>
        <v>0.12278124238827436</v>
      </c>
      <c r="S87" s="2"/>
      <c r="T87" s="7">
        <v>238</v>
      </c>
      <c r="U87" s="2"/>
      <c r="V87" s="6">
        <f t="shared" si="66"/>
        <v>1.9425082842265062E-3</v>
      </c>
      <c r="W87" s="2"/>
      <c r="X87" s="7">
        <f t="shared" si="67"/>
        <v>79.569999999999993</v>
      </c>
      <c r="Y87" s="2"/>
      <c r="Z87" s="6">
        <f t="shared" si="68"/>
        <v>0.33432773109243696</v>
      </c>
    </row>
    <row r="88" spans="1:26" s="24" customFormat="1" hidden="1" outlineLevel="2" x14ac:dyDescent="0.25">
      <c r="A88" s="28"/>
      <c r="B88" s="11" t="str">
        <f>CONCATENATE("          ", "6241", " - ", "OFFICE EXPENSE")</f>
        <v xml:space="preserve">          6241 - OFFICE EXPENSE</v>
      </c>
      <c r="C88" s="11"/>
      <c r="D88" s="7"/>
      <c r="E88" s="2"/>
      <c r="F88" s="6">
        <f t="shared" si="61"/>
        <v>0</v>
      </c>
      <c r="G88" s="2"/>
      <c r="H88" s="7"/>
      <c r="I88" s="2"/>
      <c r="J88" s="6">
        <f t="shared" si="62"/>
        <v>0</v>
      </c>
      <c r="K88" s="2"/>
      <c r="L88" s="7">
        <f t="shared" si="63"/>
        <v>0</v>
      </c>
      <c r="M88" s="2"/>
      <c r="N88" s="6">
        <f t="shared" si="64"/>
        <v>0</v>
      </c>
      <c r="O88" s="11"/>
      <c r="P88" s="7">
        <v>131.30000000000001</v>
      </c>
      <c r="Q88" s="2"/>
      <c r="R88" s="6">
        <f t="shared" si="65"/>
        <v>5.0764168925214674E-2</v>
      </c>
      <c r="S88" s="2"/>
      <c r="T88" s="7"/>
      <c r="U88" s="2"/>
      <c r="V88" s="6">
        <f t="shared" si="66"/>
        <v>0</v>
      </c>
      <c r="W88" s="2"/>
      <c r="X88" s="7">
        <f t="shared" si="67"/>
        <v>131.30000000000001</v>
      </c>
      <c r="Y88" s="2"/>
      <c r="Z88" s="6">
        <f t="shared" si="68"/>
        <v>0</v>
      </c>
    </row>
    <row r="89" spans="1:26" s="24" customFormat="1" hidden="1" outlineLevel="2" x14ac:dyDescent="0.25">
      <c r="A89" s="28"/>
      <c r="B89" s="11" t="str">
        <f>CONCATENATE("          ", "6243", " - ", "PAPER SUPPLIES")</f>
        <v xml:space="preserve">          6243 - PAPER SUPPLIES</v>
      </c>
      <c r="C89" s="11"/>
      <c r="D89" s="7"/>
      <c r="E89" s="2"/>
      <c r="F89" s="6">
        <f t="shared" si="61"/>
        <v>0</v>
      </c>
      <c r="G89" s="2"/>
      <c r="H89" s="7">
        <v>85</v>
      </c>
      <c r="I89" s="2"/>
      <c r="J89" s="6">
        <f t="shared" si="62"/>
        <v>1.2716935966487132E-3</v>
      </c>
      <c r="K89" s="2"/>
      <c r="L89" s="7">
        <f t="shared" si="63"/>
        <v>-85</v>
      </c>
      <c r="M89" s="2"/>
      <c r="N89" s="6">
        <f t="shared" si="64"/>
        <v>-1</v>
      </c>
      <c r="O89" s="11"/>
      <c r="P89" s="7"/>
      <c r="Q89" s="2"/>
      <c r="R89" s="6">
        <f t="shared" si="65"/>
        <v>0</v>
      </c>
      <c r="S89" s="2"/>
      <c r="T89" s="7">
        <v>430</v>
      </c>
      <c r="U89" s="2"/>
      <c r="V89" s="6">
        <f t="shared" si="66"/>
        <v>3.5095737908294022E-3</v>
      </c>
      <c r="W89" s="2"/>
      <c r="X89" s="7">
        <f t="shared" si="67"/>
        <v>-430</v>
      </c>
      <c r="Y89" s="2"/>
      <c r="Z89" s="6">
        <f t="shared" si="68"/>
        <v>-1</v>
      </c>
    </row>
    <row r="90" spans="1:26" s="24" customFormat="1" hidden="1" outlineLevel="2" x14ac:dyDescent="0.25">
      <c r="A90" s="28"/>
      <c r="B90" s="11" t="str">
        <f>CONCATENATE("          ", "6247", " - ", "STORE SUPPLIES")</f>
        <v xml:space="preserve">          6247 - STORE SUPPLIES</v>
      </c>
      <c r="C90" s="11"/>
      <c r="D90" s="7">
        <v>41</v>
      </c>
      <c r="E90" s="2"/>
      <c r="F90" s="6">
        <f t="shared" si="61"/>
        <v>0</v>
      </c>
      <c r="G90" s="2"/>
      <c r="H90" s="7">
        <v>1240</v>
      </c>
      <c r="I90" s="2"/>
      <c r="J90" s="6">
        <f t="shared" si="62"/>
        <v>1.8551765409934171E-2</v>
      </c>
      <c r="K90" s="2"/>
      <c r="L90" s="7">
        <f t="shared" si="63"/>
        <v>-1199</v>
      </c>
      <c r="M90" s="2"/>
      <c r="N90" s="6">
        <f t="shared" si="64"/>
        <v>-0.96693548387096773</v>
      </c>
      <c r="O90" s="11"/>
      <c r="P90" s="7">
        <v>121.28</v>
      </c>
      <c r="Q90" s="2"/>
      <c r="R90" s="6">
        <f t="shared" si="65"/>
        <v>4.6890163040746648E-2</v>
      </c>
      <c r="S90" s="2"/>
      <c r="T90" s="7">
        <v>9150</v>
      </c>
      <c r="U90" s="2"/>
      <c r="V90" s="6">
        <f t="shared" si="66"/>
        <v>7.4680465549044256E-2</v>
      </c>
      <c r="W90" s="2"/>
      <c r="X90" s="7">
        <f t="shared" si="67"/>
        <v>-9028.7199999999993</v>
      </c>
      <c r="Y90" s="2"/>
      <c r="Z90" s="6">
        <f t="shared" si="68"/>
        <v>-0.98674535519125672</v>
      </c>
    </row>
    <row r="91" spans="1:26" s="24" customFormat="1" hidden="1" outlineLevel="2" x14ac:dyDescent="0.25">
      <c r="A91" s="28"/>
      <c r="B91" s="11" t="str">
        <f>CONCATENATE("          ", "6248", " - ", "UNIFORMS")</f>
        <v xml:space="preserve">          6248 - UNIFORMS</v>
      </c>
      <c r="C91" s="11"/>
      <c r="D91" s="7"/>
      <c r="E91" s="2"/>
      <c r="F91" s="6">
        <f t="shared" si="61"/>
        <v>0</v>
      </c>
      <c r="G91" s="2"/>
      <c r="H91" s="7"/>
      <c r="I91" s="2"/>
      <c r="J91" s="6">
        <f t="shared" si="62"/>
        <v>0</v>
      </c>
      <c r="K91" s="2"/>
      <c r="L91" s="7">
        <f t="shared" si="63"/>
        <v>0</v>
      </c>
      <c r="M91" s="2"/>
      <c r="N91" s="6">
        <f t="shared" si="64"/>
        <v>0</v>
      </c>
      <c r="O91" s="11"/>
      <c r="P91" s="7"/>
      <c r="Q91" s="2"/>
      <c r="R91" s="6">
        <f t="shared" si="65"/>
        <v>0</v>
      </c>
      <c r="S91" s="2"/>
      <c r="T91" s="7">
        <v>100</v>
      </c>
      <c r="U91" s="2"/>
      <c r="V91" s="6">
        <f t="shared" si="66"/>
        <v>8.161799513556749E-4</v>
      </c>
      <c r="W91" s="2"/>
      <c r="X91" s="7">
        <f t="shared" si="67"/>
        <v>-100</v>
      </c>
      <c r="Y91" s="2"/>
      <c r="Z91" s="6">
        <f t="shared" si="68"/>
        <v>-1</v>
      </c>
    </row>
    <row r="92" spans="1:26" s="27" customFormat="1" outlineLevel="1" collapsed="1" x14ac:dyDescent="0.25">
      <c r="A92" s="29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SUM(OSRRefD22_17x_0)</f>
        <v>1151</v>
      </c>
      <c r="E92" s="1"/>
      <c r="F92" s="5">
        <f t="shared" ref="F92:F94" si="69">IF(D$12=0,0,D92/D$12)</f>
        <v>0</v>
      </c>
      <c r="G92" s="1"/>
      <c r="H92" s="1">
        <f>SUM(OSRRefH22_17x_0)</f>
        <v>383</v>
      </c>
      <c r="I92" s="1"/>
      <c r="J92" s="5">
        <f t="shared" ref="J92:J94" si="70">IF(H$12=0,0,H92/H$12)</f>
        <v>5.7301017354877319E-3</v>
      </c>
      <c r="K92" s="1"/>
      <c r="L92" s="1">
        <f t="shared" ref="L92:L94" si="71">+D92-H92</f>
        <v>768</v>
      </c>
      <c r="M92" s="1"/>
      <c r="N92" s="5">
        <f t="shared" ref="N92:N94" si="72">IF(H92=0,0,L92/H92)</f>
        <v>2.0052219321148823</v>
      </c>
      <c r="O92" s="14"/>
      <c r="P92" s="1">
        <f>SUM(OSRRefP22_17x_0)</f>
        <v>2257.2399999999998</v>
      </c>
      <c r="Q92" s="1"/>
      <c r="R92" s="5">
        <f t="shared" ref="R92:R94" si="73">IF(P$12=0,0,P92/P$12)</f>
        <v>0.87271068289985954</v>
      </c>
      <c r="S92" s="1"/>
      <c r="T92" s="1">
        <f>SUM(OSRRefT22_17x_0)</f>
        <v>1235</v>
      </c>
      <c r="U92" s="1"/>
      <c r="V92" s="5">
        <f t="shared" ref="V92:V94" si="74">IF(T$12=0,0,T92/T$12)</f>
        <v>1.0079822399242586E-2</v>
      </c>
      <c r="W92" s="1"/>
      <c r="X92" s="1">
        <f t="shared" ref="X92:X94" si="75">+P92-T92</f>
        <v>1022.2399999999998</v>
      </c>
      <c r="Y92" s="1"/>
      <c r="Z92" s="5">
        <f t="shared" ref="Z92:Z94" si="76">IF(T92=0,0,X92/T92)</f>
        <v>0.8277246963562751</v>
      </c>
    </row>
    <row r="93" spans="1:26" s="24" customFormat="1" hidden="1" outlineLevel="2" x14ac:dyDescent="0.25">
      <c r="A93" s="28"/>
      <c r="B93" s="11" t="str">
        <f>CONCATENATE("          ", "6303", " - ", "DATA PHONE LINES")</f>
        <v xml:space="preserve">          6303 - DATA PHONE LINES</v>
      </c>
      <c r="C93" s="11"/>
      <c r="D93" s="7"/>
      <c r="E93" s="2"/>
      <c r="F93" s="6">
        <f t="shared" si="69"/>
        <v>0</v>
      </c>
      <c r="G93" s="2"/>
      <c r="H93" s="7">
        <v>233</v>
      </c>
      <c r="I93" s="2"/>
      <c r="J93" s="6">
        <f t="shared" si="70"/>
        <v>3.4859365649311789E-3</v>
      </c>
      <c r="K93" s="2"/>
      <c r="L93" s="7">
        <f t="shared" si="71"/>
        <v>-233</v>
      </c>
      <c r="M93" s="2"/>
      <c r="N93" s="6">
        <f t="shared" si="72"/>
        <v>-1</v>
      </c>
      <c r="O93" s="11"/>
      <c r="P93" s="7"/>
      <c r="Q93" s="2"/>
      <c r="R93" s="6">
        <f t="shared" si="73"/>
        <v>0</v>
      </c>
      <c r="S93" s="2"/>
      <c r="T93" s="7">
        <v>935</v>
      </c>
      <c r="U93" s="2"/>
      <c r="V93" s="6">
        <f t="shared" si="74"/>
        <v>7.6312825451755606E-3</v>
      </c>
      <c r="W93" s="2"/>
      <c r="X93" s="7">
        <f t="shared" si="75"/>
        <v>-935</v>
      </c>
      <c r="Y93" s="2"/>
      <c r="Z93" s="6">
        <f t="shared" si="76"/>
        <v>-1</v>
      </c>
    </row>
    <row r="94" spans="1:26" s="24" customFormat="1" hidden="1" outlineLevel="2" x14ac:dyDescent="0.25">
      <c r="A94" s="28"/>
      <c r="B94" s="11" t="str">
        <f>CONCATENATE("          ", "6309", " - ", "TELEPHONE")</f>
        <v xml:space="preserve">          6309 - TELEPHONE</v>
      </c>
      <c r="C94" s="11"/>
      <c r="D94" s="7">
        <v>1151</v>
      </c>
      <c r="E94" s="2"/>
      <c r="F94" s="6">
        <f t="shared" si="69"/>
        <v>0</v>
      </c>
      <c r="G94" s="2"/>
      <c r="H94" s="7">
        <v>150</v>
      </c>
      <c r="I94" s="2"/>
      <c r="J94" s="6">
        <f t="shared" si="70"/>
        <v>2.244165170556553E-3</v>
      </c>
      <c r="K94" s="2"/>
      <c r="L94" s="7">
        <f t="shared" si="71"/>
        <v>1001</v>
      </c>
      <c r="M94" s="2"/>
      <c r="N94" s="6">
        <f t="shared" si="72"/>
        <v>6.6733333333333329</v>
      </c>
      <c r="O94" s="11"/>
      <c r="P94" s="7">
        <v>2257.2399999999998</v>
      </c>
      <c r="Q94" s="2"/>
      <c r="R94" s="6">
        <f t="shared" si="73"/>
        <v>0.87271068289985954</v>
      </c>
      <c r="S94" s="2"/>
      <c r="T94" s="7">
        <v>300</v>
      </c>
      <c r="U94" s="2"/>
      <c r="V94" s="6">
        <f t="shared" si="74"/>
        <v>2.4485398540670246E-3</v>
      </c>
      <c r="W94" s="2"/>
      <c r="X94" s="7">
        <f t="shared" si="75"/>
        <v>1957.2399999999998</v>
      </c>
      <c r="Y94" s="2"/>
      <c r="Z94" s="6">
        <f t="shared" si="76"/>
        <v>6.5241333333333325</v>
      </c>
    </row>
    <row r="95" spans="1:26" s="27" customFormat="1" outlineLevel="1" collapsed="1" x14ac:dyDescent="0.25">
      <c r="A95" s="29"/>
      <c r="B95" s="14" t="str">
        <f>CONCATENATE("     ","Training                                          ")</f>
        <v xml:space="preserve">     Training                                          </v>
      </c>
      <c r="C95" s="14"/>
      <c r="D95" s="1">
        <f>SUM(OSRRefD22_18x_0)</f>
        <v>0</v>
      </c>
      <c r="E95" s="1"/>
      <c r="F95" s="5">
        <f t="shared" ref="F95:F100" si="77">IF(D$12=0,0,D95/D$12)</f>
        <v>0</v>
      </c>
      <c r="G95" s="1"/>
      <c r="H95" s="1">
        <f>SUM(OSRRefH22_18x_0)</f>
        <v>0</v>
      </c>
      <c r="I95" s="1"/>
      <c r="J95" s="5">
        <f t="shared" ref="J95:J100" si="78">IF(H$12=0,0,H95/H$12)</f>
        <v>0</v>
      </c>
      <c r="K95" s="1"/>
      <c r="L95" s="1">
        <f t="shared" ref="L95:L100" si="79">+D95-H95</f>
        <v>0</v>
      </c>
      <c r="M95" s="1"/>
      <c r="N95" s="5">
        <f t="shared" ref="N95:N100" si="80">IF(H95=0,0,L95/H95)</f>
        <v>0</v>
      </c>
      <c r="O95" s="14"/>
      <c r="P95" s="1">
        <f>SUM(OSRRefP22_18x_0)</f>
        <v>0</v>
      </c>
      <c r="Q95" s="1"/>
      <c r="R95" s="5">
        <f t="shared" ref="R95:R100" si="81">IF(P$12=0,0,P95/P$12)</f>
        <v>0</v>
      </c>
      <c r="S95" s="1"/>
      <c r="T95" s="1">
        <f>SUM(OSRRefT22_18x_0)</f>
        <v>120</v>
      </c>
      <c r="U95" s="1"/>
      <c r="V95" s="5">
        <f t="shared" ref="V95:V100" si="82">IF(T$12=0,0,T95/T$12)</f>
        <v>9.7941594162680992E-4</v>
      </c>
      <c r="W95" s="1"/>
      <c r="X95" s="1">
        <f t="shared" ref="X95:X100" si="83">+P95-T95</f>
        <v>-120</v>
      </c>
      <c r="Y95" s="1"/>
      <c r="Z95" s="5">
        <f t="shared" ref="Z95:Z100" si="84">IF(T95=0,0,X95/T95)</f>
        <v>-1</v>
      </c>
    </row>
    <row r="96" spans="1:26" s="24" customFormat="1" hidden="1" outlineLevel="2" x14ac:dyDescent="0.25">
      <c r="A96" s="28"/>
      <c r="B96" s="11" t="str">
        <f>CONCATENATE("          ", "6376", " - ", "TRAINING")</f>
        <v xml:space="preserve">          6376 - TRAINING</v>
      </c>
      <c r="C96" s="11"/>
      <c r="D96" s="7"/>
      <c r="E96" s="2"/>
      <c r="F96" s="6">
        <f t="shared" si="77"/>
        <v>0</v>
      </c>
      <c r="G96" s="2"/>
      <c r="H96" s="7"/>
      <c r="I96" s="2"/>
      <c r="J96" s="6">
        <f t="shared" si="78"/>
        <v>0</v>
      </c>
      <c r="K96" s="2"/>
      <c r="L96" s="7">
        <f t="shared" si="79"/>
        <v>0</v>
      </c>
      <c r="M96" s="2"/>
      <c r="N96" s="6">
        <f t="shared" si="80"/>
        <v>0</v>
      </c>
      <c r="O96" s="11"/>
      <c r="P96" s="7"/>
      <c r="Q96" s="2"/>
      <c r="R96" s="6">
        <f t="shared" si="81"/>
        <v>0</v>
      </c>
      <c r="S96" s="2"/>
      <c r="T96" s="7">
        <v>120</v>
      </c>
      <c r="U96" s="2"/>
      <c r="V96" s="6">
        <f t="shared" si="82"/>
        <v>9.7941594162680992E-4</v>
      </c>
      <c r="W96" s="2"/>
      <c r="X96" s="7">
        <f t="shared" si="83"/>
        <v>-120</v>
      </c>
      <c r="Y96" s="2"/>
      <c r="Z96" s="6">
        <f t="shared" si="84"/>
        <v>-1</v>
      </c>
    </row>
    <row r="97" spans="1:26" s="27" customFormat="1" outlineLevel="1" collapsed="1" x14ac:dyDescent="0.25">
      <c r="A97" s="29"/>
      <c r="B97" s="14" t="str">
        <f>CONCATENATE("     ","Travel                                            ")</f>
        <v xml:space="preserve">     Travel                                            </v>
      </c>
      <c r="C97" s="14"/>
      <c r="D97" s="1">
        <f>SUM(OSRRefD22_19x_0)</f>
        <v>0</v>
      </c>
      <c r="E97" s="1"/>
      <c r="F97" s="5">
        <f t="shared" si="77"/>
        <v>0</v>
      </c>
      <c r="G97" s="1"/>
      <c r="H97" s="1">
        <f>SUM(OSRRefH22_19x_0)</f>
        <v>1500</v>
      </c>
      <c r="I97" s="1"/>
      <c r="J97" s="5">
        <f t="shared" si="78"/>
        <v>2.244165170556553E-2</v>
      </c>
      <c r="K97" s="1"/>
      <c r="L97" s="1">
        <f t="shared" si="79"/>
        <v>-1500</v>
      </c>
      <c r="M97" s="1"/>
      <c r="N97" s="5">
        <f t="shared" si="80"/>
        <v>-1</v>
      </c>
      <c r="O97" s="14"/>
      <c r="P97" s="1">
        <f>SUM(OSRRefP22_19x_0)</f>
        <v>0</v>
      </c>
      <c r="Q97" s="1"/>
      <c r="R97" s="5">
        <f t="shared" si="81"/>
        <v>0</v>
      </c>
      <c r="S97" s="1"/>
      <c r="T97" s="1">
        <f>SUM(OSRRefT22_19x_0)</f>
        <v>1500</v>
      </c>
      <c r="U97" s="1"/>
      <c r="V97" s="5">
        <f t="shared" si="82"/>
        <v>1.2242699270335123E-2</v>
      </c>
      <c r="W97" s="1"/>
      <c r="X97" s="1">
        <f t="shared" si="83"/>
        <v>-1500</v>
      </c>
      <c r="Y97" s="1"/>
      <c r="Z97" s="5">
        <f t="shared" si="84"/>
        <v>-1</v>
      </c>
    </row>
    <row r="98" spans="1:26" s="24" customFormat="1" hidden="1" outlineLevel="2" x14ac:dyDescent="0.25">
      <c r="A98" s="28"/>
      <c r="B98" s="11" t="str">
        <f>CONCATENATE("          ", "6292", " - ", "TRAVEL/CONFERENCE")</f>
        <v xml:space="preserve">          6292 - TRAVEL/CONFERENCE</v>
      </c>
      <c r="C98" s="11"/>
      <c r="D98" s="7"/>
      <c r="E98" s="2"/>
      <c r="F98" s="6">
        <f t="shared" si="77"/>
        <v>0</v>
      </c>
      <c r="G98" s="2"/>
      <c r="H98" s="7">
        <v>1500</v>
      </c>
      <c r="I98" s="2"/>
      <c r="J98" s="6">
        <f t="shared" si="78"/>
        <v>2.244165170556553E-2</v>
      </c>
      <c r="K98" s="2"/>
      <c r="L98" s="7">
        <f t="shared" si="79"/>
        <v>-1500</v>
      </c>
      <c r="M98" s="2"/>
      <c r="N98" s="6">
        <f t="shared" si="80"/>
        <v>-1</v>
      </c>
      <c r="O98" s="11"/>
      <c r="P98" s="7"/>
      <c r="Q98" s="2"/>
      <c r="R98" s="6">
        <f t="shared" si="81"/>
        <v>0</v>
      </c>
      <c r="S98" s="2"/>
      <c r="T98" s="7">
        <v>1500</v>
      </c>
      <c r="U98" s="2"/>
      <c r="V98" s="6">
        <f t="shared" si="82"/>
        <v>1.2242699270335123E-2</v>
      </c>
      <c r="W98" s="2"/>
      <c r="X98" s="7">
        <f t="shared" si="83"/>
        <v>-1500</v>
      </c>
      <c r="Y98" s="2"/>
      <c r="Z98" s="6">
        <f t="shared" si="84"/>
        <v>-1</v>
      </c>
    </row>
    <row r="99" spans="1:26" s="27" customFormat="1" outlineLevel="1" collapsed="1" x14ac:dyDescent="0.25">
      <c r="A99" s="29"/>
      <c r="B99" s="14" t="str">
        <f>CONCATENATE("     ","Utilities                                         ")</f>
        <v xml:space="preserve">     Utilities                                         </v>
      </c>
      <c r="C99" s="14"/>
      <c r="D99" s="1">
        <f>SUM(OSRRefD22_20x_0)</f>
        <v>1136</v>
      </c>
      <c r="E99" s="1"/>
      <c r="F99" s="5">
        <f t="shared" si="77"/>
        <v>0</v>
      </c>
      <c r="G99" s="1"/>
      <c r="H99" s="1">
        <f>SUM(OSRRefH22_20x_0)</f>
        <v>821</v>
      </c>
      <c r="I99" s="1"/>
      <c r="J99" s="5">
        <f t="shared" si="78"/>
        <v>1.2283064033512866E-2</v>
      </c>
      <c r="K99" s="1"/>
      <c r="L99" s="1">
        <f t="shared" si="79"/>
        <v>315</v>
      </c>
      <c r="M99" s="1"/>
      <c r="N99" s="5">
        <f t="shared" si="80"/>
        <v>0.38367844092570036</v>
      </c>
      <c r="O99" s="14"/>
      <c r="P99" s="1">
        <f>SUM(OSRRefP22_20x_0)</f>
        <v>1286</v>
      </c>
      <c r="Q99" s="1"/>
      <c r="R99" s="5">
        <f t="shared" si="81"/>
        <v>0.4972027512401071</v>
      </c>
      <c r="S99" s="1"/>
      <c r="T99" s="1">
        <f>SUM(OSRRefT22_20x_0)</f>
        <v>2513</v>
      </c>
      <c r="U99" s="1"/>
      <c r="V99" s="5">
        <f t="shared" si="82"/>
        <v>2.0510602177568109E-2</v>
      </c>
      <c r="W99" s="1"/>
      <c r="X99" s="1">
        <f t="shared" si="83"/>
        <v>-1227</v>
      </c>
      <c r="Y99" s="1"/>
      <c r="Z99" s="5">
        <f t="shared" si="84"/>
        <v>-0.48826104257859132</v>
      </c>
    </row>
    <row r="100" spans="1:26" s="24" customFormat="1" hidden="1" outlineLevel="2" x14ac:dyDescent="0.25">
      <c r="A100" s="28"/>
      <c r="B100" s="11" t="str">
        <f>CONCATENATE("          ", "6274", " - ", "UTILITIES")</f>
        <v xml:space="preserve">          6274 - UTILITIES</v>
      </c>
      <c r="C100" s="11"/>
      <c r="D100" s="7">
        <v>1136</v>
      </c>
      <c r="E100" s="2"/>
      <c r="F100" s="6">
        <f t="shared" si="77"/>
        <v>0</v>
      </c>
      <c r="G100" s="2"/>
      <c r="H100" s="7">
        <v>821</v>
      </c>
      <c r="I100" s="2"/>
      <c r="J100" s="6">
        <f t="shared" si="78"/>
        <v>1.2283064033512866E-2</v>
      </c>
      <c r="K100" s="2"/>
      <c r="L100" s="7">
        <f t="shared" si="79"/>
        <v>315</v>
      </c>
      <c r="M100" s="2"/>
      <c r="N100" s="6">
        <f t="shared" si="80"/>
        <v>0.38367844092570036</v>
      </c>
      <c r="O100" s="11"/>
      <c r="P100" s="7">
        <v>1286</v>
      </c>
      <c r="Q100" s="2"/>
      <c r="R100" s="6">
        <f t="shared" si="81"/>
        <v>0.4972027512401071</v>
      </c>
      <c r="S100" s="2"/>
      <c r="T100" s="7">
        <v>2513</v>
      </c>
      <c r="U100" s="2"/>
      <c r="V100" s="6">
        <f t="shared" si="82"/>
        <v>2.0510602177568109E-2</v>
      </c>
      <c r="W100" s="2"/>
      <c r="X100" s="7">
        <f t="shared" si="83"/>
        <v>-1227</v>
      </c>
      <c r="Y100" s="2"/>
      <c r="Z100" s="6">
        <f t="shared" si="84"/>
        <v>-0.48826104257859132</v>
      </c>
    </row>
    <row r="101" spans="1:26" s="63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x14ac:dyDescent="0.25">
      <c r="A102" s="10"/>
      <c r="B102" s="25" t="s">
        <v>0</v>
      </c>
      <c r="C102" s="10"/>
      <c r="D102" s="4">
        <f>SUM(0)</f>
        <v>0</v>
      </c>
      <c r="E102" s="4"/>
      <c r="F102" s="12">
        <f>IF(D$12=0,0,D102/D$12)</f>
        <v>0</v>
      </c>
      <c r="G102" s="4"/>
      <c r="H102" s="4">
        <f>SUM(0)</f>
        <v>0</v>
      </c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>
        <f>SUM(0)</f>
        <v>0</v>
      </c>
      <c r="Q102" s="4"/>
      <c r="R102" s="12">
        <f>IF(P$12=0,0,P102/P$12)</f>
        <v>0</v>
      </c>
      <c r="S102" s="4"/>
      <c r="T102" s="4">
        <f>SUM(0)</f>
        <v>0</v>
      </c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6" t="s">
        <v>3</v>
      </c>
      <c r="C104" s="26"/>
      <c r="D104" s="20">
        <f>+D24-D26+D102</f>
        <v>-39453.07</v>
      </c>
      <c r="E104" s="13"/>
      <c r="F104" s="19">
        <f>IF(D$12=0,0,D104/D$12)</f>
        <v>0</v>
      </c>
      <c r="G104" s="13"/>
      <c r="H104" s="20">
        <f>+H24-H26+H102</f>
        <v>-25118.913928500006</v>
      </c>
      <c r="I104" s="13"/>
      <c r="J104" s="19">
        <f>IF(H$12=0,0,H104/H$12)</f>
        <v>-0.37580661173698393</v>
      </c>
      <c r="K104" s="15"/>
      <c r="L104" s="20">
        <f>+D104-H104</f>
        <v>-14334.156071499994</v>
      </c>
      <c r="M104" s="15"/>
      <c r="N104" s="19">
        <f>IF(H104=0,0,L104/H104)</f>
        <v>0.57065190446934144</v>
      </c>
      <c r="O104" s="25"/>
      <c r="P104" s="20">
        <f>+P24-P26+P102</f>
        <v>-132090.85</v>
      </c>
      <c r="Q104" s="13"/>
      <c r="R104" s="19">
        <f>IF(P$12=0,0,P104/P$12)</f>
        <v>-51.069933152133984</v>
      </c>
      <c r="S104" s="13"/>
      <c r="T104" s="20">
        <f>+T24-T26+T102</f>
        <v>-133583.73764430001</v>
      </c>
      <c r="U104" s="13"/>
      <c r="V104" s="19">
        <f>IF(T$12=0,0,T104/T$12)</f>
        <v>-1.0902836849243402</v>
      </c>
      <c r="W104" s="15"/>
      <c r="X104" s="20">
        <f>+P104-T104</f>
        <v>1492.8876443000045</v>
      </c>
      <c r="Y104" s="15"/>
      <c r="Z104" s="19">
        <f>IF(T104=0,0,X104/T104)</f>
        <v>-1.117566906441254E-2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2"/>
      <c r="B106" s="10" t="s">
        <v>14</v>
      </c>
      <c r="C106" s="10"/>
      <c r="D106" s="4">
        <v>81.13</v>
      </c>
      <c r="E106" s="4"/>
      <c r="F106" s="12">
        <f>IF(D$12=0,0,D106/D$12)</f>
        <v>0</v>
      </c>
      <c r="G106" s="4"/>
      <c r="H106" s="4">
        <v>12008</v>
      </c>
      <c r="I106" s="4"/>
      <c r="J106" s="12">
        <f>IF(H$12=0,0,H106/H$12)</f>
        <v>0.17965290245362059</v>
      </c>
      <c r="K106" s="4"/>
      <c r="L106" s="4">
        <f>+D106-H106</f>
        <v>-11926.87</v>
      </c>
      <c r="M106" s="4"/>
      <c r="N106" s="12">
        <f>IF(H106=0,0,L106/H106)</f>
        <v>-0.99324367088607601</v>
      </c>
      <c r="O106" s="10"/>
      <c r="P106" s="4">
        <v>560.29</v>
      </c>
      <c r="Q106" s="4"/>
      <c r="R106" s="12">
        <f>IF(P$12=0,0,P106/P$12)</f>
        <v>0.21662342884317232</v>
      </c>
      <c r="S106" s="4"/>
      <c r="T106" s="4">
        <v>20058</v>
      </c>
      <c r="U106" s="4"/>
      <c r="V106" s="12">
        <f>IF(T$12=0,0,T106/T$12)</f>
        <v>0.16370937464292126</v>
      </c>
      <c r="W106" s="4"/>
      <c r="X106" s="4">
        <f>+P106-T106</f>
        <v>-19497.71</v>
      </c>
      <c r="Y106" s="4"/>
      <c r="Z106" s="12">
        <f>IF(T106=0,0,X106/T106)</f>
        <v>-0.97206650712932496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6" t="s">
        <v>4</v>
      </c>
      <c r="C108" s="26"/>
      <c r="D108" s="34">
        <f>+D104-D106</f>
        <v>-39534.199999999997</v>
      </c>
      <c r="E108" s="13"/>
      <c r="F108" s="35">
        <f>IF(D$12=0,0,D108/D$12)</f>
        <v>0</v>
      </c>
      <c r="G108" s="13"/>
      <c r="H108" s="34">
        <f>+H104-H106</f>
        <v>-37126.913928500006</v>
      </c>
      <c r="I108" s="13"/>
      <c r="J108" s="35">
        <f>IF(H$12=0,0,H108/H$12)</f>
        <v>-0.55545951419060446</v>
      </c>
      <c r="K108" s="15"/>
      <c r="L108" s="34">
        <f>D108-H108</f>
        <v>-2407.2860714999915</v>
      </c>
      <c r="M108" s="15"/>
      <c r="N108" s="35">
        <f>IF(H108=0,0,L108/H108)</f>
        <v>6.48393797592767E-2</v>
      </c>
      <c r="O108" s="25"/>
      <c r="P108" s="34">
        <f>+P104-P106</f>
        <v>-132651.14000000001</v>
      </c>
      <c r="Q108" s="13"/>
      <c r="R108" s="35">
        <f>IF(P$12=0,0,P108/P$12)</f>
        <v>-51.286556580977162</v>
      </c>
      <c r="S108" s="13"/>
      <c r="T108" s="34">
        <f>+T104-T106</f>
        <v>-153641.73764430001</v>
      </c>
      <c r="U108" s="13"/>
      <c r="V108" s="35">
        <f>IF(T$12=0,0,T108/T$12)</f>
        <v>-1.2539930595672615</v>
      </c>
      <c r="W108" s="15"/>
      <c r="X108" s="34">
        <f>P108-T108</f>
        <v>20990.597644299996</v>
      </c>
      <c r="Y108" s="15"/>
      <c r="Z108" s="35">
        <f>IF(T108=0,0,X108/T108)</f>
        <v>-0.13662041295637958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6" t="s">
        <v>5</v>
      </c>
      <c r="C111" s="26"/>
      <c r="D111" s="30">
        <f>SUM(D108:D110)</f>
        <v>-39534.199999999997</v>
      </c>
      <c r="E111" s="13"/>
      <c r="F111" s="32">
        <f>IF(D$12=0,0,D111/D$12)</f>
        <v>0</v>
      </c>
      <c r="G111" s="13"/>
      <c r="H111" s="30">
        <f>SUM(H108:H110)</f>
        <v>-37126.913928500006</v>
      </c>
      <c r="I111" s="13"/>
      <c r="J111" s="32">
        <f>IF(H$12=0,0,H111/H$12)</f>
        <v>-0.55545951419060446</v>
      </c>
      <c r="K111" s="15"/>
      <c r="L111" s="30">
        <f>+D111-H111</f>
        <v>-2407.2860714999915</v>
      </c>
      <c r="M111" s="15"/>
      <c r="N111" s="32">
        <f>IF(H111=0,0,L111/H111)</f>
        <v>6.48393797592767E-2</v>
      </c>
      <c r="O111" s="25"/>
      <c r="P111" s="30">
        <f>SUM(P108:P110)</f>
        <v>-132651.14000000001</v>
      </c>
      <c r="Q111" s="13"/>
      <c r="R111" s="32">
        <f>IF(P$12=0,0,P111/P$12)</f>
        <v>-51.286556580977162</v>
      </c>
      <c r="S111" s="13"/>
      <c r="T111" s="30">
        <f>SUM(T108:T110)</f>
        <v>-153641.73764430001</v>
      </c>
      <c r="U111" s="13"/>
      <c r="V111" s="32">
        <f>IF(T$12=0,0,T111/T$12)</f>
        <v>-1.2539930595672615</v>
      </c>
      <c r="W111" s="15"/>
      <c r="X111" s="30">
        <f>+P111-T111</f>
        <v>20990.597644299996</v>
      </c>
      <c r="Y111" s="15"/>
      <c r="Z111" s="32">
        <f>IF(T111=0,0,X111/T111)</f>
        <v>-0.13662041295637958</v>
      </c>
    </row>
    <row r="112" spans="1:26" ht="15.75" thickTop="1" x14ac:dyDescent="0.25">
      <c r="A112" s="9"/>
      <c r="C112" s="9"/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60">
        <v>44151.567776076387</v>
      </c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A114" s="9"/>
      <c r="B114" s="58" t="s">
        <v>314</v>
      </c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25">
      <c r="A115" s="9"/>
      <c r="B115" s="53"/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4" x14ac:dyDescent="0.25"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","309", " - ", "Carts")</f>
        <v>Department 309 - Carts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</v>
      </c>
      <c r="I12" s="4"/>
      <c r="J12" s="12"/>
      <c r="K12" s="4"/>
      <c r="L12" s="4">
        <f t="shared" ref="L12:L13" si="0">+D12-H12</f>
        <v>-1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</v>
      </c>
      <c r="U12" s="4"/>
      <c r="V12" s="12"/>
      <c r="W12" s="4"/>
      <c r="X12" s="4">
        <f t="shared" ref="X12:X13" si="2">+P12-T12</f>
        <v>-2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1</v>
      </c>
      <c r="I13" s="2"/>
      <c r="J13" s="22"/>
      <c r="K13" s="2"/>
      <c r="L13" s="2">
        <f t="shared" si="0"/>
        <v>-1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</v>
      </c>
      <c r="U13" s="2"/>
      <c r="V13" s="22"/>
      <c r="W13" s="2"/>
      <c r="X13" s="2">
        <f t="shared" si="2"/>
        <v>-2</v>
      </c>
      <c r="Y13" s="2"/>
      <c r="Z13" s="22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>
        <f>D12-D15</f>
        <v>0</v>
      </c>
      <c r="E18" s="13"/>
      <c r="F18" s="19">
        <f>IF(D$12=0,0,D18/D$12)</f>
        <v>0</v>
      </c>
      <c r="G18" s="13"/>
      <c r="H18" s="20">
        <f>H12-H15</f>
        <v>1</v>
      </c>
      <c r="I18" s="13"/>
      <c r="J18" s="19">
        <f>IF(H$12=0,0,H18/H$12)</f>
        <v>1</v>
      </c>
      <c r="K18" s="15"/>
      <c r="L18" s="20">
        <f>+D18-H18</f>
        <v>-1</v>
      </c>
      <c r="M18" s="15"/>
      <c r="N18" s="19">
        <f>IF(H18=0,0,L18/H18)</f>
        <v>-1</v>
      </c>
      <c r="O18" s="25"/>
      <c r="P18" s="20">
        <f>P12-P15</f>
        <v>0</v>
      </c>
      <c r="Q18" s="13"/>
      <c r="R18" s="19">
        <f>IF(P$12=0,0,P18/P$12)</f>
        <v>0</v>
      </c>
      <c r="S18" s="13"/>
      <c r="T18" s="20">
        <f>T12-T15</f>
        <v>2</v>
      </c>
      <c r="U18" s="13"/>
      <c r="V18" s="19">
        <f>IF(T$12=0,0,T18/T$12)</f>
        <v>1</v>
      </c>
      <c r="W18" s="15"/>
      <c r="X18" s="20">
        <f>+P18-T18</f>
        <v>-2</v>
      </c>
      <c r="Y18" s="15"/>
      <c r="Z18" s="19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>
        <f>SUM(OSRRefD22x_0)</f>
        <v>1206.6200000000001</v>
      </c>
      <c r="E20" s="21"/>
      <c r="F20" s="31">
        <f t="shared" ref="F20:F29" si="12">IF(D$12=0,0,D20/D$12)</f>
        <v>0</v>
      </c>
      <c r="G20" s="21"/>
      <c r="H20" s="21">
        <f>SUM(OSRRefH22x_0)</f>
        <v>0</v>
      </c>
      <c r="I20" s="21"/>
      <c r="J20" s="31">
        <f t="shared" ref="J20:J29" si="13">IF(H$12=0,0,H20/H$12)</f>
        <v>0</v>
      </c>
      <c r="K20" s="4"/>
      <c r="L20" s="21">
        <f t="shared" ref="L20:L29" si="14">+D20-H20</f>
        <v>1206.6200000000001</v>
      </c>
      <c r="M20" s="4"/>
      <c r="N20" s="31">
        <f t="shared" ref="N20:N29" si="15">IF(H20=0,0,L20/H20)</f>
        <v>0</v>
      </c>
      <c r="O20" s="10"/>
      <c r="P20" s="21">
        <f>SUM(OSRRefP22x_0)</f>
        <v>2788.01</v>
      </c>
      <c r="Q20" s="21"/>
      <c r="R20" s="31">
        <f t="shared" ref="R20:R29" si="16">IF(P$12=0,0,P20/P$12)</f>
        <v>0</v>
      </c>
      <c r="S20" s="21"/>
      <c r="T20" s="21">
        <f>SUM(OSRRefT22x_0)</f>
        <v>0</v>
      </c>
      <c r="U20" s="21"/>
      <c r="V20" s="31">
        <f t="shared" ref="V20:V29" si="17">IF(T$12=0,0,T20/T$12)</f>
        <v>0</v>
      </c>
      <c r="W20" s="4"/>
      <c r="X20" s="21">
        <f t="shared" ref="X20:X29" si="18">+P20-T20</f>
        <v>2788.01</v>
      </c>
      <c r="Y20" s="4"/>
      <c r="Z20" s="31">
        <f t="shared" ref="Z20:Z29" si="19">IF(T20=0,0,X20/T20)</f>
        <v>0</v>
      </c>
    </row>
    <row r="21" spans="1:26" s="27" customFormat="1" outlineLevel="1" collapsed="1" x14ac:dyDescent="0.25">
      <c r="A21" s="29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8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8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8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8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8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8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7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7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1" si="28">IF(D$12=0,0,D41/D$12)</f>
        <v>0</v>
      </c>
      <c r="G41" s="1"/>
      <c r="H41" s="1">
        <f>SUM(OSRRefH22_2x_0)</f>
        <v>0</v>
      </c>
      <c r="I41" s="1"/>
      <c r="J41" s="5">
        <f t="shared" ref="J41:J51" si="29">IF(H$12=0,0,H41/H$12)</f>
        <v>0</v>
      </c>
      <c r="K41" s="1"/>
      <c r="L41" s="1">
        <f t="shared" ref="L41:L51" si="30">+D41-H41</f>
        <v>0</v>
      </c>
      <c r="M41" s="1"/>
      <c r="N41" s="5">
        <f t="shared" ref="N41:N51" si="31">IF(H41=0,0,L41/H41)</f>
        <v>0</v>
      </c>
      <c r="O41" s="14"/>
      <c r="P41" s="1">
        <f>SUM(OSRRefP22_2x_0)</f>
        <v>0</v>
      </c>
      <c r="Q41" s="1"/>
      <c r="R41" s="5">
        <f t="shared" ref="R41:R51" si="32">IF(P$12=0,0,P41/P$12)</f>
        <v>0</v>
      </c>
      <c r="S41" s="1"/>
      <c r="T41" s="1">
        <f>SUM(OSRRefT22_2x_0)</f>
        <v>0</v>
      </c>
      <c r="U41" s="1"/>
      <c r="V41" s="5">
        <f t="shared" ref="V41:V51" si="33">IF(T$12=0,0,T41/T$12)</f>
        <v>0</v>
      </c>
      <c r="W41" s="1"/>
      <c r="X41" s="1">
        <f t="shared" ref="X41:X51" si="34">+P41-T41</f>
        <v>0</v>
      </c>
      <c r="Y41" s="1"/>
      <c r="Z41" s="5">
        <f t="shared" ref="Z41:Z51" si="35">IF(T41=0,0,X41/T41)</f>
        <v>0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7" customFormat="1" outlineLevel="1" collapsed="1" x14ac:dyDescent="0.25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7" customFormat="1" outlineLevel="1" collapsed="1" x14ac:dyDescent="0.25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588.16999999999996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588.16999999999996</v>
      </c>
      <c r="M45" s="1"/>
      <c r="N45" s="5">
        <f t="shared" si="31"/>
        <v>0</v>
      </c>
      <c r="O45" s="14"/>
      <c r="P45" s="1">
        <f>SUM(OSRRefP22_4x_0)</f>
        <v>2088.46</v>
      </c>
      <c r="Q45" s="1"/>
      <c r="R45" s="5">
        <f t="shared" si="32"/>
        <v>0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2088.46</v>
      </c>
      <c r="Y45" s="1"/>
      <c r="Z45" s="5">
        <f t="shared" si="35"/>
        <v>0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588.16999999999996</v>
      </c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588.16999999999996</v>
      </c>
      <c r="M46" s="2"/>
      <c r="N46" s="6">
        <f t="shared" si="31"/>
        <v>0</v>
      </c>
      <c r="O46" s="11"/>
      <c r="P46" s="7">
        <v>2088.46</v>
      </c>
      <c r="Q46" s="2"/>
      <c r="R46" s="6">
        <f t="shared" si="32"/>
        <v>0</v>
      </c>
      <c r="S46" s="2"/>
      <c r="T46" s="7"/>
      <c r="U46" s="2"/>
      <c r="V46" s="6">
        <f t="shared" si="33"/>
        <v>0</v>
      </c>
      <c r="W46" s="2"/>
      <c r="X46" s="7">
        <f t="shared" si="34"/>
        <v>2088.46</v>
      </c>
      <c r="Y46" s="2"/>
      <c r="Z46" s="6">
        <f t="shared" si="35"/>
        <v>0</v>
      </c>
    </row>
    <row r="47" spans="1:26" s="27" customFormat="1" outlineLevel="1" collapsed="1" x14ac:dyDescent="0.25">
      <c r="A47" s="29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4"/>
      <c r="P47" s="1">
        <f>SUM(OSRRefP22_5x_0)</f>
        <v>0</v>
      </c>
      <c r="Q47" s="1"/>
      <c r="R47" s="5">
        <f t="shared" si="32"/>
        <v>0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"6279", " - ", "GENERAL EXPENSE")</f>
        <v xml:space="preserve">          6279 - GENERAL EXPENSE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/>
      <c r="Q48" s="2"/>
      <c r="R48" s="6">
        <f t="shared" si="32"/>
        <v>0</v>
      </c>
      <c r="S48" s="2"/>
      <c r="T48" s="7">
        <v>0</v>
      </c>
      <c r="U48" s="2"/>
      <c r="V48" s="6">
        <f t="shared" si="33"/>
        <v>0</v>
      </c>
      <c r="W48" s="2"/>
      <c r="X48" s="7">
        <f t="shared" si="34"/>
        <v>0</v>
      </c>
      <c r="Y48" s="2"/>
      <c r="Z48" s="6">
        <f t="shared" si="35"/>
        <v>0</v>
      </c>
    </row>
    <row r="49" spans="1:26" s="27" customFormat="1" outlineLevel="1" collapsed="1" x14ac:dyDescent="0.25">
      <c r="A49" s="29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SUM(OSRRefD22_6x_0)</f>
        <v>22.02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22.02</v>
      </c>
      <c r="M49" s="1"/>
      <c r="N49" s="5">
        <f t="shared" si="31"/>
        <v>0</v>
      </c>
      <c r="O49" s="14"/>
      <c r="P49" s="1">
        <f>SUM(OSRRefP22_6x_0)</f>
        <v>302.14999999999998</v>
      </c>
      <c r="Q49" s="1"/>
      <c r="R49" s="5">
        <f t="shared" si="32"/>
        <v>0</v>
      </c>
      <c r="S49" s="1"/>
      <c r="T49" s="1">
        <f>SUM(OSRRefT22_6x_0)</f>
        <v>0</v>
      </c>
      <c r="U49" s="1"/>
      <c r="V49" s="5">
        <f t="shared" si="33"/>
        <v>0</v>
      </c>
      <c r="W49" s="1"/>
      <c r="X49" s="1">
        <f t="shared" si="34"/>
        <v>302.14999999999998</v>
      </c>
      <c r="Y49" s="1"/>
      <c r="Z49" s="5">
        <f t="shared" si="35"/>
        <v>0</v>
      </c>
    </row>
    <row r="50" spans="1:26" s="24" customFormat="1" hidden="1" outlineLevel="2" x14ac:dyDescent="0.25">
      <c r="A50" s="28"/>
      <c r="B50" s="11" t="str">
        <f>CONCATENATE("          ", "6373", " - ", "MAINTENANCE CONTRACTS")</f>
        <v xml:space="preserve">          6373 - MAINTENANCE CONTRACTS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166.13</v>
      </c>
      <c r="Q50" s="2"/>
      <c r="R50" s="6">
        <f t="shared" si="32"/>
        <v>0</v>
      </c>
      <c r="S50" s="2"/>
      <c r="T50" s="7"/>
      <c r="U50" s="2"/>
      <c r="V50" s="6">
        <f t="shared" si="33"/>
        <v>0</v>
      </c>
      <c r="W50" s="2"/>
      <c r="X50" s="7">
        <f t="shared" si="34"/>
        <v>166.13</v>
      </c>
      <c r="Y50" s="2"/>
      <c r="Z50" s="6">
        <f t="shared" si="35"/>
        <v>0</v>
      </c>
    </row>
    <row r="51" spans="1:26" s="24" customFormat="1" hidden="1" outlineLevel="2" x14ac:dyDescent="0.25">
      <c r="A51" s="28"/>
      <c r="B51" s="11" t="str">
        <f>CONCATENATE("          ", "6375", " - ", "OUTSIDE REPAIRS &amp; MAINTENANCE")</f>
        <v xml:space="preserve">          6375 - OUTSIDE REPAIRS &amp; MAINTENANCE</v>
      </c>
      <c r="C51" s="11"/>
      <c r="D51" s="7">
        <v>22.02</v>
      </c>
      <c r="E51" s="2"/>
      <c r="F51" s="6">
        <f t="shared" si="28"/>
        <v>0</v>
      </c>
      <c r="G51" s="2"/>
      <c r="H51" s="7">
        <v>0</v>
      </c>
      <c r="I51" s="2"/>
      <c r="J51" s="6">
        <f t="shared" si="29"/>
        <v>0</v>
      </c>
      <c r="K51" s="2"/>
      <c r="L51" s="7">
        <f t="shared" si="30"/>
        <v>22.02</v>
      </c>
      <c r="M51" s="2"/>
      <c r="N51" s="6">
        <f t="shared" si="31"/>
        <v>0</v>
      </c>
      <c r="O51" s="11"/>
      <c r="P51" s="7">
        <v>136.02000000000001</v>
      </c>
      <c r="Q51" s="2"/>
      <c r="R51" s="6">
        <f t="shared" si="32"/>
        <v>0</v>
      </c>
      <c r="S51" s="2"/>
      <c r="T51" s="7">
        <v>0</v>
      </c>
      <c r="U51" s="2"/>
      <c r="V51" s="6">
        <f t="shared" si="33"/>
        <v>0</v>
      </c>
      <c r="W51" s="2"/>
      <c r="X51" s="7">
        <f t="shared" si="34"/>
        <v>136.02000000000001</v>
      </c>
      <c r="Y51" s="2"/>
      <c r="Z51" s="6">
        <f t="shared" si="35"/>
        <v>0</v>
      </c>
    </row>
    <row r="52" spans="1:26" s="27" customFormat="1" outlineLevel="1" collapsed="1" x14ac:dyDescent="0.25">
      <c r="A52" s="29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SUM(OSRRefD22_7x_0)</f>
        <v>558</v>
      </c>
      <c r="E52" s="1"/>
      <c r="F52" s="5">
        <f t="shared" ref="F52:F54" si="36">IF(D$12=0,0,D52/D$12)</f>
        <v>0</v>
      </c>
      <c r="G52" s="1"/>
      <c r="H52" s="1">
        <f>SUM(OSRRefH22_7x_0)</f>
        <v>0</v>
      </c>
      <c r="I52" s="1"/>
      <c r="J52" s="5">
        <f t="shared" ref="J52:J54" si="37">IF(H$12=0,0,H52/H$12)</f>
        <v>0</v>
      </c>
      <c r="K52" s="1"/>
      <c r="L52" s="1">
        <f t="shared" ref="L52:L54" si="38">+D52-H52</f>
        <v>558</v>
      </c>
      <c r="M52" s="1"/>
      <c r="N52" s="5">
        <f t="shared" ref="N52:N54" si="39">IF(H52=0,0,L52/H52)</f>
        <v>0</v>
      </c>
      <c r="O52" s="14"/>
      <c r="P52" s="1">
        <f>SUM(OSRRefP22_7x_0)</f>
        <v>183.08</v>
      </c>
      <c r="Q52" s="1"/>
      <c r="R52" s="5">
        <f t="shared" ref="R52:R54" si="40">IF(P$12=0,0,P52/P$12)</f>
        <v>0</v>
      </c>
      <c r="S52" s="1"/>
      <c r="T52" s="1">
        <f>SUM(OSRRefT22_7x_0)</f>
        <v>0</v>
      </c>
      <c r="U52" s="1"/>
      <c r="V52" s="5">
        <f t="shared" ref="V52:V54" si="41">IF(T$12=0,0,T52/T$12)</f>
        <v>0</v>
      </c>
      <c r="W52" s="1"/>
      <c r="X52" s="1">
        <f t="shared" ref="X52:X54" si="42">+P52-T52</f>
        <v>183.08</v>
      </c>
      <c r="Y52" s="1"/>
      <c r="Z52" s="5">
        <f t="shared" ref="Z52:Z54" si="43">IF(T52=0,0,X52/T52)</f>
        <v>0</v>
      </c>
    </row>
    <row r="53" spans="1:26" s="24" customFormat="1" hidden="1" outlineLevel="2" x14ac:dyDescent="0.25">
      <c r="A53" s="28"/>
      <c r="B53" s="11" t="str">
        <f>CONCATENATE("          ", "6282", " - ", "JANITORIAL/EXTERMINATOR EXPENS")</f>
        <v xml:space="preserve">          6282 - JANITORIAL/EXTERMINATOR EXPENS</v>
      </c>
      <c r="C53" s="11"/>
      <c r="D53" s="7">
        <v>558</v>
      </c>
      <c r="E53" s="2"/>
      <c r="F53" s="6">
        <f t="shared" si="36"/>
        <v>0</v>
      </c>
      <c r="G53" s="2"/>
      <c r="H53" s="7"/>
      <c r="I53" s="2"/>
      <c r="J53" s="6">
        <f t="shared" si="37"/>
        <v>0</v>
      </c>
      <c r="K53" s="2"/>
      <c r="L53" s="7">
        <f t="shared" si="38"/>
        <v>558</v>
      </c>
      <c r="M53" s="2"/>
      <c r="N53" s="6">
        <f t="shared" si="39"/>
        <v>0</v>
      </c>
      <c r="O53" s="11"/>
      <c r="P53" s="7">
        <v>356.12</v>
      </c>
      <c r="Q53" s="2"/>
      <c r="R53" s="6">
        <f t="shared" si="40"/>
        <v>0</v>
      </c>
      <c r="S53" s="2"/>
      <c r="T53" s="7"/>
      <c r="U53" s="2"/>
      <c r="V53" s="6">
        <f t="shared" si="41"/>
        <v>0</v>
      </c>
      <c r="W53" s="2"/>
      <c r="X53" s="7">
        <f t="shared" si="42"/>
        <v>356.12</v>
      </c>
      <c r="Y53" s="2"/>
      <c r="Z53" s="6">
        <f t="shared" si="43"/>
        <v>0</v>
      </c>
    </row>
    <row r="54" spans="1:26" s="24" customFormat="1" hidden="1" outlineLevel="2" x14ac:dyDescent="0.25">
      <c r="A54" s="28"/>
      <c r="B54" s="11" t="str">
        <f>CONCATENATE("          ", "6285", " - ", "JANITORIAL SERVICES")</f>
        <v xml:space="preserve">          6285 - JANITORIAL SERVICES</v>
      </c>
      <c r="C54" s="11"/>
      <c r="D54" s="7"/>
      <c r="E54" s="2"/>
      <c r="F54" s="6">
        <f t="shared" si="36"/>
        <v>0</v>
      </c>
      <c r="G54" s="2"/>
      <c r="H54" s="7">
        <v>0</v>
      </c>
      <c r="I54" s="2"/>
      <c r="J54" s="6">
        <f t="shared" si="37"/>
        <v>0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>
        <v>-173.04</v>
      </c>
      <c r="Q54" s="2"/>
      <c r="R54" s="6">
        <f t="shared" si="40"/>
        <v>0</v>
      </c>
      <c r="S54" s="2"/>
      <c r="T54" s="7">
        <v>0</v>
      </c>
      <c r="U54" s="2"/>
      <c r="V54" s="6">
        <f t="shared" si="41"/>
        <v>0</v>
      </c>
      <c r="W54" s="2"/>
      <c r="X54" s="7">
        <f t="shared" si="42"/>
        <v>-173.04</v>
      </c>
      <c r="Y54" s="2"/>
      <c r="Z54" s="6">
        <f t="shared" si="43"/>
        <v>0</v>
      </c>
    </row>
    <row r="55" spans="1:26" s="27" customFormat="1" outlineLevel="1" collapsed="1" x14ac:dyDescent="0.25">
      <c r="A55" s="29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SUM(OSRRefD22_8x_0)</f>
        <v>0</v>
      </c>
      <c r="E55" s="1"/>
      <c r="F55" s="5">
        <f t="shared" ref="F55:F57" si="44">IF(D$12=0,0,D55/D$12)</f>
        <v>0</v>
      </c>
      <c r="G55" s="1"/>
      <c r="H55" s="1">
        <f>SUM(OSRRefH22_8x_0)</f>
        <v>0</v>
      </c>
      <c r="I55" s="1"/>
      <c r="J55" s="5">
        <f t="shared" ref="J55:J57" si="45">IF(H$12=0,0,H55/H$12)</f>
        <v>0</v>
      </c>
      <c r="K55" s="1"/>
      <c r="L55" s="1">
        <f t="shared" ref="L55:L57" si="46">+D55-H55</f>
        <v>0</v>
      </c>
      <c r="M55" s="1"/>
      <c r="N55" s="5">
        <f t="shared" ref="N55:N57" si="47">IF(H55=0,0,L55/H55)</f>
        <v>0</v>
      </c>
      <c r="O55" s="14"/>
      <c r="P55" s="1">
        <f>SUM(OSRRefP22_8x_0)</f>
        <v>0</v>
      </c>
      <c r="Q55" s="1"/>
      <c r="R55" s="5">
        <f t="shared" ref="R55:R57" si="48">IF(P$12=0,0,P55/P$12)</f>
        <v>0</v>
      </c>
      <c r="S55" s="1"/>
      <c r="T55" s="1">
        <f>SUM(OSRRefT22_8x_0)</f>
        <v>0</v>
      </c>
      <c r="U55" s="1"/>
      <c r="V55" s="5">
        <f t="shared" ref="V55:V57" si="49">IF(T$12=0,0,T55/T$12)</f>
        <v>0</v>
      </c>
      <c r="W55" s="1"/>
      <c r="X55" s="1">
        <f t="shared" ref="X55:X57" si="50">+P55-T55</f>
        <v>0</v>
      </c>
      <c r="Y55" s="1"/>
      <c r="Z55" s="5">
        <f t="shared" ref="Z55:Z57" si="51">IF(T55=0,0,X55/T55)</f>
        <v>0</v>
      </c>
    </row>
    <row r="56" spans="1:26" s="24" customFormat="1" hidden="1" outlineLevel="2" x14ac:dyDescent="0.25">
      <c r="A56" s="28"/>
      <c r="B56" s="11" t="str">
        <f>CONCATENATE("          ", "6235", " - ", "COVID-19 EXPENSES")</f>
        <v xml:space="preserve">          6235 - COVID-19 EXPENSES</v>
      </c>
      <c r="C56" s="11"/>
      <c r="D56" s="7"/>
      <c r="E56" s="2"/>
      <c r="F56" s="6">
        <f t="shared" si="44"/>
        <v>0</v>
      </c>
      <c r="G56" s="2"/>
      <c r="H56" s="7">
        <v>0</v>
      </c>
      <c r="I56" s="2"/>
      <c r="J56" s="6">
        <f t="shared" si="45"/>
        <v>0</v>
      </c>
      <c r="K56" s="2"/>
      <c r="L56" s="7">
        <f t="shared" si="46"/>
        <v>0</v>
      </c>
      <c r="M56" s="2"/>
      <c r="N56" s="6">
        <f t="shared" si="47"/>
        <v>0</v>
      </c>
      <c r="O56" s="11"/>
      <c r="P56" s="7"/>
      <c r="Q56" s="2"/>
      <c r="R56" s="6">
        <f t="shared" si="48"/>
        <v>0</v>
      </c>
      <c r="S56" s="2"/>
      <c r="T56" s="7">
        <v>0</v>
      </c>
      <c r="U56" s="2"/>
      <c r="V56" s="6">
        <f t="shared" si="49"/>
        <v>0</v>
      </c>
      <c r="W56" s="2"/>
      <c r="X56" s="7">
        <f t="shared" si="50"/>
        <v>0</v>
      </c>
      <c r="Y56" s="2"/>
      <c r="Z56" s="6">
        <f t="shared" si="51"/>
        <v>0</v>
      </c>
    </row>
    <row r="57" spans="1:26" s="24" customFormat="1" hidden="1" outlineLevel="2" x14ac:dyDescent="0.25">
      <c r="A57" s="28"/>
      <c r="B57" s="11" t="str">
        <f>CONCATENATE("          ", "6247", " - ", "STORE SUPPLIES")</f>
        <v xml:space="preserve">          6247 - STORE SUPPLIES</v>
      </c>
      <c r="C57" s="11"/>
      <c r="D57" s="7"/>
      <c r="E57" s="2"/>
      <c r="F57" s="6">
        <f t="shared" si="44"/>
        <v>0</v>
      </c>
      <c r="G57" s="2"/>
      <c r="H57" s="7">
        <v>0</v>
      </c>
      <c r="I57" s="2"/>
      <c r="J57" s="6">
        <f t="shared" si="45"/>
        <v>0</v>
      </c>
      <c r="K57" s="2"/>
      <c r="L57" s="7">
        <f t="shared" si="46"/>
        <v>0</v>
      </c>
      <c r="M57" s="2"/>
      <c r="N57" s="6">
        <f t="shared" si="47"/>
        <v>0</v>
      </c>
      <c r="O57" s="11"/>
      <c r="P57" s="7"/>
      <c r="Q57" s="2"/>
      <c r="R57" s="6">
        <f t="shared" si="48"/>
        <v>0</v>
      </c>
      <c r="S57" s="2"/>
      <c r="T57" s="7">
        <v>0</v>
      </c>
      <c r="U57" s="2"/>
      <c r="V57" s="6">
        <f t="shared" si="49"/>
        <v>0</v>
      </c>
      <c r="W57" s="2"/>
      <c r="X57" s="7">
        <f t="shared" si="50"/>
        <v>0</v>
      </c>
      <c r="Y57" s="2"/>
      <c r="Z57" s="6">
        <f t="shared" si="51"/>
        <v>0</v>
      </c>
    </row>
    <row r="58" spans="1:26" s="27" customFormat="1" outlineLevel="1" collapsed="1" x14ac:dyDescent="0.25">
      <c r="A58" s="29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SUM(OSRRefD22_9x_0)</f>
        <v>38.43</v>
      </c>
      <c r="E58" s="1"/>
      <c r="F58" s="5">
        <f t="shared" ref="F58:F59" si="52">IF(D$12=0,0,D58/D$12)</f>
        <v>0</v>
      </c>
      <c r="G58" s="1"/>
      <c r="H58" s="1">
        <f>SUM(OSRRefH22_9x_0)</f>
        <v>0</v>
      </c>
      <c r="I58" s="1"/>
      <c r="J58" s="5">
        <f t="shared" ref="J58:J59" si="53">IF(H$12=0,0,H58/H$12)</f>
        <v>0</v>
      </c>
      <c r="K58" s="1"/>
      <c r="L58" s="1">
        <f t="shared" ref="L58:L59" si="54">+D58-H58</f>
        <v>38.43</v>
      </c>
      <c r="M58" s="1"/>
      <c r="N58" s="5">
        <f t="shared" ref="N58:N59" si="55">IF(H58=0,0,L58/H58)</f>
        <v>0</v>
      </c>
      <c r="O58" s="14"/>
      <c r="P58" s="1">
        <f>SUM(OSRRefP22_9x_0)</f>
        <v>214.32</v>
      </c>
      <c r="Q58" s="1"/>
      <c r="R58" s="5">
        <f t="shared" ref="R58:R59" si="56">IF(P$12=0,0,P58/P$12)</f>
        <v>0</v>
      </c>
      <c r="S58" s="1"/>
      <c r="T58" s="1">
        <f>SUM(OSRRefT22_9x_0)</f>
        <v>0</v>
      </c>
      <c r="U58" s="1"/>
      <c r="V58" s="5">
        <f t="shared" ref="V58:V59" si="57">IF(T$12=0,0,T58/T$12)</f>
        <v>0</v>
      </c>
      <c r="W58" s="1"/>
      <c r="X58" s="1">
        <f t="shared" ref="X58:X59" si="58">+P58-T58</f>
        <v>214.32</v>
      </c>
      <c r="Y58" s="1"/>
      <c r="Z58" s="5">
        <f t="shared" ref="Z58:Z59" si="59">IF(T58=0,0,X58/T58)</f>
        <v>0</v>
      </c>
    </row>
    <row r="59" spans="1:26" s="24" customFormat="1" hidden="1" outlineLevel="2" x14ac:dyDescent="0.25">
      <c r="A59" s="28"/>
      <c r="B59" s="11" t="str">
        <f>CONCATENATE("          ", "6309", " - ", "TELEPHONE")</f>
        <v xml:space="preserve">          6309 - TELEPHONE</v>
      </c>
      <c r="C59" s="11"/>
      <c r="D59" s="7">
        <v>38.43</v>
      </c>
      <c r="E59" s="2"/>
      <c r="F59" s="6">
        <f t="shared" si="52"/>
        <v>0</v>
      </c>
      <c r="G59" s="2"/>
      <c r="H59" s="7"/>
      <c r="I59" s="2"/>
      <c r="J59" s="6">
        <f t="shared" si="53"/>
        <v>0</v>
      </c>
      <c r="K59" s="2"/>
      <c r="L59" s="7">
        <f t="shared" si="54"/>
        <v>38.43</v>
      </c>
      <c r="M59" s="2"/>
      <c r="N59" s="6">
        <f t="shared" si="55"/>
        <v>0</v>
      </c>
      <c r="O59" s="11"/>
      <c r="P59" s="7">
        <v>214.32</v>
      </c>
      <c r="Q59" s="2"/>
      <c r="R59" s="6">
        <f t="shared" si="56"/>
        <v>0</v>
      </c>
      <c r="S59" s="2"/>
      <c r="T59" s="7"/>
      <c r="U59" s="2"/>
      <c r="V59" s="6">
        <f t="shared" si="57"/>
        <v>0</v>
      </c>
      <c r="W59" s="2"/>
      <c r="X59" s="7">
        <f t="shared" si="58"/>
        <v>214.32</v>
      </c>
      <c r="Y59" s="2"/>
      <c r="Z59" s="6">
        <f t="shared" si="59"/>
        <v>0</v>
      </c>
    </row>
    <row r="60" spans="1:26" s="63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5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6" t="s">
        <v>3</v>
      </c>
      <c r="C63" s="26"/>
      <c r="D63" s="20">
        <f>+D18-D20+D61</f>
        <v>-1206.6200000000001</v>
      </c>
      <c r="E63" s="13"/>
      <c r="F63" s="19">
        <f>IF(D$12=0,0,D63/D$12)</f>
        <v>0</v>
      </c>
      <c r="G63" s="13"/>
      <c r="H63" s="20">
        <f>+H18-H20+H61</f>
        <v>1</v>
      </c>
      <c r="I63" s="13"/>
      <c r="J63" s="19">
        <f>IF(H$12=0,0,H63/H$12)</f>
        <v>1</v>
      </c>
      <c r="K63" s="15"/>
      <c r="L63" s="20">
        <f>+D63-H63</f>
        <v>-1207.6200000000001</v>
      </c>
      <c r="M63" s="15"/>
      <c r="N63" s="19">
        <f>IF(H63=0,0,L63/H63)</f>
        <v>-1207.6200000000001</v>
      </c>
      <c r="O63" s="25"/>
      <c r="P63" s="20">
        <f>+P18-P20+P61</f>
        <v>-2788.01</v>
      </c>
      <c r="Q63" s="13"/>
      <c r="R63" s="19">
        <f>IF(P$12=0,0,P63/P$12)</f>
        <v>0</v>
      </c>
      <c r="S63" s="13"/>
      <c r="T63" s="20">
        <f>+T18-T20+T61</f>
        <v>2</v>
      </c>
      <c r="U63" s="13"/>
      <c r="V63" s="19">
        <f>IF(T$12=0,0,T63/T$12)</f>
        <v>1</v>
      </c>
      <c r="W63" s="15"/>
      <c r="X63" s="20">
        <f>+P63-T63</f>
        <v>-2790.01</v>
      </c>
      <c r="Y63" s="15"/>
      <c r="Z63" s="19">
        <f>IF(T63=0,0,X63/T63)</f>
        <v>-1395.0050000000001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4</v>
      </c>
      <c r="C67" s="26"/>
      <c r="D67" s="34">
        <f>+D63-D65</f>
        <v>-1206.6200000000001</v>
      </c>
      <c r="E67" s="13"/>
      <c r="F67" s="35">
        <f>IF(D$12=0,0,D67/D$12)</f>
        <v>0</v>
      </c>
      <c r="G67" s="13"/>
      <c r="H67" s="34">
        <f>+H63-H65</f>
        <v>1</v>
      </c>
      <c r="I67" s="13"/>
      <c r="J67" s="35">
        <f>IF(H$12=0,0,H67/H$12)</f>
        <v>1</v>
      </c>
      <c r="K67" s="15"/>
      <c r="L67" s="34">
        <f>D67-H67</f>
        <v>-1207.6200000000001</v>
      </c>
      <c r="M67" s="15"/>
      <c r="N67" s="35">
        <f>IF(H67=0,0,L67/H67)</f>
        <v>-1207.6200000000001</v>
      </c>
      <c r="O67" s="25"/>
      <c r="P67" s="34">
        <f>+P63-P65</f>
        <v>-2788.01</v>
      </c>
      <c r="Q67" s="13"/>
      <c r="R67" s="35">
        <f>IF(P$12=0,0,P67/P$12)</f>
        <v>0</v>
      </c>
      <c r="S67" s="13"/>
      <c r="T67" s="34">
        <f>+T63-T65</f>
        <v>2</v>
      </c>
      <c r="U67" s="13"/>
      <c r="V67" s="35">
        <f>IF(T$12=0,0,T67/T$12)</f>
        <v>1</v>
      </c>
      <c r="W67" s="15"/>
      <c r="X67" s="34">
        <f>P67-T67</f>
        <v>-2790.01</v>
      </c>
      <c r="Y67" s="15"/>
      <c r="Z67" s="35">
        <f>IF(T67=0,0,X67/T67)</f>
        <v>-1395.0050000000001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6" t="s">
        <v>5</v>
      </c>
      <c r="C70" s="26"/>
      <c r="D70" s="30">
        <f>SUM(D67:D69)</f>
        <v>-1206.6200000000001</v>
      </c>
      <c r="E70" s="13"/>
      <c r="F70" s="32">
        <f>IF(D$12=0,0,D70/D$12)</f>
        <v>0</v>
      </c>
      <c r="G70" s="13"/>
      <c r="H70" s="30">
        <f>SUM(H67:H69)</f>
        <v>1</v>
      </c>
      <c r="I70" s="13"/>
      <c r="J70" s="32">
        <f>IF(H$12=0,0,H70/H$12)</f>
        <v>1</v>
      </c>
      <c r="K70" s="15"/>
      <c r="L70" s="30">
        <f>+D70-H70</f>
        <v>-1207.6200000000001</v>
      </c>
      <c r="M70" s="15"/>
      <c r="N70" s="32">
        <f>IF(H70=0,0,L70/H70)</f>
        <v>-1207.6200000000001</v>
      </c>
      <c r="O70" s="25"/>
      <c r="P70" s="30">
        <f>SUM(P67:P69)</f>
        <v>-2788.01</v>
      </c>
      <c r="Q70" s="13"/>
      <c r="R70" s="32">
        <f>IF(P$12=0,0,P70/P$12)</f>
        <v>0</v>
      </c>
      <c r="S70" s="13"/>
      <c r="T70" s="30">
        <f>SUM(T67:T69)</f>
        <v>2</v>
      </c>
      <c r="U70" s="13"/>
      <c r="V70" s="32">
        <f>IF(T$12=0,0,T70/T$12)</f>
        <v>1</v>
      </c>
      <c r="W70" s="15"/>
      <c r="X70" s="30">
        <f>+P70-T70</f>
        <v>-2790.01</v>
      </c>
      <c r="Y70" s="15"/>
      <c r="Z70" s="32">
        <f>IF(T70=0,0,X70/T70)</f>
        <v>-1395.0050000000001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60">
        <v>44151.56825478009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58" t="s">
        <v>314</v>
      </c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3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","313", " - ", "Convenience Store")</f>
        <v>Department 313 - Convenience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20523</v>
      </c>
      <c r="I12" s="4"/>
      <c r="J12" s="12"/>
      <c r="K12" s="4"/>
      <c r="L12" s="4">
        <f t="shared" ref="L12:L13" si="0">+D12-H12</f>
        <v>-20523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40237</v>
      </c>
      <c r="U12" s="4"/>
      <c r="V12" s="12"/>
      <c r="W12" s="4"/>
      <c r="X12" s="4">
        <f t="shared" ref="X12:X13" si="2">+P12-T12</f>
        <v>-40237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20523</v>
      </c>
      <c r="I13" s="2"/>
      <c r="J13" s="22"/>
      <c r="K13" s="2"/>
      <c r="L13" s="2">
        <f t="shared" si="0"/>
        <v>-20523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40237</v>
      </c>
      <c r="U13" s="2"/>
      <c r="V13" s="22"/>
      <c r="W13" s="2"/>
      <c r="X13" s="2">
        <f t="shared" si="2"/>
        <v>-40237</v>
      </c>
      <c r="Y13" s="2"/>
      <c r="Z13" s="22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9728</v>
      </c>
      <c r="I15" s="4"/>
      <c r="J15" s="12">
        <f t="shared" ref="J15:J17" si="5">IF(H$12=0,0,H15/H$12)</f>
        <v>0.47400477513034156</v>
      </c>
      <c r="K15" s="4"/>
      <c r="L15" s="4">
        <f t="shared" ref="L15:L17" si="6">+D15-H15</f>
        <v>-9728</v>
      </c>
      <c r="M15" s="4"/>
      <c r="N15" s="12">
        <f t="shared" ref="N15:N17" si="7">IF(H15=0,0,L15/H15)</f>
        <v>-1</v>
      </c>
      <c r="O15" s="10"/>
      <c r="P15" s="4">
        <f>SUM(OSRRefP16x_0)</f>
        <v>-613.59</v>
      </c>
      <c r="Q15" s="4"/>
      <c r="R15" s="12">
        <f t="shared" ref="R15:R17" si="8">IF(P$12=0,0,P15/P$12)</f>
        <v>0</v>
      </c>
      <c r="S15" s="4"/>
      <c r="T15" s="4">
        <f>SUM(OSRRefT16x_0)</f>
        <v>19073</v>
      </c>
      <c r="U15" s="4"/>
      <c r="V15" s="12">
        <f t="shared" ref="V15:V17" si="9">IF(T$12=0,0,T15/T$12)</f>
        <v>0.47401645251882596</v>
      </c>
      <c r="W15" s="4"/>
      <c r="X15" s="4">
        <f t="shared" ref="X15:X17" si="10">+P15-T15</f>
        <v>-19686.59</v>
      </c>
      <c r="Y15" s="4"/>
      <c r="Z15" s="12">
        <f t="shared" ref="Z15:Z17" si="11">IF(T15=0,0,X15/T15)</f>
        <v>-1.0321706076652861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9728</v>
      </c>
      <c r="I16" s="2"/>
      <c r="J16" s="22">
        <f t="shared" si="5"/>
        <v>0.47400477513034156</v>
      </c>
      <c r="K16" s="2"/>
      <c r="L16" s="2">
        <f t="shared" si="6"/>
        <v>-9728</v>
      </c>
      <c r="M16" s="2"/>
      <c r="N16" s="22">
        <f t="shared" si="7"/>
        <v>-1</v>
      </c>
      <c r="O16" s="11"/>
      <c r="P16" s="2"/>
      <c r="Q16" s="2"/>
      <c r="R16" s="22">
        <f t="shared" si="8"/>
        <v>0</v>
      </c>
      <c r="S16" s="2"/>
      <c r="T16" s="2">
        <v>19073</v>
      </c>
      <c r="U16" s="2"/>
      <c r="V16" s="22">
        <f t="shared" si="9"/>
        <v>0.47401645251882596</v>
      </c>
      <c r="W16" s="2"/>
      <c r="X16" s="2">
        <f t="shared" si="10"/>
        <v>-19073</v>
      </c>
      <c r="Y16" s="2"/>
      <c r="Z16" s="22">
        <f t="shared" si="11"/>
        <v>-1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-613.59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-613.59</v>
      </c>
      <c r="Y17" s="2"/>
      <c r="Z17" s="22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D12-D15</f>
        <v>0</v>
      </c>
      <c r="E19" s="13"/>
      <c r="F19" s="19">
        <f>IF(D$12=0,0,D19/D$12)</f>
        <v>0</v>
      </c>
      <c r="G19" s="13"/>
      <c r="H19" s="20">
        <f>H12-H15</f>
        <v>10795</v>
      </c>
      <c r="I19" s="13"/>
      <c r="J19" s="19">
        <f>IF(H$12=0,0,H19/H$12)</f>
        <v>0.52599522486965844</v>
      </c>
      <c r="K19" s="15"/>
      <c r="L19" s="20">
        <f>+D19-H19</f>
        <v>-10795</v>
      </c>
      <c r="M19" s="15"/>
      <c r="N19" s="19">
        <f>IF(H19=0,0,L19/H19)</f>
        <v>-1</v>
      </c>
      <c r="O19" s="25"/>
      <c r="P19" s="20">
        <f>P12-P15</f>
        <v>613.59</v>
      </c>
      <c r="Q19" s="13"/>
      <c r="R19" s="19">
        <f>IF(P$12=0,0,P19/P$12)</f>
        <v>0</v>
      </c>
      <c r="S19" s="13"/>
      <c r="T19" s="20">
        <f>T12-T15</f>
        <v>21164</v>
      </c>
      <c r="U19" s="13"/>
      <c r="V19" s="19">
        <f>IF(T$12=0,0,T19/T$12)</f>
        <v>0.52598354748117404</v>
      </c>
      <c r="W19" s="15"/>
      <c r="X19" s="20">
        <f>+P19-T19</f>
        <v>-20550.41</v>
      </c>
      <c r="Y19" s="15"/>
      <c r="Z19" s="19">
        <f>IF(T19=0,0,X19/T19)</f>
        <v>-0.97100784350784353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1">
        <f>SUM(OSRRefD22x_0)</f>
        <v>8727.58</v>
      </c>
      <c r="E21" s="21"/>
      <c r="F21" s="31">
        <f t="shared" ref="F21:F31" si="12">IF(D$12=0,0,D21/D$12)</f>
        <v>0</v>
      </c>
      <c r="G21" s="21"/>
      <c r="H21" s="21">
        <f>SUM(OSRRefH22x_0)</f>
        <v>17085.993725</v>
      </c>
      <c r="I21" s="21"/>
      <c r="J21" s="31">
        <f t="shared" ref="J21:J31" si="13">IF(H$12=0,0,H21/H$12)</f>
        <v>0.83252905155191737</v>
      </c>
      <c r="K21" s="4"/>
      <c r="L21" s="21">
        <f t="shared" ref="L21:L31" si="14">+D21-H21</f>
        <v>-8358.4137250000003</v>
      </c>
      <c r="M21" s="4"/>
      <c r="N21" s="31">
        <f t="shared" ref="N21:N31" si="15">IF(H21=0,0,L21/H21)</f>
        <v>-0.48919681579714497</v>
      </c>
      <c r="O21" s="10"/>
      <c r="P21" s="21">
        <f>SUM(OSRRefP22x_0)</f>
        <v>37665.360000000001</v>
      </c>
      <c r="Q21" s="21"/>
      <c r="R21" s="31">
        <f t="shared" ref="R21:R31" si="16">IF(P$12=0,0,P21/P$12)</f>
        <v>0</v>
      </c>
      <c r="S21" s="21"/>
      <c r="T21" s="21">
        <f>SUM(OSRRefT22x_0)</f>
        <v>56719.23605</v>
      </c>
      <c r="U21" s="21"/>
      <c r="V21" s="31">
        <f t="shared" ref="V21:V31" si="17">IF(T$12=0,0,T21/T$12)</f>
        <v>1.4096288503119019</v>
      </c>
      <c r="W21" s="4"/>
      <c r="X21" s="21">
        <f t="shared" ref="X21:X31" si="18">+P21-T21</f>
        <v>-19053.876049999999</v>
      </c>
      <c r="Y21" s="4"/>
      <c r="Z21" s="31">
        <f t="shared" ref="Z21:Z31" si="19">IF(T21=0,0,X21/T21)</f>
        <v>-0.3359332278947364</v>
      </c>
    </row>
    <row r="22" spans="1:26" s="27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4181.12</v>
      </c>
      <c r="E22" s="1"/>
      <c r="F22" s="5">
        <f t="shared" si="12"/>
        <v>0</v>
      </c>
      <c r="G22" s="1"/>
      <c r="H22" s="1">
        <f>SUM(OSRRefH22_0x_0)</f>
        <v>3969.3687250000003</v>
      </c>
      <c r="I22" s="1"/>
      <c r="J22" s="5">
        <f t="shared" si="13"/>
        <v>0.19341074526141402</v>
      </c>
      <c r="K22" s="1"/>
      <c r="L22" s="1">
        <f t="shared" si="14"/>
        <v>211.75127499999962</v>
      </c>
      <c r="M22" s="1"/>
      <c r="N22" s="5">
        <f t="shared" si="15"/>
        <v>5.334633531683293E-2</v>
      </c>
      <c r="O22" s="14"/>
      <c r="P22" s="1">
        <f>SUM(OSRRefP22_0x_0)</f>
        <v>16138.039999999999</v>
      </c>
      <c r="Q22" s="1"/>
      <c r="R22" s="5">
        <f t="shared" si="16"/>
        <v>0</v>
      </c>
      <c r="S22" s="1"/>
      <c r="T22" s="1">
        <f>SUM(OSRRefT22_0x_0)</f>
        <v>14957.58605</v>
      </c>
      <c r="U22" s="1"/>
      <c r="V22" s="5">
        <f t="shared" si="17"/>
        <v>0.37173710887988665</v>
      </c>
      <c r="W22" s="1"/>
      <c r="X22" s="1">
        <f t="shared" si="18"/>
        <v>1180.4539499999992</v>
      </c>
      <c r="Y22" s="1"/>
      <c r="Z22" s="5">
        <f t="shared" si="19"/>
        <v>7.8920084166923393E-2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7">
        <v>646.33000000000004</v>
      </c>
      <c r="E23" s="2"/>
      <c r="F23" s="6">
        <f t="shared" si="12"/>
        <v>0</v>
      </c>
      <c r="G23" s="2"/>
      <c r="H23" s="7">
        <v>628.88527499999998</v>
      </c>
      <c r="I23" s="2"/>
      <c r="J23" s="6">
        <f t="shared" si="13"/>
        <v>3.064295059201871E-2</v>
      </c>
      <c r="K23" s="2"/>
      <c r="L23" s="7">
        <f t="shared" si="14"/>
        <v>17.444725000000062</v>
      </c>
      <c r="M23" s="2"/>
      <c r="N23" s="6">
        <f t="shared" si="15"/>
        <v>2.7739121416064421E-2</v>
      </c>
      <c r="O23" s="11"/>
      <c r="P23" s="7">
        <v>1745.51</v>
      </c>
      <c r="Q23" s="2"/>
      <c r="R23" s="6">
        <f t="shared" si="16"/>
        <v>0</v>
      </c>
      <c r="S23" s="2"/>
      <c r="T23" s="7">
        <v>2176.1305500000003</v>
      </c>
      <c r="U23" s="2"/>
      <c r="V23" s="6">
        <f t="shared" si="17"/>
        <v>5.4082823023585268E-2</v>
      </c>
      <c r="W23" s="2"/>
      <c r="X23" s="7">
        <f t="shared" si="18"/>
        <v>-430.62055000000032</v>
      </c>
      <c r="Y23" s="2"/>
      <c r="Z23" s="6">
        <f t="shared" si="19"/>
        <v>-0.19788360123890558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7">
        <v>86.5</v>
      </c>
      <c r="E24" s="2"/>
      <c r="F24" s="6">
        <f t="shared" si="12"/>
        <v>0</v>
      </c>
      <c r="G24" s="2"/>
      <c r="H24" s="7">
        <v>209.78075000000001</v>
      </c>
      <c r="I24" s="2"/>
      <c r="J24" s="6">
        <f t="shared" si="13"/>
        <v>1.0221739024509088E-2</v>
      </c>
      <c r="K24" s="2"/>
      <c r="L24" s="7">
        <f t="shared" si="14"/>
        <v>-123.28075000000001</v>
      </c>
      <c r="M24" s="2"/>
      <c r="N24" s="6">
        <f t="shared" si="15"/>
        <v>-0.58766474044925476</v>
      </c>
      <c r="O24" s="11"/>
      <c r="P24" s="7">
        <v>352.32</v>
      </c>
      <c r="Q24" s="2"/>
      <c r="R24" s="6">
        <f t="shared" si="16"/>
        <v>0</v>
      </c>
      <c r="S24" s="2"/>
      <c r="T24" s="7">
        <v>662.02250000000004</v>
      </c>
      <c r="U24" s="2"/>
      <c r="V24" s="6">
        <f t="shared" si="17"/>
        <v>1.6453078012774312E-2</v>
      </c>
      <c r="W24" s="2"/>
      <c r="X24" s="7">
        <f t="shared" si="18"/>
        <v>-309.70250000000004</v>
      </c>
      <c r="Y24" s="2"/>
      <c r="Z24" s="6">
        <f t="shared" si="19"/>
        <v>-0.46781264987217208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7">
        <v>2021.26</v>
      </c>
      <c r="E25" s="2"/>
      <c r="F25" s="6">
        <f t="shared" si="12"/>
        <v>0</v>
      </c>
      <c r="G25" s="2"/>
      <c r="H25" s="7">
        <v>1980</v>
      </c>
      <c r="I25" s="2"/>
      <c r="J25" s="6">
        <f t="shared" si="13"/>
        <v>9.6477123227598299E-2</v>
      </c>
      <c r="K25" s="2"/>
      <c r="L25" s="7">
        <f t="shared" si="14"/>
        <v>41.259999999999991</v>
      </c>
      <c r="M25" s="2"/>
      <c r="N25" s="6">
        <f t="shared" si="15"/>
        <v>2.0838383838383833E-2</v>
      </c>
      <c r="O25" s="11"/>
      <c r="P25" s="7">
        <v>8085.04</v>
      </c>
      <c r="Q25" s="2"/>
      <c r="R25" s="6">
        <f t="shared" si="16"/>
        <v>0</v>
      </c>
      <c r="S25" s="2"/>
      <c r="T25" s="7">
        <v>7920</v>
      </c>
      <c r="U25" s="2"/>
      <c r="V25" s="6">
        <f t="shared" si="17"/>
        <v>0.19683375997216493</v>
      </c>
      <c r="W25" s="2"/>
      <c r="X25" s="7">
        <f t="shared" si="18"/>
        <v>165.03999999999996</v>
      </c>
      <c r="Y25" s="2"/>
      <c r="Z25" s="6">
        <f t="shared" si="19"/>
        <v>2.0838383838383833E-2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7">
        <v>12.16</v>
      </c>
      <c r="E26" s="2"/>
      <c r="F26" s="6">
        <f t="shared" si="12"/>
        <v>0</v>
      </c>
      <c r="G26" s="2"/>
      <c r="H26" s="7">
        <v>29.482700000000001</v>
      </c>
      <c r="I26" s="2"/>
      <c r="J26" s="6">
        <f t="shared" si="13"/>
        <v>1.4365687277688448E-3</v>
      </c>
      <c r="K26" s="2"/>
      <c r="L26" s="7">
        <f t="shared" si="14"/>
        <v>-17.322700000000001</v>
      </c>
      <c r="M26" s="2"/>
      <c r="N26" s="6">
        <f t="shared" si="15"/>
        <v>-0.58755473548894777</v>
      </c>
      <c r="O26" s="11"/>
      <c r="P26" s="7">
        <v>49.52</v>
      </c>
      <c r="Q26" s="2"/>
      <c r="R26" s="6">
        <f t="shared" si="16"/>
        <v>0</v>
      </c>
      <c r="S26" s="2"/>
      <c r="T26" s="7">
        <v>93.040999999999997</v>
      </c>
      <c r="U26" s="2"/>
      <c r="V26" s="6">
        <f t="shared" si="17"/>
        <v>2.3123244774709843E-3</v>
      </c>
      <c r="W26" s="2"/>
      <c r="X26" s="7">
        <f t="shared" si="18"/>
        <v>-43.520999999999994</v>
      </c>
      <c r="Y26" s="2"/>
      <c r="Z26" s="6">
        <f t="shared" si="19"/>
        <v>-0.46776152448920361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7">
        <v>368.43</v>
      </c>
      <c r="E27" s="2"/>
      <c r="F27" s="6">
        <f t="shared" si="12"/>
        <v>0</v>
      </c>
      <c r="G27" s="2"/>
      <c r="H27" s="7">
        <v>598.34500000000003</v>
      </c>
      <c r="I27" s="2"/>
      <c r="J27" s="6">
        <f t="shared" si="13"/>
        <v>2.9154850655362278E-2</v>
      </c>
      <c r="K27" s="2"/>
      <c r="L27" s="7">
        <f t="shared" si="14"/>
        <v>-229.91500000000002</v>
      </c>
      <c r="M27" s="2"/>
      <c r="N27" s="6">
        <f t="shared" si="15"/>
        <v>-0.38425156055452958</v>
      </c>
      <c r="O27" s="11"/>
      <c r="P27" s="7">
        <v>2517.64</v>
      </c>
      <c r="Q27" s="2"/>
      <c r="R27" s="6">
        <f t="shared" si="16"/>
        <v>0</v>
      </c>
      <c r="S27" s="2"/>
      <c r="T27" s="7">
        <v>2154.0419999999999</v>
      </c>
      <c r="U27" s="2"/>
      <c r="V27" s="6">
        <f t="shared" si="17"/>
        <v>5.3533861868429553E-2</v>
      </c>
      <c r="W27" s="2"/>
      <c r="X27" s="7">
        <f t="shared" si="18"/>
        <v>363.59799999999996</v>
      </c>
      <c r="Y27" s="2"/>
      <c r="Z27" s="6">
        <f t="shared" si="19"/>
        <v>0.16879800858107685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>
        <v>610.59</v>
      </c>
      <c r="E29" s="2"/>
      <c r="F29" s="6">
        <f t="shared" si="12"/>
        <v>0</v>
      </c>
      <c r="G29" s="2"/>
      <c r="H29" s="7">
        <v>208.72499999999999</v>
      </c>
      <c r="I29" s="2"/>
      <c r="J29" s="6">
        <f t="shared" si="13"/>
        <v>1.0170296740242654E-2</v>
      </c>
      <c r="K29" s="2"/>
      <c r="L29" s="7">
        <f t="shared" si="14"/>
        <v>401.86500000000001</v>
      </c>
      <c r="M29" s="2"/>
      <c r="N29" s="6">
        <f t="shared" si="15"/>
        <v>1.9253323751347469</v>
      </c>
      <c r="O29" s="11"/>
      <c r="P29" s="7">
        <v>1831.77</v>
      </c>
      <c r="Q29" s="2"/>
      <c r="R29" s="6">
        <f t="shared" si="16"/>
        <v>0</v>
      </c>
      <c r="S29" s="2"/>
      <c r="T29" s="7">
        <v>751.41</v>
      </c>
      <c r="U29" s="2"/>
      <c r="V29" s="6">
        <f t="shared" si="17"/>
        <v>1.8674602977359147E-2</v>
      </c>
      <c r="W29" s="2"/>
      <c r="X29" s="7">
        <f t="shared" si="18"/>
        <v>1080.3600000000001</v>
      </c>
      <c r="Y29" s="2"/>
      <c r="Z29" s="6">
        <f t="shared" si="19"/>
        <v>1.4377769792789559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>
        <v>385.14</v>
      </c>
      <c r="E30" s="2"/>
      <c r="F30" s="6">
        <f t="shared" si="12"/>
        <v>0</v>
      </c>
      <c r="G30" s="2"/>
      <c r="H30" s="7">
        <v>139.15</v>
      </c>
      <c r="I30" s="2"/>
      <c r="J30" s="6">
        <f t="shared" si="13"/>
        <v>6.7801978268284364E-3</v>
      </c>
      <c r="K30" s="2"/>
      <c r="L30" s="7">
        <f t="shared" si="14"/>
        <v>245.98999999999998</v>
      </c>
      <c r="M30" s="2"/>
      <c r="N30" s="6">
        <f t="shared" si="15"/>
        <v>1.7678045274883218</v>
      </c>
      <c r="O30" s="11"/>
      <c r="P30" s="7">
        <v>1155.42</v>
      </c>
      <c r="Q30" s="2"/>
      <c r="R30" s="6">
        <f t="shared" si="16"/>
        <v>0</v>
      </c>
      <c r="S30" s="2"/>
      <c r="T30" s="7">
        <v>500.94</v>
      </c>
      <c r="U30" s="2"/>
      <c r="V30" s="6">
        <f t="shared" si="17"/>
        <v>1.2449735318239431E-2</v>
      </c>
      <c r="W30" s="2"/>
      <c r="X30" s="7">
        <f t="shared" si="18"/>
        <v>654.48</v>
      </c>
      <c r="Y30" s="2"/>
      <c r="Z30" s="6">
        <f t="shared" si="19"/>
        <v>1.3065037729069351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>
        <v>50.71</v>
      </c>
      <c r="E31" s="2"/>
      <c r="F31" s="6">
        <f t="shared" si="12"/>
        <v>0</v>
      </c>
      <c r="G31" s="2"/>
      <c r="H31" s="7">
        <v>175</v>
      </c>
      <c r="I31" s="2"/>
      <c r="J31" s="6">
        <f t="shared" si="13"/>
        <v>8.5270184670857094E-3</v>
      </c>
      <c r="K31" s="2"/>
      <c r="L31" s="7">
        <f t="shared" si="14"/>
        <v>-124.28999999999999</v>
      </c>
      <c r="M31" s="2"/>
      <c r="N31" s="6">
        <f t="shared" si="15"/>
        <v>-0.71022857142857143</v>
      </c>
      <c r="O31" s="11"/>
      <c r="P31" s="7">
        <v>400.82</v>
      </c>
      <c r="Q31" s="2"/>
      <c r="R31" s="6">
        <f t="shared" si="16"/>
        <v>0</v>
      </c>
      <c r="S31" s="2"/>
      <c r="T31" s="7">
        <v>700</v>
      </c>
      <c r="U31" s="2"/>
      <c r="V31" s="6">
        <f t="shared" si="17"/>
        <v>1.7396923229863061E-2</v>
      </c>
      <c r="W31" s="2"/>
      <c r="X31" s="7">
        <f t="shared" si="18"/>
        <v>-299.18</v>
      </c>
      <c r="Y31" s="2"/>
      <c r="Z31" s="6">
        <f t="shared" si="19"/>
        <v>-0.4274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4279.03</v>
      </c>
      <c r="E32" s="1"/>
      <c r="F32" s="5">
        <f t="shared" ref="F32:F42" si="20">IF(D$12=0,0,D32/D$12)</f>
        <v>0</v>
      </c>
      <c r="G32" s="1"/>
      <c r="H32" s="1">
        <f>SUM(OSRRefH22_1x_0)</f>
        <v>10991.625</v>
      </c>
      <c r="I32" s="1"/>
      <c r="J32" s="5">
        <f t="shared" ref="J32:J42" si="21">IF(H$12=0,0,H32/H$12)</f>
        <v>0.53557593919017688</v>
      </c>
      <c r="K32" s="1"/>
      <c r="L32" s="1">
        <f t="shared" ref="L32:L42" si="22">+D32-H32</f>
        <v>-6712.5950000000003</v>
      </c>
      <c r="M32" s="1"/>
      <c r="N32" s="5">
        <f t="shared" ref="N32:N42" si="23">IF(H32=0,0,L32/H32)</f>
        <v>-0.6107008745294713</v>
      </c>
      <c r="O32" s="14"/>
      <c r="P32" s="1">
        <f>SUM(OSRRefP22_1x_0)</f>
        <v>20631.419999999998</v>
      </c>
      <c r="Q32" s="1"/>
      <c r="R32" s="5">
        <f t="shared" ref="R32:R42" si="24">IF(P$12=0,0,P32/P$12)</f>
        <v>0</v>
      </c>
      <c r="S32" s="1"/>
      <c r="T32" s="1">
        <f>SUM(OSRRefT22_1x_0)</f>
        <v>34532.649999999994</v>
      </c>
      <c r="U32" s="1"/>
      <c r="V32" s="5">
        <f t="shared" ref="V32:V42" si="25">IF(T$12=0,0,T32/T$12)</f>
        <v>0.85823122996247225</v>
      </c>
      <c r="W32" s="1"/>
      <c r="X32" s="1">
        <f t="shared" ref="X32:X42" si="26">+P32-T32</f>
        <v>-13901.229999999996</v>
      </c>
      <c r="Y32" s="1"/>
      <c r="Z32" s="5">
        <f t="shared" ref="Z32:Z42" si="27">IF(T32=0,0,X32/T32)</f>
        <v>-0.40255323585070935</v>
      </c>
    </row>
    <row r="33" spans="1:26" s="24" customFormat="1" hidden="1" outlineLevel="2" x14ac:dyDescent="0.25">
      <c r="A33" s="28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0"/>
        <v>0</v>
      </c>
      <c r="G33" s="2"/>
      <c r="H33" s="7">
        <v>6609.625</v>
      </c>
      <c r="I33" s="2"/>
      <c r="J33" s="6">
        <f t="shared" si="21"/>
        <v>0.32205939677435075</v>
      </c>
      <c r="K33" s="2"/>
      <c r="L33" s="7">
        <f t="shared" si="22"/>
        <v>-6609.625</v>
      </c>
      <c r="M33" s="2"/>
      <c r="N33" s="6">
        <f t="shared" si="23"/>
        <v>-1</v>
      </c>
      <c r="O33" s="11"/>
      <c r="P33" s="7"/>
      <c r="Q33" s="2"/>
      <c r="R33" s="6">
        <f t="shared" si="24"/>
        <v>0</v>
      </c>
      <c r="S33" s="2"/>
      <c r="T33" s="7">
        <v>23794.649999999998</v>
      </c>
      <c r="U33" s="2"/>
      <c r="V33" s="6">
        <f t="shared" si="25"/>
        <v>0.59136242761637292</v>
      </c>
      <c r="W33" s="2"/>
      <c r="X33" s="7">
        <f t="shared" si="26"/>
        <v>-23794.649999999998</v>
      </c>
      <c r="Y33" s="2"/>
      <c r="Z33" s="6">
        <f t="shared" si="27"/>
        <v>-1</v>
      </c>
    </row>
    <row r="34" spans="1:26" s="24" customFormat="1" hidden="1" outlineLevel="2" x14ac:dyDescent="0.25">
      <c r="A34" s="28"/>
      <c r="B34" s="11" t="str">
        <f>CONCATENATE("          ", "6002", " - ", "STAFF SALARIES")</f>
        <v xml:space="preserve">          6002 - STAFF SALARIES</v>
      </c>
      <c r="C34" s="11"/>
      <c r="D34" s="7">
        <v>4279.03</v>
      </c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4279.03</v>
      </c>
      <c r="M34" s="2"/>
      <c r="N34" s="6">
        <f t="shared" si="23"/>
        <v>0</v>
      </c>
      <c r="O34" s="11"/>
      <c r="P34" s="7">
        <v>20631.419999999998</v>
      </c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20631.419999999998</v>
      </c>
      <c r="Y34" s="2"/>
      <c r="Z34" s="6">
        <f t="shared" si="27"/>
        <v>0</v>
      </c>
    </row>
    <row r="35" spans="1:26" s="24" customFormat="1" hidden="1" outlineLevel="2" x14ac:dyDescent="0.25">
      <c r="A35" s="28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0"/>
        <v>0</v>
      </c>
      <c r="G36" s="2"/>
      <c r="H36" s="7">
        <v>1260</v>
      </c>
      <c r="I36" s="2"/>
      <c r="J36" s="6">
        <f t="shared" si="21"/>
        <v>6.1394532963017105E-2</v>
      </c>
      <c r="K36" s="2"/>
      <c r="L36" s="7">
        <f t="shared" si="22"/>
        <v>-1260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3388</v>
      </c>
      <c r="U36" s="2"/>
      <c r="V36" s="6">
        <f t="shared" si="25"/>
        <v>8.4201108432537211E-2</v>
      </c>
      <c r="W36" s="2"/>
      <c r="X36" s="7">
        <f t="shared" si="26"/>
        <v>-3388</v>
      </c>
      <c r="Y36" s="2"/>
      <c r="Z36" s="6">
        <f t="shared" si="27"/>
        <v>-1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0"/>
        <v>0</v>
      </c>
      <c r="G37" s="2"/>
      <c r="H37" s="7">
        <v>3122</v>
      </c>
      <c r="I37" s="2"/>
      <c r="J37" s="6">
        <f t="shared" si="21"/>
        <v>0.15212200945280904</v>
      </c>
      <c r="K37" s="2"/>
      <c r="L37" s="7">
        <f t="shared" si="22"/>
        <v>-3122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7350</v>
      </c>
      <c r="U37" s="2"/>
      <c r="V37" s="6">
        <f t="shared" si="25"/>
        <v>0.18266769391356213</v>
      </c>
      <c r="W37" s="2"/>
      <c r="X37" s="7">
        <f t="shared" si="26"/>
        <v>-7350</v>
      </c>
      <c r="Y37" s="2"/>
      <c r="Z37" s="6">
        <f t="shared" si="27"/>
        <v>-1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8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8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7" customFormat="1" outlineLevel="1" collapsed="1" x14ac:dyDescent="0.25">
      <c r="A43" s="29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3" si="28">IF(D$12=0,0,D43/D$12)</f>
        <v>0</v>
      </c>
      <c r="G43" s="1"/>
      <c r="H43" s="1">
        <f>SUM(OSRRefH22_2x_0)</f>
        <v>100</v>
      </c>
      <c r="I43" s="1"/>
      <c r="J43" s="5">
        <f t="shared" ref="J43:J53" si="29">IF(H$12=0,0,H43/H$12)</f>
        <v>4.8725819811918335E-3</v>
      </c>
      <c r="K43" s="1"/>
      <c r="L43" s="1">
        <f t="shared" ref="L43:L53" si="30">+D43-H43</f>
        <v>-100</v>
      </c>
      <c r="M43" s="1"/>
      <c r="N43" s="5">
        <f t="shared" ref="N43:N53" si="31">IF(H43=0,0,L43/H43)</f>
        <v>-1</v>
      </c>
      <c r="O43" s="14"/>
      <c r="P43" s="1">
        <f>SUM(OSRRefP22_2x_0)</f>
        <v>0</v>
      </c>
      <c r="Q43" s="1"/>
      <c r="R43" s="5">
        <f t="shared" ref="R43:R53" si="32">IF(P$12=0,0,P43/P$12)</f>
        <v>0</v>
      </c>
      <c r="S43" s="1"/>
      <c r="T43" s="1">
        <f>SUM(OSRRefT22_2x_0)</f>
        <v>400</v>
      </c>
      <c r="U43" s="1"/>
      <c r="V43" s="5">
        <f t="shared" ref="V43:V53" si="33">IF(T$12=0,0,T43/T$12)</f>
        <v>9.9410989884931786E-3</v>
      </c>
      <c r="W43" s="1"/>
      <c r="X43" s="1">
        <f t="shared" ref="X43:X53" si="34">+P43-T43</f>
        <v>-400</v>
      </c>
      <c r="Y43" s="1"/>
      <c r="Z43" s="5">
        <f t="shared" ref="Z43:Z53" si="35">IF(T43=0,0,X43/T43)</f>
        <v>-1</v>
      </c>
    </row>
    <row r="44" spans="1:26" s="24" customFormat="1" hidden="1" outlineLevel="2" x14ac:dyDescent="0.25">
      <c r="A44" s="28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28"/>
        <v>0</v>
      </c>
      <c r="G44" s="2"/>
      <c r="H44" s="7">
        <v>100</v>
      </c>
      <c r="I44" s="2"/>
      <c r="J44" s="6">
        <f t="shared" si="29"/>
        <v>4.8725819811918335E-3</v>
      </c>
      <c r="K44" s="2"/>
      <c r="L44" s="7">
        <f t="shared" si="30"/>
        <v>-100</v>
      </c>
      <c r="M44" s="2"/>
      <c r="N44" s="6">
        <f t="shared" si="31"/>
        <v>-1</v>
      </c>
      <c r="O44" s="11"/>
      <c r="P44" s="7"/>
      <c r="Q44" s="2"/>
      <c r="R44" s="6">
        <f t="shared" si="32"/>
        <v>0</v>
      </c>
      <c r="S44" s="2"/>
      <c r="T44" s="7">
        <v>400</v>
      </c>
      <c r="U44" s="2"/>
      <c r="V44" s="6">
        <f t="shared" si="33"/>
        <v>9.9410989884931786E-3</v>
      </c>
      <c r="W44" s="2"/>
      <c r="X44" s="7">
        <f t="shared" si="34"/>
        <v>-400</v>
      </c>
      <c r="Y44" s="2"/>
      <c r="Z44" s="6">
        <f t="shared" si="35"/>
        <v>-1</v>
      </c>
    </row>
    <row r="45" spans="1:26" s="27" customFormat="1" outlineLevel="1" collapsed="1" x14ac:dyDescent="0.25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60</v>
      </c>
      <c r="E45" s="1"/>
      <c r="F45" s="5">
        <f t="shared" si="28"/>
        <v>0</v>
      </c>
      <c r="G45" s="1"/>
      <c r="H45" s="1">
        <f>SUM(OSRRefH22_3x_0)</f>
        <v>1297</v>
      </c>
      <c r="I45" s="1"/>
      <c r="J45" s="5">
        <f t="shared" si="29"/>
        <v>6.3197388296058088E-2</v>
      </c>
      <c r="K45" s="1"/>
      <c r="L45" s="1">
        <f t="shared" si="30"/>
        <v>-1237</v>
      </c>
      <c r="M45" s="1"/>
      <c r="N45" s="5">
        <f t="shared" si="31"/>
        <v>-0.95373939861218193</v>
      </c>
      <c r="O45" s="14"/>
      <c r="P45" s="1">
        <f>SUM(OSRRefP22_3x_0)</f>
        <v>240</v>
      </c>
      <c r="Q45" s="1"/>
      <c r="R45" s="5">
        <f t="shared" si="32"/>
        <v>0</v>
      </c>
      <c r="S45" s="1"/>
      <c r="T45" s="1">
        <f>SUM(OSRRefT22_3x_0)</f>
        <v>2442</v>
      </c>
      <c r="U45" s="1"/>
      <c r="V45" s="5">
        <f t="shared" si="33"/>
        <v>6.0690409324750852E-2</v>
      </c>
      <c r="W45" s="1"/>
      <c r="X45" s="1">
        <f t="shared" si="34"/>
        <v>-2202</v>
      </c>
      <c r="Y45" s="1"/>
      <c r="Z45" s="5">
        <f t="shared" si="35"/>
        <v>-0.90171990171990168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7">
        <v>60</v>
      </c>
      <c r="E46" s="2"/>
      <c r="F46" s="6">
        <f t="shared" si="28"/>
        <v>0</v>
      </c>
      <c r="G46" s="2"/>
      <c r="H46" s="7">
        <v>1297</v>
      </c>
      <c r="I46" s="2"/>
      <c r="J46" s="6">
        <f t="shared" si="29"/>
        <v>6.3197388296058088E-2</v>
      </c>
      <c r="K46" s="2"/>
      <c r="L46" s="7">
        <f t="shared" si="30"/>
        <v>-1237</v>
      </c>
      <c r="M46" s="2"/>
      <c r="N46" s="6">
        <f t="shared" si="31"/>
        <v>-0.95373939861218193</v>
      </c>
      <c r="O46" s="11"/>
      <c r="P46" s="7">
        <v>240</v>
      </c>
      <c r="Q46" s="2"/>
      <c r="R46" s="6">
        <f t="shared" si="32"/>
        <v>0</v>
      </c>
      <c r="S46" s="2"/>
      <c r="T46" s="7">
        <v>2442</v>
      </c>
      <c r="U46" s="2"/>
      <c r="V46" s="6">
        <f t="shared" si="33"/>
        <v>6.0690409324750852E-2</v>
      </c>
      <c r="W46" s="2"/>
      <c r="X46" s="7">
        <f t="shared" si="34"/>
        <v>-2202</v>
      </c>
      <c r="Y46" s="2"/>
      <c r="Z46" s="6">
        <f t="shared" si="35"/>
        <v>-0.90171990171990168</v>
      </c>
    </row>
    <row r="47" spans="1:26" s="27" customFormat="1" outlineLevel="1" collapsed="1" x14ac:dyDescent="0.25">
      <c r="A47" s="29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SUM(OSRRefD22_4x_0)</f>
        <v>85.43</v>
      </c>
      <c r="E47" s="1"/>
      <c r="F47" s="5">
        <f t="shared" si="28"/>
        <v>0</v>
      </c>
      <c r="G47" s="1"/>
      <c r="H47" s="1">
        <f>SUM(OSRRefH22_4x_0)</f>
        <v>0</v>
      </c>
      <c r="I47" s="1"/>
      <c r="J47" s="5">
        <f t="shared" si="29"/>
        <v>0</v>
      </c>
      <c r="K47" s="1"/>
      <c r="L47" s="1">
        <f t="shared" si="30"/>
        <v>85.43</v>
      </c>
      <c r="M47" s="1"/>
      <c r="N47" s="5">
        <f t="shared" si="31"/>
        <v>0</v>
      </c>
      <c r="O47" s="14"/>
      <c r="P47" s="1">
        <f>SUM(OSRRefP22_4x_0)</f>
        <v>95.43</v>
      </c>
      <c r="Q47" s="1"/>
      <c r="R47" s="5">
        <f t="shared" si="32"/>
        <v>0</v>
      </c>
      <c r="S47" s="1"/>
      <c r="T47" s="1">
        <f>SUM(OSRRefT22_4x_0)</f>
        <v>0</v>
      </c>
      <c r="U47" s="1"/>
      <c r="V47" s="5">
        <f t="shared" si="33"/>
        <v>0</v>
      </c>
      <c r="W47" s="1"/>
      <c r="X47" s="1">
        <f t="shared" si="34"/>
        <v>95.43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"6305", " - ", "FREIGHT OUT")</f>
        <v xml:space="preserve">          6305 - FREIGHT OUT</v>
      </c>
      <c r="C48" s="11"/>
      <c r="D48" s="7">
        <v>85.43</v>
      </c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85.43</v>
      </c>
      <c r="M48" s="2"/>
      <c r="N48" s="6">
        <f t="shared" si="31"/>
        <v>0</v>
      </c>
      <c r="O48" s="11"/>
      <c r="P48" s="7">
        <v>95.43</v>
      </c>
      <c r="Q48" s="2"/>
      <c r="R48" s="6">
        <f t="shared" si="32"/>
        <v>0</v>
      </c>
      <c r="S48" s="2"/>
      <c r="T48" s="7"/>
      <c r="U48" s="2"/>
      <c r="V48" s="6">
        <f t="shared" si="33"/>
        <v>0</v>
      </c>
      <c r="W48" s="2"/>
      <c r="X48" s="7">
        <f t="shared" si="34"/>
        <v>95.43</v>
      </c>
      <c r="Y48" s="2"/>
      <c r="Z48" s="6">
        <f t="shared" si="35"/>
        <v>0</v>
      </c>
    </row>
    <row r="49" spans="1:26" s="27" customFormat="1" outlineLevel="1" collapsed="1" x14ac:dyDescent="0.25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SUM(OSRRefD22_5x_0)</f>
        <v>0</v>
      </c>
      <c r="E49" s="1"/>
      <c r="F49" s="5">
        <f t="shared" si="28"/>
        <v>0</v>
      </c>
      <c r="G49" s="1"/>
      <c r="H49" s="1">
        <f>SUM(OSRRefH22_5x_0)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SUM(OSRRefP22_5x_0)</f>
        <v>0</v>
      </c>
      <c r="Q49" s="1"/>
      <c r="R49" s="5">
        <f t="shared" si="32"/>
        <v>0</v>
      </c>
      <c r="S49" s="1"/>
      <c r="T49" s="1">
        <f>SUM(OSRRefT22_5x_0)</f>
        <v>1350</v>
      </c>
      <c r="U49" s="1"/>
      <c r="V49" s="5">
        <f t="shared" si="33"/>
        <v>3.3551209086164477E-2</v>
      </c>
      <c r="W49" s="1"/>
      <c r="X49" s="1">
        <f t="shared" si="34"/>
        <v>-1350</v>
      </c>
      <c r="Y49" s="1"/>
      <c r="Z49" s="5">
        <f t="shared" si="35"/>
        <v>-1</v>
      </c>
    </row>
    <row r="50" spans="1:26" s="24" customFormat="1" hidden="1" outlineLevel="2" x14ac:dyDescent="0.25">
      <c r="A50" s="28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/>
      <c r="Q50" s="2"/>
      <c r="R50" s="6">
        <f t="shared" si="32"/>
        <v>0</v>
      </c>
      <c r="S50" s="2"/>
      <c r="T50" s="7">
        <v>1350</v>
      </c>
      <c r="U50" s="2"/>
      <c r="V50" s="6">
        <f t="shared" si="33"/>
        <v>3.3551209086164477E-2</v>
      </c>
      <c r="W50" s="2"/>
      <c r="X50" s="7">
        <f t="shared" si="34"/>
        <v>-1350</v>
      </c>
      <c r="Y50" s="2"/>
      <c r="Z50" s="6">
        <f t="shared" si="35"/>
        <v>-1</v>
      </c>
    </row>
    <row r="51" spans="1:26" s="27" customFormat="1" outlineLevel="1" collapsed="1" x14ac:dyDescent="0.25">
      <c r="A51" s="29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35</v>
      </c>
      <c r="I51" s="1"/>
      <c r="J51" s="5">
        <f t="shared" si="29"/>
        <v>1.7054036934171417E-3</v>
      </c>
      <c r="K51" s="1"/>
      <c r="L51" s="1">
        <f t="shared" si="30"/>
        <v>-35</v>
      </c>
      <c r="M51" s="1"/>
      <c r="N51" s="5">
        <f t="shared" si="31"/>
        <v>-1</v>
      </c>
      <c r="O51" s="14"/>
      <c r="P51" s="1">
        <f>SUM(OSRRefP22_6x_0)</f>
        <v>24.12</v>
      </c>
      <c r="Q51" s="1"/>
      <c r="R51" s="5">
        <f t="shared" si="32"/>
        <v>0</v>
      </c>
      <c r="S51" s="1"/>
      <c r="T51" s="1">
        <f>SUM(OSRRefT22_6x_0)</f>
        <v>105</v>
      </c>
      <c r="U51" s="1"/>
      <c r="V51" s="5">
        <f t="shared" si="33"/>
        <v>2.6095384844794594E-3</v>
      </c>
      <c r="W51" s="1"/>
      <c r="X51" s="1">
        <f t="shared" si="34"/>
        <v>-80.88</v>
      </c>
      <c r="Y51" s="1"/>
      <c r="Z51" s="5">
        <f t="shared" si="35"/>
        <v>-0.77028571428571424</v>
      </c>
    </row>
    <row r="52" spans="1:26" s="24" customFormat="1" hidden="1" outlineLevel="2" x14ac:dyDescent="0.25">
      <c r="A52" s="28"/>
      <c r="B52" s="11" t="str">
        <f>CONCATENATE("          ", "6373", " - ", "MAINTENANCE CONTRACTS")</f>
        <v xml:space="preserve">          6373 - MAINTENANCE CONTRACTS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24.12</v>
      </c>
      <c r="Q52" s="2"/>
      <c r="R52" s="6">
        <f t="shared" si="32"/>
        <v>0</v>
      </c>
      <c r="S52" s="2"/>
      <c r="T52" s="7"/>
      <c r="U52" s="2"/>
      <c r="V52" s="6">
        <f t="shared" si="33"/>
        <v>0</v>
      </c>
      <c r="W52" s="2"/>
      <c r="X52" s="7">
        <f t="shared" si="34"/>
        <v>24.12</v>
      </c>
      <c r="Y52" s="2"/>
      <c r="Z52" s="6">
        <f t="shared" si="35"/>
        <v>0</v>
      </c>
    </row>
    <row r="53" spans="1:26" s="24" customFormat="1" hidden="1" outlineLevel="2" x14ac:dyDescent="0.25">
      <c r="A53" s="28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8"/>
        <v>0</v>
      </c>
      <c r="G53" s="2"/>
      <c r="H53" s="7">
        <v>35</v>
      </c>
      <c r="I53" s="2"/>
      <c r="J53" s="6">
        <f t="shared" si="29"/>
        <v>1.7054036934171417E-3</v>
      </c>
      <c r="K53" s="2"/>
      <c r="L53" s="7">
        <f t="shared" si="30"/>
        <v>-35</v>
      </c>
      <c r="M53" s="2"/>
      <c r="N53" s="6">
        <f t="shared" si="31"/>
        <v>-1</v>
      </c>
      <c r="O53" s="11"/>
      <c r="P53" s="7"/>
      <c r="Q53" s="2"/>
      <c r="R53" s="6">
        <f t="shared" si="32"/>
        <v>0</v>
      </c>
      <c r="S53" s="2"/>
      <c r="T53" s="7">
        <v>105</v>
      </c>
      <c r="U53" s="2"/>
      <c r="V53" s="6">
        <f t="shared" si="33"/>
        <v>2.6095384844794594E-3</v>
      </c>
      <c r="W53" s="2"/>
      <c r="X53" s="7">
        <f t="shared" si="34"/>
        <v>-105</v>
      </c>
      <c r="Y53" s="2"/>
      <c r="Z53" s="6">
        <f t="shared" si="35"/>
        <v>-1</v>
      </c>
    </row>
    <row r="54" spans="1:26" s="27" customFormat="1" outlineLevel="1" collapsed="1" x14ac:dyDescent="0.25">
      <c r="A54" s="29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SUM(OSRRefD22_7x_0)</f>
        <v>0</v>
      </c>
      <c r="E54" s="1"/>
      <c r="F54" s="5">
        <f t="shared" ref="F54:F59" si="36">IF(D$12=0,0,D54/D$12)</f>
        <v>0</v>
      </c>
      <c r="G54" s="1"/>
      <c r="H54" s="1">
        <f>SUM(OSRRefH22_7x_0)</f>
        <v>163</v>
      </c>
      <c r="I54" s="1"/>
      <c r="J54" s="5">
        <f t="shared" ref="J54:J59" si="37">IF(H$12=0,0,H54/H$12)</f>
        <v>7.9423086293426894E-3</v>
      </c>
      <c r="K54" s="1"/>
      <c r="L54" s="1">
        <f t="shared" ref="L54:L59" si="38">+D54-H54</f>
        <v>-163</v>
      </c>
      <c r="M54" s="1"/>
      <c r="N54" s="5">
        <f t="shared" ref="N54:N59" si="39">IF(H54=0,0,L54/H54)</f>
        <v>-1</v>
      </c>
      <c r="O54" s="14"/>
      <c r="P54" s="1">
        <f>SUM(OSRRefP22_7x_0)</f>
        <v>0</v>
      </c>
      <c r="Q54" s="1"/>
      <c r="R54" s="5">
        <f t="shared" ref="R54:R59" si="40">IF(P$12=0,0,P54/P$12)</f>
        <v>0</v>
      </c>
      <c r="S54" s="1"/>
      <c r="T54" s="1">
        <f>SUM(OSRRefT22_7x_0)</f>
        <v>652</v>
      </c>
      <c r="U54" s="1"/>
      <c r="V54" s="5">
        <f t="shared" ref="V54:V59" si="41">IF(T$12=0,0,T54/T$12)</f>
        <v>1.6203991351243879E-2</v>
      </c>
      <c r="W54" s="1"/>
      <c r="X54" s="1">
        <f t="shared" ref="X54:X59" si="42">+P54-T54</f>
        <v>-652</v>
      </c>
      <c r="Y54" s="1"/>
      <c r="Z54" s="5">
        <f t="shared" ref="Z54:Z59" si="43">IF(T54=0,0,X54/T54)</f>
        <v>-1</v>
      </c>
    </row>
    <row r="55" spans="1:26" s="24" customFormat="1" hidden="1" outlineLevel="2" x14ac:dyDescent="0.25">
      <c r="A55" s="28"/>
      <c r="B55" s="11" t="str">
        <f>CONCATENATE("          ", "6285", " - ", "JANITORIAL SERVICES")</f>
        <v xml:space="preserve">          6285 - JANITORIAL SERVICES</v>
      </c>
      <c r="C55" s="11"/>
      <c r="D55" s="7"/>
      <c r="E55" s="2"/>
      <c r="F55" s="6">
        <f t="shared" si="36"/>
        <v>0</v>
      </c>
      <c r="G55" s="2"/>
      <c r="H55" s="7">
        <v>163</v>
      </c>
      <c r="I55" s="2"/>
      <c r="J55" s="6">
        <f t="shared" si="37"/>
        <v>7.9423086293426894E-3</v>
      </c>
      <c r="K55" s="2"/>
      <c r="L55" s="7">
        <f t="shared" si="38"/>
        <v>-163</v>
      </c>
      <c r="M55" s="2"/>
      <c r="N55" s="6">
        <f t="shared" si="39"/>
        <v>-1</v>
      </c>
      <c r="O55" s="11"/>
      <c r="P55" s="7"/>
      <c r="Q55" s="2"/>
      <c r="R55" s="6">
        <f t="shared" si="40"/>
        <v>0</v>
      </c>
      <c r="S55" s="2"/>
      <c r="T55" s="7">
        <v>652</v>
      </c>
      <c r="U55" s="2"/>
      <c r="V55" s="6">
        <f t="shared" si="41"/>
        <v>1.6203991351243879E-2</v>
      </c>
      <c r="W55" s="2"/>
      <c r="X55" s="7">
        <f t="shared" si="42"/>
        <v>-652</v>
      </c>
      <c r="Y55" s="2"/>
      <c r="Z55" s="6">
        <f t="shared" si="43"/>
        <v>-1</v>
      </c>
    </row>
    <row r="56" spans="1:26" s="27" customFormat="1" outlineLevel="1" collapsed="1" x14ac:dyDescent="0.25">
      <c r="A56" s="29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SUM(OSRRefD22_8x_0)</f>
        <v>0</v>
      </c>
      <c r="E56" s="1"/>
      <c r="F56" s="5">
        <f t="shared" si="36"/>
        <v>0</v>
      </c>
      <c r="G56" s="1"/>
      <c r="H56" s="1">
        <f>SUM(OSRRefH22_8x_0)</f>
        <v>410</v>
      </c>
      <c r="I56" s="1"/>
      <c r="J56" s="5">
        <f t="shared" si="37"/>
        <v>1.9977586122886519E-2</v>
      </c>
      <c r="K56" s="1"/>
      <c r="L56" s="1">
        <f t="shared" si="38"/>
        <v>-410</v>
      </c>
      <c r="M56" s="1"/>
      <c r="N56" s="5">
        <f t="shared" si="39"/>
        <v>-1</v>
      </c>
      <c r="O56" s="14"/>
      <c r="P56" s="1">
        <f>SUM(OSRRefP22_8x_0)</f>
        <v>0</v>
      </c>
      <c r="Q56" s="1"/>
      <c r="R56" s="5">
        <f t="shared" si="40"/>
        <v>0</v>
      </c>
      <c r="S56" s="1"/>
      <c r="T56" s="1">
        <f>SUM(OSRRefT22_8x_0)</f>
        <v>1740</v>
      </c>
      <c r="U56" s="1"/>
      <c r="V56" s="5">
        <f t="shared" si="41"/>
        <v>4.3243780599945325E-2</v>
      </c>
      <c r="W56" s="1"/>
      <c r="X56" s="1">
        <f t="shared" si="42"/>
        <v>-1740</v>
      </c>
      <c r="Y56" s="1"/>
      <c r="Z56" s="5">
        <f t="shared" si="43"/>
        <v>-1</v>
      </c>
    </row>
    <row r="57" spans="1:26" s="24" customFormat="1" hidden="1" outlineLevel="2" x14ac:dyDescent="0.25">
      <c r="A57" s="28"/>
      <c r="B57" s="11" t="str">
        <f>CONCATENATE("          ", "6235", " - ", "COVID-19 EXPENSES")</f>
        <v xml:space="preserve">          6235 - COVID-19 EXPENSES</v>
      </c>
      <c r="C57" s="11"/>
      <c r="D57" s="7"/>
      <c r="E57" s="2"/>
      <c r="F57" s="6">
        <f t="shared" si="36"/>
        <v>0</v>
      </c>
      <c r="G57" s="2"/>
      <c r="H57" s="7">
        <v>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/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0</v>
      </c>
      <c r="Y57" s="2"/>
      <c r="Z57" s="6">
        <f t="shared" si="43"/>
        <v>0</v>
      </c>
    </row>
    <row r="58" spans="1:26" s="24" customFormat="1" hidden="1" outlineLevel="2" x14ac:dyDescent="0.25">
      <c r="A58" s="28"/>
      <c r="B58" s="11" t="str">
        <f>CONCATENATE("          ", "6247", " - ", "STORE SUPPLIES")</f>
        <v xml:space="preserve">          6247 - STORE SUPPLIES</v>
      </c>
      <c r="C58" s="11"/>
      <c r="D58" s="7"/>
      <c r="E58" s="2"/>
      <c r="F58" s="6">
        <f t="shared" si="36"/>
        <v>0</v>
      </c>
      <c r="G58" s="2"/>
      <c r="H58" s="7">
        <v>410</v>
      </c>
      <c r="I58" s="2"/>
      <c r="J58" s="6">
        <f t="shared" si="37"/>
        <v>1.9977586122886519E-2</v>
      </c>
      <c r="K58" s="2"/>
      <c r="L58" s="7">
        <f t="shared" si="38"/>
        <v>-410</v>
      </c>
      <c r="M58" s="2"/>
      <c r="N58" s="6">
        <f t="shared" si="39"/>
        <v>-1</v>
      </c>
      <c r="O58" s="11"/>
      <c r="P58" s="7"/>
      <c r="Q58" s="2"/>
      <c r="R58" s="6">
        <f t="shared" si="40"/>
        <v>0</v>
      </c>
      <c r="S58" s="2"/>
      <c r="T58" s="7">
        <v>1740</v>
      </c>
      <c r="U58" s="2"/>
      <c r="V58" s="6">
        <f t="shared" si="41"/>
        <v>4.3243780599945325E-2</v>
      </c>
      <c r="W58" s="2"/>
      <c r="X58" s="7">
        <f t="shared" si="42"/>
        <v>-1740</v>
      </c>
      <c r="Y58" s="2"/>
      <c r="Z58" s="6">
        <f t="shared" si="43"/>
        <v>-1</v>
      </c>
    </row>
    <row r="59" spans="1:26" s="24" customFormat="1" hidden="1" outlineLevel="2" x14ac:dyDescent="0.25">
      <c r="A59" s="28"/>
      <c r="B59" s="11" t="str">
        <f>CONCATENATE("          ", "6248", " - ", "UNIFORMS")</f>
        <v xml:space="preserve">          6248 - UNIFORMS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/>
      <c r="Q59" s="2"/>
      <c r="R59" s="6">
        <f t="shared" si="40"/>
        <v>0</v>
      </c>
      <c r="S59" s="2"/>
      <c r="T59" s="7">
        <v>0</v>
      </c>
      <c r="U59" s="2"/>
      <c r="V59" s="6">
        <f t="shared" si="41"/>
        <v>0</v>
      </c>
      <c r="W59" s="2"/>
      <c r="X59" s="7">
        <f t="shared" si="42"/>
        <v>0</v>
      </c>
      <c r="Y59" s="2"/>
      <c r="Z59" s="6">
        <f t="shared" si="43"/>
        <v>0</v>
      </c>
    </row>
    <row r="60" spans="1:26" s="27" customFormat="1" outlineLevel="1" collapsed="1" x14ac:dyDescent="0.25">
      <c r="A60" s="29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SUM(OSRRefD22_9x_0)</f>
        <v>122</v>
      </c>
      <c r="E60" s="1"/>
      <c r="F60" s="5">
        <f t="shared" ref="F60:F62" si="44">IF(D$12=0,0,D60/D$12)</f>
        <v>0</v>
      </c>
      <c r="G60" s="1"/>
      <c r="H60" s="1">
        <f>SUM(OSRRefH22_9x_0)</f>
        <v>120</v>
      </c>
      <c r="I60" s="1"/>
      <c r="J60" s="5">
        <f t="shared" ref="J60:J62" si="45">IF(H$12=0,0,H60/H$12)</f>
        <v>5.8470983774302002E-3</v>
      </c>
      <c r="K60" s="1"/>
      <c r="L60" s="1">
        <f t="shared" ref="L60:L62" si="46">+D60-H60</f>
        <v>2</v>
      </c>
      <c r="M60" s="1"/>
      <c r="N60" s="5">
        <f t="shared" ref="N60:N62" si="47">IF(H60=0,0,L60/H60)</f>
        <v>1.6666666666666666E-2</v>
      </c>
      <c r="O60" s="14"/>
      <c r="P60" s="1">
        <f>SUM(OSRRefP22_9x_0)</f>
        <v>536.35</v>
      </c>
      <c r="Q60" s="1"/>
      <c r="R60" s="5">
        <f t="shared" ref="R60:R62" si="48">IF(P$12=0,0,P60/P$12)</f>
        <v>0</v>
      </c>
      <c r="S60" s="1"/>
      <c r="T60" s="1">
        <f>SUM(OSRRefT22_9x_0)</f>
        <v>480</v>
      </c>
      <c r="U60" s="1"/>
      <c r="V60" s="5">
        <f t="shared" ref="V60:V62" si="49">IF(T$12=0,0,T60/T$12)</f>
        <v>1.1929318786191814E-2</v>
      </c>
      <c r="W60" s="1"/>
      <c r="X60" s="1">
        <f t="shared" ref="X60:X62" si="50">+P60-T60</f>
        <v>56.350000000000023</v>
      </c>
      <c r="Y60" s="1"/>
      <c r="Z60" s="5">
        <f t="shared" ref="Z60:Z62" si="51">IF(T60=0,0,X60/T60)</f>
        <v>0.11739583333333338</v>
      </c>
    </row>
    <row r="61" spans="1:26" s="24" customFormat="1" hidden="1" outlineLevel="2" x14ac:dyDescent="0.25">
      <c r="A61" s="28"/>
      <c r="B61" s="11" t="str">
        <f>CONCATENATE("          ", "6303", " - ", "DATA PHONE LINES")</f>
        <v xml:space="preserve">          6303 - DATA PHONE LINES</v>
      </c>
      <c r="C61" s="11"/>
      <c r="D61" s="7"/>
      <c r="E61" s="2"/>
      <c r="F61" s="6">
        <f t="shared" si="44"/>
        <v>0</v>
      </c>
      <c r="G61" s="2"/>
      <c r="H61" s="7">
        <v>120</v>
      </c>
      <c r="I61" s="2"/>
      <c r="J61" s="6">
        <f t="shared" si="45"/>
        <v>5.8470983774302002E-3</v>
      </c>
      <c r="K61" s="2"/>
      <c r="L61" s="7">
        <f t="shared" si="46"/>
        <v>-120</v>
      </c>
      <c r="M61" s="2"/>
      <c r="N61" s="6">
        <f t="shared" si="47"/>
        <v>-1</v>
      </c>
      <c r="O61" s="11"/>
      <c r="P61" s="7"/>
      <c r="Q61" s="2"/>
      <c r="R61" s="6">
        <f t="shared" si="48"/>
        <v>0</v>
      </c>
      <c r="S61" s="2"/>
      <c r="T61" s="7">
        <v>480</v>
      </c>
      <c r="U61" s="2"/>
      <c r="V61" s="6">
        <f t="shared" si="49"/>
        <v>1.1929318786191814E-2</v>
      </c>
      <c r="W61" s="2"/>
      <c r="X61" s="7">
        <f t="shared" si="50"/>
        <v>-480</v>
      </c>
      <c r="Y61" s="2"/>
      <c r="Z61" s="6">
        <f t="shared" si="51"/>
        <v>-1</v>
      </c>
    </row>
    <row r="62" spans="1:26" s="24" customFormat="1" hidden="1" outlineLevel="2" x14ac:dyDescent="0.25">
      <c r="A62" s="28"/>
      <c r="B62" s="11" t="str">
        <f>CONCATENATE("          ", "6309", " - ", "TELEPHONE")</f>
        <v xml:space="preserve">          6309 - TELEPHONE</v>
      </c>
      <c r="C62" s="11"/>
      <c r="D62" s="7">
        <v>122</v>
      </c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122</v>
      </c>
      <c r="M62" s="2"/>
      <c r="N62" s="6">
        <f t="shared" si="47"/>
        <v>0</v>
      </c>
      <c r="O62" s="11"/>
      <c r="P62" s="7">
        <v>536.35</v>
      </c>
      <c r="Q62" s="2"/>
      <c r="R62" s="6">
        <f t="shared" si="48"/>
        <v>0</v>
      </c>
      <c r="S62" s="2"/>
      <c r="T62" s="7"/>
      <c r="U62" s="2"/>
      <c r="V62" s="6">
        <f t="shared" si="49"/>
        <v>0</v>
      </c>
      <c r="W62" s="2"/>
      <c r="X62" s="7">
        <f t="shared" si="50"/>
        <v>536.35</v>
      </c>
      <c r="Y62" s="2"/>
      <c r="Z62" s="6">
        <f t="shared" si="51"/>
        <v>0</v>
      </c>
    </row>
    <row r="63" spans="1:26" s="27" customFormat="1" outlineLevel="1" collapsed="1" x14ac:dyDescent="0.25">
      <c r="A63" s="29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4"/>
      <c r="P63" s="1">
        <f>SUM(OSRRefP22_10x_0)</f>
        <v>0</v>
      </c>
      <c r="Q63" s="1"/>
      <c r="R63" s="5">
        <f t="shared" ref="R63:R66" si="56">IF(P$12=0,0,P63/P$12)</f>
        <v>0</v>
      </c>
      <c r="S63" s="1"/>
      <c r="T63" s="1">
        <f>SUM(OSRRefT22_10x_0)</f>
        <v>60</v>
      </c>
      <c r="U63" s="1"/>
      <c r="V63" s="5">
        <f t="shared" ref="V63:V66" si="57">IF(T$12=0,0,T63/T$12)</f>
        <v>1.4911648482739768E-3</v>
      </c>
      <c r="W63" s="1"/>
      <c r="X63" s="1">
        <f t="shared" ref="X63:X66" si="58">+P63-T63</f>
        <v>-60</v>
      </c>
      <c r="Y63" s="1"/>
      <c r="Z63" s="5">
        <f t="shared" ref="Z63:Z66" si="59">IF(T63=0,0,X63/T63)</f>
        <v>-1</v>
      </c>
    </row>
    <row r="64" spans="1:26" s="24" customFormat="1" hidden="1" outlineLevel="2" x14ac:dyDescent="0.25">
      <c r="A64" s="28"/>
      <c r="B64" s="11" t="str">
        <f>CONCATENATE("          ", "6376", " - ", "TRAINING")</f>
        <v xml:space="preserve">          6376 - TRAINING</v>
      </c>
      <c r="C64" s="11"/>
      <c r="D64" s="7"/>
      <c r="E64" s="2"/>
      <c r="F64" s="6">
        <f t="shared" si="52"/>
        <v>0</v>
      </c>
      <c r="G64" s="2"/>
      <c r="H64" s="7"/>
      <c r="I64" s="2"/>
      <c r="J64" s="6">
        <f t="shared" si="53"/>
        <v>0</v>
      </c>
      <c r="K64" s="2"/>
      <c r="L64" s="7">
        <f t="shared" si="54"/>
        <v>0</v>
      </c>
      <c r="M64" s="2"/>
      <c r="N64" s="6">
        <f t="shared" si="55"/>
        <v>0</v>
      </c>
      <c r="O64" s="11"/>
      <c r="P64" s="7"/>
      <c r="Q64" s="2"/>
      <c r="R64" s="6">
        <f t="shared" si="56"/>
        <v>0</v>
      </c>
      <c r="S64" s="2"/>
      <c r="T64" s="7">
        <v>60</v>
      </c>
      <c r="U64" s="2"/>
      <c r="V64" s="6">
        <f t="shared" si="57"/>
        <v>1.4911648482739768E-3</v>
      </c>
      <c r="W64" s="2"/>
      <c r="X64" s="7">
        <f t="shared" si="58"/>
        <v>-60</v>
      </c>
      <c r="Y64" s="2"/>
      <c r="Z64" s="6">
        <f t="shared" si="59"/>
        <v>-1</v>
      </c>
    </row>
    <row r="65" spans="1:26" s="27" customFormat="1" outlineLevel="1" collapsed="1" x14ac:dyDescent="0.25">
      <c r="A65" s="29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SUM(OSRRefD22_11x_0)</f>
        <v>0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0</v>
      </c>
      <c r="M65" s="1"/>
      <c r="N65" s="5">
        <f t="shared" si="55"/>
        <v>0</v>
      </c>
      <c r="O65" s="14"/>
      <c r="P65" s="1">
        <f>SUM(OSRRefP22_11x_0)</f>
        <v>0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0</v>
      </c>
      <c r="Y65" s="1"/>
      <c r="Z65" s="5">
        <f t="shared" si="59"/>
        <v>0</v>
      </c>
    </row>
    <row r="66" spans="1:26" s="24" customFormat="1" hidden="1" outlineLevel="2" x14ac:dyDescent="0.25">
      <c r="A66" s="28"/>
      <c r="B66" s="11" t="str">
        <f>CONCATENATE("          ", "6292", " - ", "TRAVEL/CONFERENCE")</f>
        <v xml:space="preserve">          6292 - TRAVEL/CONFERENCE</v>
      </c>
      <c r="C66" s="11"/>
      <c r="D66" s="7"/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0</v>
      </c>
      <c r="Y66" s="2"/>
      <c r="Z66" s="6">
        <f t="shared" si="59"/>
        <v>0</v>
      </c>
    </row>
    <row r="67" spans="1:26" s="63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5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6" t="s">
        <v>3</v>
      </c>
      <c r="C70" s="26"/>
      <c r="D70" s="20">
        <f>+D19-D21+D68</f>
        <v>-8727.58</v>
      </c>
      <c r="E70" s="13"/>
      <c r="F70" s="19">
        <f>IF(D$12=0,0,D70/D$12)</f>
        <v>0</v>
      </c>
      <c r="G70" s="13"/>
      <c r="H70" s="20">
        <f>+H19-H21+H68</f>
        <v>-6290.9937250000003</v>
      </c>
      <c r="I70" s="13"/>
      <c r="J70" s="19">
        <f>IF(H$12=0,0,H70/H$12)</f>
        <v>-0.30653382668225893</v>
      </c>
      <c r="K70" s="15"/>
      <c r="L70" s="20">
        <f>+D70-H70</f>
        <v>-2436.5862749999997</v>
      </c>
      <c r="M70" s="15"/>
      <c r="N70" s="19">
        <f>IF(H70=0,0,L70/H70)</f>
        <v>0.38731341684814663</v>
      </c>
      <c r="O70" s="25"/>
      <c r="P70" s="20">
        <f>+P19-P21+P68</f>
        <v>-37051.770000000004</v>
      </c>
      <c r="Q70" s="13"/>
      <c r="R70" s="19">
        <f>IF(P$12=0,0,P70/P$12)</f>
        <v>0</v>
      </c>
      <c r="S70" s="13"/>
      <c r="T70" s="20">
        <f>+T19-T21+T68</f>
        <v>-35555.23605</v>
      </c>
      <c r="U70" s="13"/>
      <c r="V70" s="19">
        <f>IF(T$12=0,0,T70/T$12)</f>
        <v>-0.88364530283072795</v>
      </c>
      <c r="W70" s="15"/>
      <c r="X70" s="20">
        <f>+P70-T70</f>
        <v>-1496.5339500000046</v>
      </c>
      <c r="Y70" s="15"/>
      <c r="Z70" s="19">
        <f>IF(T70=0,0,X70/T70)</f>
        <v>4.2090395571990714E-2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/>
      <c r="E72" s="4"/>
      <c r="F72" s="12">
        <f>IF(D$12=0,0,D72/D$12)</f>
        <v>0</v>
      </c>
      <c r="G72" s="4"/>
      <c r="H72" s="4">
        <v>3737</v>
      </c>
      <c r="I72" s="4"/>
      <c r="J72" s="12">
        <f>IF(H$12=0,0,H72/H$12)</f>
        <v>0.18208838863713883</v>
      </c>
      <c r="K72" s="4"/>
      <c r="L72" s="4">
        <f>+D72-H72</f>
        <v>-3737</v>
      </c>
      <c r="M72" s="4"/>
      <c r="N72" s="12">
        <f>IF(H72=0,0,L72/H72)</f>
        <v>-1</v>
      </c>
      <c r="O72" s="10"/>
      <c r="P72" s="4"/>
      <c r="Q72" s="4"/>
      <c r="R72" s="12">
        <f>IF(P$12=0,0,P72/P$12)</f>
        <v>0</v>
      </c>
      <c r="S72" s="4"/>
      <c r="T72" s="4">
        <v>6588</v>
      </c>
      <c r="U72" s="4"/>
      <c r="V72" s="12">
        <f>IF(T$12=0,0,T72/T$12)</f>
        <v>0.16372990034048265</v>
      </c>
      <c r="W72" s="4"/>
      <c r="X72" s="4">
        <f>+P72-T72</f>
        <v>-6588</v>
      </c>
      <c r="Y72" s="4"/>
      <c r="Z72" s="12">
        <f>IF(T72=0,0,X72/T72)</f>
        <v>-1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4</v>
      </c>
      <c r="C74" s="26"/>
      <c r="D74" s="34">
        <f>+D70-D72</f>
        <v>-8727.58</v>
      </c>
      <c r="E74" s="13"/>
      <c r="F74" s="35">
        <f>IF(D$12=0,0,D74/D$12)</f>
        <v>0</v>
      </c>
      <c r="G74" s="13"/>
      <c r="H74" s="34">
        <f>+H70-H72</f>
        <v>-10027.993725</v>
      </c>
      <c r="I74" s="13"/>
      <c r="J74" s="35">
        <f>IF(H$12=0,0,H74/H$12)</f>
        <v>-0.48862221531939776</v>
      </c>
      <c r="K74" s="15"/>
      <c r="L74" s="34">
        <f>D74-H74</f>
        <v>1300.4137250000003</v>
      </c>
      <c r="M74" s="15"/>
      <c r="N74" s="35">
        <f>IF(H74=0,0,L74/H74)</f>
        <v>-0.12967835448062173</v>
      </c>
      <c r="O74" s="25"/>
      <c r="P74" s="34">
        <f>+P70-P72</f>
        <v>-37051.770000000004</v>
      </c>
      <c r="Q74" s="13"/>
      <c r="R74" s="35">
        <f>IF(P$12=0,0,P74/P$12)</f>
        <v>0</v>
      </c>
      <c r="S74" s="13"/>
      <c r="T74" s="34">
        <f>+T70-T72</f>
        <v>-42143.23605</v>
      </c>
      <c r="U74" s="13"/>
      <c r="V74" s="35">
        <f>IF(T$12=0,0,T74/T$12)</f>
        <v>-1.0473752031712105</v>
      </c>
      <c r="W74" s="15"/>
      <c r="X74" s="34">
        <f>P74-T74</f>
        <v>5091.4660499999954</v>
      </c>
      <c r="Y74" s="15"/>
      <c r="Z74" s="35">
        <f>IF(T74=0,0,X74/T74)</f>
        <v>-0.12081336240907858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5</v>
      </c>
      <c r="C77" s="26"/>
      <c r="D77" s="30">
        <f>SUM(D74:D76)</f>
        <v>-8727.58</v>
      </c>
      <c r="E77" s="13"/>
      <c r="F77" s="32">
        <f>IF(D$12=0,0,D77/D$12)</f>
        <v>0</v>
      </c>
      <c r="G77" s="13"/>
      <c r="H77" s="30">
        <f>SUM(H74:H76)</f>
        <v>-10027.993725</v>
      </c>
      <c r="I77" s="13"/>
      <c r="J77" s="32">
        <f>IF(H$12=0,0,H77/H$12)</f>
        <v>-0.48862221531939776</v>
      </c>
      <c r="K77" s="15"/>
      <c r="L77" s="30">
        <f>+D77-H77</f>
        <v>1300.4137250000003</v>
      </c>
      <c r="M77" s="15"/>
      <c r="N77" s="32">
        <f>IF(H77=0,0,L77/H77)</f>
        <v>-0.12967835448062173</v>
      </c>
      <c r="O77" s="25"/>
      <c r="P77" s="30">
        <f>SUM(P74:P76)</f>
        <v>-37051.770000000004</v>
      </c>
      <c r="Q77" s="13"/>
      <c r="R77" s="32">
        <f>IF(P$12=0,0,P77/P$12)</f>
        <v>0</v>
      </c>
      <c r="S77" s="13"/>
      <c r="T77" s="30">
        <f>SUM(T74:T76)</f>
        <v>-42143.23605</v>
      </c>
      <c r="U77" s="13"/>
      <c r="V77" s="32">
        <f>IF(T$12=0,0,T77/T$12)</f>
        <v>-1.0473752031712105</v>
      </c>
      <c r="W77" s="15"/>
      <c r="X77" s="30">
        <f>+P77-T77</f>
        <v>5091.4660499999954</v>
      </c>
      <c r="Y77" s="15"/>
      <c r="Z77" s="32">
        <f>IF(T77=0,0,X77/T77)</f>
        <v>-0.12081336240907858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60">
        <v>44151.56831234954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8" t="s">
        <v>314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3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","321", " - ", "Student Union C-Store")</f>
        <v>Department 321 - Student Union C-Store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12450</v>
      </c>
      <c r="I12" s="4"/>
      <c r="J12" s="12"/>
      <c r="K12" s="4"/>
      <c r="L12" s="4">
        <f t="shared" ref="L12:L15" si="0">+D12-H12</f>
        <v>-12450</v>
      </c>
      <c r="M12" s="4"/>
      <c r="N12" s="12">
        <f t="shared" ref="N12:N15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23531</v>
      </c>
      <c r="U12" s="4"/>
      <c r="V12" s="12"/>
      <c r="W12" s="4"/>
      <c r="X12" s="4">
        <f t="shared" ref="X12:X15" si="2">+P12-T12</f>
        <v>-21054.53</v>
      </c>
      <c r="Y12" s="4"/>
      <c r="Z12" s="12">
        <f t="shared" ref="Z12:Z15" si="3">IF(T12=0,0,X12/T12)</f>
        <v>-0.89475712889379966</v>
      </c>
    </row>
    <row r="13" spans="1:26" s="24" customFormat="1" hidden="1" outlineLevel="1" x14ac:dyDescent="0.25">
      <c r="A13" s="51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--444.59</f>
        <v>444.59</v>
      </c>
      <c r="Q13" s="2"/>
      <c r="R13" s="22"/>
      <c r="S13" s="2"/>
      <c r="T13" s="2"/>
      <c r="U13" s="2"/>
      <c r="V13" s="22"/>
      <c r="W13" s="2"/>
      <c r="X13" s="2">
        <f t="shared" si="2"/>
        <v>444.59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12450</v>
      </c>
      <c r="I14" s="2"/>
      <c r="J14" s="22"/>
      <c r="K14" s="2"/>
      <c r="L14" s="2">
        <f t="shared" si="0"/>
        <v>-12450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23531</v>
      </c>
      <c r="U14" s="2"/>
      <c r="V14" s="22"/>
      <c r="W14" s="2"/>
      <c r="X14" s="2">
        <f t="shared" si="2"/>
        <v>-23531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--2031.88</f>
        <v>2031.88</v>
      </c>
      <c r="Q15" s="2"/>
      <c r="R15" s="22"/>
      <c r="S15" s="2"/>
      <c r="T15" s="2"/>
      <c r="U15" s="2"/>
      <c r="V15" s="22"/>
      <c r="W15" s="2"/>
      <c r="X15" s="2">
        <f t="shared" si="2"/>
        <v>2031.88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-478</v>
      </c>
      <c r="E17" s="4"/>
      <c r="F17" s="12">
        <f t="shared" ref="F17:F19" si="5">IF(D$12=0,0,D17/D$12)</f>
        <v>0</v>
      </c>
      <c r="G17" s="4"/>
      <c r="H17" s="4">
        <f>SUM(OSRRefH16x_0)</f>
        <v>6474</v>
      </c>
      <c r="I17" s="4"/>
      <c r="J17" s="12">
        <f t="shared" ref="J17:J19" si="6">IF(H$12=0,0,H17/H$12)</f>
        <v>0.52</v>
      </c>
      <c r="K17" s="4"/>
      <c r="L17" s="4">
        <f t="shared" ref="L17:L19" si="7">+D17-H17</f>
        <v>-6952</v>
      </c>
      <c r="M17" s="4"/>
      <c r="N17" s="12">
        <f t="shared" ref="N17:N19" si="8">IF(H17=0,0,L17/H17)</f>
        <v>-1.0738337967253631</v>
      </c>
      <c r="O17" s="10"/>
      <c r="P17" s="4">
        <f>SUM(OSRRefP16x_0)</f>
        <v>-238.52</v>
      </c>
      <c r="Q17" s="4"/>
      <c r="R17" s="12">
        <f t="shared" ref="R17:R19" si="9">IF(P$12=0,0,P17/P$12)</f>
        <v>-9.6314512188720225E-2</v>
      </c>
      <c r="S17" s="4"/>
      <c r="T17" s="4">
        <f>SUM(OSRRefT16x_0)</f>
        <v>12235</v>
      </c>
      <c r="U17" s="4"/>
      <c r="V17" s="12">
        <f t="shared" ref="V17:V19" si="10">IF(T$12=0,0,T17/T$12)</f>
        <v>0.51995240321278313</v>
      </c>
      <c r="W17" s="4"/>
      <c r="X17" s="4">
        <f t="shared" ref="X17:X19" si="11">+P17-T17</f>
        <v>-12473.52</v>
      </c>
      <c r="Y17" s="4"/>
      <c r="Z17" s="12">
        <f t="shared" ref="Z17:Z19" si="12">IF(T17=0,0,X17/T17)</f>
        <v>-1.0194948917041275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5"/>
        <v>0</v>
      </c>
      <c r="G18" s="2"/>
      <c r="H18" s="2">
        <v>6474</v>
      </c>
      <c r="I18" s="2"/>
      <c r="J18" s="22">
        <f t="shared" si="6"/>
        <v>0.52</v>
      </c>
      <c r="K18" s="2"/>
      <c r="L18" s="2">
        <f t="shared" si="7"/>
        <v>-6474</v>
      </c>
      <c r="M18" s="2"/>
      <c r="N18" s="22">
        <f t="shared" si="8"/>
        <v>-1</v>
      </c>
      <c r="O18" s="11"/>
      <c r="P18" s="2"/>
      <c r="Q18" s="2"/>
      <c r="R18" s="22">
        <f t="shared" si="9"/>
        <v>0</v>
      </c>
      <c r="S18" s="2"/>
      <c r="T18" s="2">
        <v>12235</v>
      </c>
      <c r="U18" s="2"/>
      <c r="V18" s="22">
        <f t="shared" si="10"/>
        <v>0.51995240321278313</v>
      </c>
      <c r="W18" s="2"/>
      <c r="X18" s="2">
        <f t="shared" si="11"/>
        <v>-12235</v>
      </c>
      <c r="Y18" s="2"/>
      <c r="Z18" s="22">
        <f t="shared" si="12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-478</v>
      </c>
      <c r="E19" s="2"/>
      <c r="F19" s="22">
        <f t="shared" si="5"/>
        <v>0</v>
      </c>
      <c r="G19" s="2"/>
      <c r="H19" s="2"/>
      <c r="I19" s="2"/>
      <c r="J19" s="22">
        <f t="shared" si="6"/>
        <v>0</v>
      </c>
      <c r="K19" s="2"/>
      <c r="L19" s="2">
        <f t="shared" si="7"/>
        <v>-478</v>
      </c>
      <c r="M19" s="2"/>
      <c r="N19" s="22">
        <f t="shared" si="8"/>
        <v>0</v>
      </c>
      <c r="O19" s="11"/>
      <c r="P19" s="2">
        <v>-238.52</v>
      </c>
      <c r="Q19" s="2"/>
      <c r="R19" s="22">
        <f t="shared" si="9"/>
        <v>-9.6314512188720225E-2</v>
      </c>
      <c r="S19" s="2"/>
      <c r="T19" s="2"/>
      <c r="U19" s="2"/>
      <c r="V19" s="22">
        <f t="shared" si="10"/>
        <v>0</v>
      </c>
      <c r="W19" s="2"/>
      <c r="X19" s="2">
        <f t="shared" si="11"/>
        <v>-238.52</v>
      </c>
      <c r="Y19" s="2"/>
      <c r="Z19" s="22">
        <f t="shared" si="12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0">
        <f>D12-D17</f>
        <v>478</v>
      </c>
      <c r="E21" s="13"/>
      <c r="F21" s="19">
        <f>IF(D$12=0,0,D21/D$12)</f>
        <v>0</v>
      </c>
      <c r="G21" s="13"/>
      <c r="H21" s="20">
        <f>H12-H17</f>
        <v>5976</v>
      </c>
      <c r="I21" s="13"/>
      <c r="J21" s="19">
        <f>IF(H$12=0,0,H21/H$12)</f>
        <v>0.48</v>
      </c>
      <c r="K21" s="15"/>
      <c r="L21" s="20">
        <f>+D21-H21</f>
        <v>-5498</v>
      </c>
      <c r="M21" s="15"/>
      <c r="N21" s="19">
        <f>IF(H21=0,0,L21/H21)</f>
        <v>-0.92001338688085676</v>
      </c>
      <c r="O21" s="25"/>
      <c r="P21" s="20">
        <f>P12-P17</f>
        <v>2714.9900000000002</v>
      </c>
      <c r="Q21" s="13"/>
      <c r="R21" s="19">
        <f>IF(P$12=0,0,P21/P$12)</f>
        <v>1.0963145121887201</v>
      </c>
      <c r="S21" s="13"/>
      <c r="T21" s="20">
        <f>T12-T17</f>
        <v>11296</v>
      </c>
      <c r="U21" s="13"/>
      <c r="V21" s="19">
        <f>IF(T$12=0,0,T21/T$12)</f>
        <v>0.48004759678721687</v>
      </c>
      <c r="W21" s="15"/>
      <c r="X21" s="20">
        <f>+P21-T21</f>
        <v>-8581.01</v>
      </c>
      <c r="Y21" s="15"/>
      <c r="Z21" s="19">
        <f>IF(T21=0,0,X21/T21)</f>
        <v>-0.75965031869688382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1">
        <f>SUM(OSRRefD22x_0)</f>
        <v>4859.6699999999992</v>
      </c>
      <c r="E23" s="21"/>
      <c r="F23" s="31">
        <f t="shared" ref="F23:F33" si="13">IF(D$12=0,0,D23/D$12)</f>
        <v>0</v>
      </c>
      <c r="G23" s="21"/>
      <c r="H23" s="21">
        <f>SUM(OSRRefH22x_0)</f>
        <v>10943.1858035</v>
      </c>
      <c r="I23" s="21"/>
      <c r="J23" s="31">
        <f t="shared" ref="J23:J33" si="14">IF(H$12=0,0,H23/H$12)</f>
        <v>0.87897074726907631</v>
      </c>
      <c r="K23" s="4"/>
      <c r="L23" s="21">
        <f t="shared" ref="L23:L33" si="15">+D23-H23</f>
        <v>-6083.5158035000013</v>
      </c>
      <c r="M23" s="4"/>
      <c r="N23" s="31">
        <f t="shared" ref="N23:N33" si="16">IF(H23=0,0,L23/H23)</f>
        <v>-0.55591816795747795</v>
      </c>
      <c r="O23" s="10"/>
      <c r="P23" s="21">
        <f>SUM(OSRRefP22x_0)</f>
        <v>27676.500000000004</v>
      </c>
      <c r="Q23" s="21"/>
      <c r="R23" s="31">
        <f t="shared" ref="R23:R33" si="17">IF(P$12=0,0,P23/P$12)</f>
        <v>11.175786502562115</v>
      </c>
      <c r="S23" s="21"/>
      <c r="T23" s="21">
        <f>SUM(OSRRefT22x_0)</f>
        <v>28710.373034299999</v>
      </c>
      <c r="U23" s="21"/>
      <c r="V23" s="31">
        <f t="shared" ref="V23:V33" si="18">IF(T$12=0,0,T23/T$12)</f>
        <v>1.220108496634227</v>
      </c>
      <c r="W23" s="4"/>
      <c r="X23" s="21">
        <f t="shared" ref="X23:X33" si="19">+P23-T23</f>
        <v>-1033.8730342999952</v>
      </c>
      <c r="Y23" s="4"/>
      <c r="Z23" s="31">
        <f t="shared" ref="Z23:Z33" si="20">IF(T23=0,0,X23/T23)</f>
        <v>-3.6010435429203146E-2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2222.1799999999998</v>
      </c>
      <c r="E24" s="1"/>
      <c r="F24" s="5">
        <f t="shared" si="13"/>
        <v>0</v>
      </c>
      <c r="G24" s="1"/>
      <c r="H24" s="1">
        <f>SUM(OSRRefH22_0x_0)</f>
        <v>566.23580349999997</v>
      </c>
      <c r="I24" s="1"/>
      <c r="J24" s="5">
        <f t="shared" si="14"/>
        <v>4.5480787429718873E-2</v>
      </c>
      <c r="K24" s="1"/>
      <c r="L24" s="1">
        <f t="shared" si="15"/>
        <v>1655.9441964999999</v>
      </c>
      <c r="M24" s="1"/>
      <c r="N24" s="5">
        <f t="shared" si="16"/>
        <v>2.92447808185976</v>
      </c>
      <c r="O24" s="14"/>
      <c r="P24" s="1">
        <f>SUM(OSRRefP22_0x_0)</f>
        <v>6743.14</v>
      </c>
      <c r="Q24" s="1"/>
      <c r="R24" s="5">
        <f t="shared" si="17"/>
        <v>2.7228837821576679</v>
      </c>
      <c r="S24" s="1"/>
      <c r="T24" s="1">
        <f>SUM(OSRRefT22_0x_0)</f>
        <v>1335.2630343000001</v>
      </c>
      <c r="U24" s="1"/>
      <c r="V24" s="5">
        <f t="shared" si="18"/>
        <v>5.6744848680464074E-2</v>
      </c>
      <c r="W24" s="1"/>
      <c r="X24" s="1">
        <f t="shared" si="19"/>
        <v>5407.8769657000003</v>
      </c>
      <c r="Y24" s="1"/>
      <c r="Z24" s="5">
        <f t="shared" si="20"/>
        <v>4.0500461907380165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>
        <v>575.9</v>
      </c>
      <c r="E25" s="2"/>
      <c r="F25" s="6">
        <f t="shared" si="13"/>
        <v>0</v>
      </c>
      <c r="G25" s="2"/>
      <c r="H25" s="7">
        <v>250.5936585</v>
      </c>
      <c r="I25" s="2"/>
      <c r="J25" s="6">
        <f t="shared" si="14"/>
        <v>2.0128004698795179E-2</v>
      </c>
      <c r="K25" s="2"/>
      <c r="L25" s="7">
        <f t="shared" si="15"/>
        <v>325.30634149999997</v>
      </c>
      <c r="M25" s="2"/>
      <c r="N25" s="6">
        <f t="shared" si="16"/>
        <v>1.2981427520840476</v>
      </c>
      <c r="O25" s="11"/>
      <c r="P25" s="7">
        <v>1507.97</v>
      </c>
      <c r="Q25" s="2"/>
      <c r="R25" s="6">
        <f t="shared" si="17"/>
        <v>0.60891914701167382</v>
      </c>
      <c r="S25" s="2"/>
      <c r="T25" s="7">
        <v>590.93481329999997</v>
      </c>
      <c r="U25" s="2"/>
      <c r="V25" s="6">
        <f t="shared" si="18"/>
        <v>2.5113034435425608E-2</v>
      </c>
      <c r="W25" s="2"/>
      <c r="X25" s="7">
        <f t="shared" si="19"/>
        <v>917.03518670000005</v>
      </c>
      <c r="Y25" s="2"/>
      <c r="Z25" s="6">
        <f t="shared" si="20"/>
        <v>1.5518381487442485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>
        <v>76.959999999999994</v>
      </c>
      <c r="E26" s="2"/>
      <c r="F26" s="6">
        <f t="shared" si="13"/>
        <v>0</v>
      </c>
      <c r="G26" s="2"/>
      <c r="H26" s="7">
        <v>114.27357499999999</v>
      </c>
      <c r="I26" s="2"/>
      <c r="J26" s="6">
        <f t="shared" si="14"/>
        <v>9.1786004016064255E-3</v>
      </c>
      <c r="K26" s="2"/>
      <c r="L26" s="7">
        <f t="shared" si="15"/>
        <v>-37.313575</v>
      </c>
      <c r="M26" s="2"/>
      <c r="N26" s="6">
        <f t="shared" si="16"/>
        <v>-0.3265284646953594</v>
      </c>
      <c r="O26" s="11"/>
      <c r="P26" s="7">
        <v>307.83999999999997</v>
      </c>
      <c r="Q26" s="2"/>
      <c r="R26" s="6">
        <f t="shared" si="17"/>
        <v>0.12430596776863841</v>
      </c>
      <c r="S26" s="2"/>
      <c r="T26" s="7">
        <v>269.47303499999998</v>
      </c>
      <c r="U26" s="2"/>
      <c r="V26" s="6">
        <f t="shared" si="18"/>
        <v>1.1451830988908248E-2</v>
      </c>
      <c r="W26" s="2"/>
      <c r="X26" s="7">
        <f t="shared" si="19"/>
        <v>38.366964999999993</v>
      </c>
      <c r="Y26" s="2"/>
      <c r="Z26" s="6">
        <f t="shared" si="20"/>
        <v>0.14237775219327603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7">
        <v>683.68</v>
      </c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683.68</v>
      </c>
      <c r="M27" s="2"/>
      <c r="N27" s="6">
        <f t="shared" si="16"/>
        <v>0</v>
      </c>
      <c r="O27" s="11"/>
      <c r="P27" s="7">
        <v>2051.04</v>
      </c>
      <c r="Q27" s="2"/>
      <c r="R27" s="6">
        <f t="shared" si="17"/>
        <v>0.82821112309052791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2051.04</v>
      </c>
      <c r="Y27" s="2"/>
      <c r="Z27" s="6">
        <f t="shared" si="20"/>
        <v>0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10.82</v>
      </c>
      <c r="E28" s="2"/>
      <c r="F28" s="6">
        <f t="shared" si="13"/>
        <v>0</v>
      </c>
      <c r="G28" s="2"/>
      <c r="H28" s="7">
        <v>16.06007</v>
      </c>
      <c r="I28" s="2"/>
      <c r="J28" s="6">
        <f t="shared" si="14"/>
        <v>1.2899654618473894E-3</v>
      </c>
      <c r="K28" s="2"/>
      <c r="L28" s="7">
        <f t="shared" si="15"/>
        <v>-5.2400699999999993</v>
      </c>
      <c r="M28" s="2"/>
      <c r="N28" s="6">
        <f t="shared" si="16"/>
        <v>-0.32627939977845671</v>
      </c>
      <c r="O28" s="11"/>
      <c r="P28" s="7">
        <v>43.28</v>
      </c>
      <c r="Q28" s="2"/>
      <c r="R28" s="6">
        <f t="shared" si="17"/>
        <v>1.7476488711755039E-2</v>
      </c>
      <c r="S28" s="2"/>
      <c r="T28" s="7">
        <v>37.871886000000003</v>
      </c>
      <c r="U28" s="2"/>
      <c r="V28" s="6">
        <f t="shared" si="18"/>
        <v>1.6094465173600784E-3</v>
      </c>
      <c r="W28" s="2"/>
      <c r="X28" s="7">
        <f t="shared" si="19"/>
        <v>5.4081139999999976</v>
      </c>
      <c r="Y28" s="2"/>
      <c r="Z28" s="6">
        <f t="shared" si="20"/>
        <v>0.14280022917263738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7">
        <v>192.94</v>
      </c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192.94</v>
      </c>
      <c r="M29" s="2"/>
      <c r="N29" s="6">
        <f t="shared" si="16"/>
        <v>0</v>
      </c>
      <c r="O29" s="11"/>
      <c r="P29" s="7">
        <v>996.86</v>
      </c>
      <c r="Q29" s="2"/>
      <c r="R29" s="6">
        <f t="shared" si="17"/>
        <v>0.40253263718114896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996.86</v>
      </c>
      <c r="Y29" s="2"/>
      <c r="Z29" s="6">
        <f t="shared" si="20"/>
        <v>0</v>
      </c>
    </row>
    <row r="30" spans="1:26" s="24" customFormat="1" hidden="1" outlineLevel="2" x14ac:dyDescent="0.25">
      <c r="A30" s="28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7">
        <v>359.58</v>
      </c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359.58</v>
      </c>
      <c r="M31" s="2"/>
      <c r="N31" s="6">
        <f t="shared" si="16"/>
        <v>0</v>
      </c>
      <c r="O31" s="11"/>
      <c r="P31" s="7">
        <v>839.02</v>
      </c>
      <c r="Q31" s="2"/>
      <c r="R31" s="6">
        <f t="shared" si="17"/>
        <v>0.33879675505861162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839.02</v>
      </c>
      <c r="Y31" s="2"/>
      <c r="Z31" s="6">
        <f t="shared" si="20"/>
        <v>0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7">
        <v>287.82</v>
      </c>
      <c r="E32" s="2"/>
      <c r="F32" s="6">
        <f t="shared" si="13"/>
        <v>0</v>
      </c>
      <c r="G32" s="2"/>
      <c r="H32" s="7">
        <v>185.30850000000001</v>
      </c>
      <c r="I32" s="2"/>
      <c r="J32" s="6">
        <f t="shared" si="14"/>
        <v>1.4884216867469881E-2</v>
      </c>
      <c r="K32" s="2"/>
      <c r="L32" s="7">
        <f t="shared" si="15"/>
        <v>102.51149999999998</v>
      </c>
      <c r="M32" s="2"/>
      <c r="N32" s="6">
        <f t="shared" si="16"/>
        <v>0.5531937282963274</v>
      </c>
      <c r="O32" s="11"/>
      <c r="P32" s="7">
        <v>671.58</v>
      </c>
      <c r="Q32" s="2"/>
      <c r="R32" s="6">
        <f t="shared" si="17"/>
        <v>0.27118438745472384</v>
      </c>
      <c r="S32" s="2"/>
      <c r="T32" s="7">
        <v>436.98329999999999</v>
      </c>
      <c r="U32" s="2"/>
      <c r="V32" s="6">
        <f t="shared" si="18"/>
        <v>1.8570536738770134E-2</v>
      </c>
      <c r="W32" s="2"/>
      <c r="X32" s="7">
        <f t="shared" si="19"/>
        <v>234.59670000000006</v>
      </c>
      <c r="Y32" s="2"/>
      <c r="Z32" s="6">
        <f t="shared" si="20"/>
        <v>0.53685506974751684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7">
        <v>34.479999999999997</v>
      </c>
      <c r="E33" s="2"/>
      <c r="F33" s="6">
        <f t="shared" si="13"/>
        <v>0</v>
      </c>
      <c r="G33" s="2"/>
      <c r="H33" s="7"/>
      <c r="I33" s="2"/>
      <c r="J33" s="6">
        <f t="shared" si="14"/>
        <v>0</v>
      </c>
      <c r="K33" s="2"/>
      <c r="L33" s="7">
        <f t="shared" si="15"/>
        <v>34.479999999999997</v>
      </c>
      <c r="M33" s="2"/>
      <c r="N33" s="6">
        <f t="shared" si="16"/>
        <v>0</v>
      </c>
      <c r="O33" s="11"/>
      <c r="P33" s="7">
        <v>325.55</v>
      </c>
      <c r="Q33" s="2"/>
      <c r="R33" s="6">
        <f t="shared" si="17"/>
        <v>0.13145727588058809</v>
      </c>
      <c r="S33" s="2"/>
      <c r="T33" s="7"/>
      <c r="U33" s="2"/>
      <c r="V33" s="6">
        <f t="shared" si="18"/>
        <v>0</v>
      </c>
      <c r="W33" s="2"/>
      <c r="X33" s="7">
        <f t="shared" si="19"/>
        <v>325.55</v>
      </c>
      <c r="Y33" s="2"/>
      <c r="Z33" s="6">
        <f t="shared" si="20"/>
        <v>0</v>
      </c>
    </row>
    <row r="34" spans="1:26" s="27" customFormat="1" outlineLevel="1" collapsed="1" x14ac:dyDescent="0.25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1039.8600000000001</v>
      </c>
      <c r="E34" s="1"/>
      <c r="F34" s="5">
        <f t="shared" ref="F34:F44" si="21">IF(D$12=0,0,D34/D$12)</f>
        <v>0</v>
      </c>
      <c r="G34" s="1"/>
      <c r="H34" s="1">
        <f>SUM(OSRRefH22_1x_0)</f>
        <v>6176.95</v>
      </c>
      <c r="I34" s="1"/>
      <c r="J34" s="5">
        <f t="shared" ref="J34:J44" si="22">IF(H$12=0,0,H34/H$12)</f>
        <v>0.49614056224899594</v>
      </c>
      <c r="K34" s="1"/>
      <c r="L34" s="1">
        <f t="shared" ref="L34:L44" si="23">+D34-H34</f>
        <v>-5137.09</v>
      </c>
      <c r="M34" s="1"/>
      <c r="N34" s="5">
        <f t="shared" ref="N34:N44" si="24">IF(H34=0,0,L34/H34)</f>
        <v>-0.83165478108127799</v>
      </c>
      <c r="O34" s="14"/>
      <c r="P34" s="1">
        <f>SUM(OSRRefP22_1x_0)</f>
        <v>14195.96</v>
      </c>
      <c r="Q34" s="1"/>
      <c r="R34" s="5">
        <f t="shared" ref="R34:R44" si="25">IF(P$12=0,0,P34/P$12)</f>
        <v>5.7323367535241685</v>
      </c>
      <c r="S34" s="1"/>
      <c r="T34" s="1">
        <f>SUM(OSRRefT22_1x_0)</f>
        <v>14566.11</v>
      </c>
      <c r="U34" s="1"/>
      <c r="V34" s="5">
        <f t="shared" ref="V34:V44" si="26">IF(T$12=0,0,T34/T$12)</f>
        <v>0.61901789129233775</v>
      </c>
      <c r="W34" s="1"/>
      <c r="X34" s="1">
        <f t="shared" ref="X34:X44" si="27">+P34-T34</f>
        <v>-370.15000000000146</v>
      </c>
      <c r="Y34" s="1"/>
      <c r="Z34" s="5">
        <f t="shared" ref="Z34:Z44" si="28">IF(T34=0,0,X34/T34)</f>
        <v>-2.541172626047733E-2</v>
      </c>
    </row>
    <row r="35" spans="1:26" s="24" customFormat="1" hidden="1" outlineLevel="2" x14ac:dyDescent="0.25">
      <c r="A35" s="28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25">
      <c r="A36" s="28"/>
      <c r="B36" s="11" t="str">
        <f>CONCATENATE("          ", "6002", " - ", "STAFF SALARIES")</f>
        <v xml:space="preserve">          6002 - STAFF SALARIES</v>
      </c>
      <c r="C36" s="11"/>
      <c r="D36" s="7">
        <v>1040</v>
      </c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1040</v>
      </c>
      <c r="M36" s="2"/>
      <c r="N36" s="6">
        <f t="shared" si="24"/>
        <v>0</v>
      </c>
      <c r="O36" s="11"/>
      <c r="P36" s="7">
        <v>12064</v>
      </c>
      <c r="Q36" s="2"/>
      <c r="R36" s="6">
        <f t="shared" si="25"/>
        <v>4.8714500882304241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12064</v>
      </c>
      <c r="Y36" s="2"/>
      <c r="Z36" s="6">
        <f t="shared" si="28"/>
        <v>0</v>
      </c>
    </row>
    <row r="37" spans="1:26" s="24" customFormat="1" hidden="1" outlineLevel="2" x14ac:dyDescent="0.25">
      <c r="A37" s="28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8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1"/>
        <v>0</v>
      </c>
      <c r="G38" s="2"/>
      <c r="H38" s="7">
        <v>3274.45</v>
      </c>
      <c r="I38" s="2"/>
      <c r="J38" s="6">
        <f t="shared" si="22"/>
        <v>0.26300803212851404</v>
      </c>
      <c r="K38" s="2"/>
      <c r="L38" s="7">
        <f t="shared" si="23"/>
        <v>-3274.45</v>
      </c>
      <c r="M38" s="2"/>
      <c r="N38" s="6">
        <f t="shared" si="24"/>
        <v>-1</v>
      </c>
      <c r="O38" s="11"/>
      <c r="P38" s="7"/>
      <c r="Q38" s="2"/>
      <c r="R38" s="6">
        <f t="shared" si="25"/>
        <v>0</v>
      </c>
      <c r="S38" s="2"/>
      <c r="T38" s="7">
        <v>7721.61</v>
      </c>
      <c r="U38" s="2"/>
      <c r="V38" s="6">
        <f t="shared" si="26"/>
        <v>0.32814627512642897</v>
      </c>
      <c r="W38" s="2"/>
      <c r="X38" s="7">
        <f t="shared" si="27"/>
        <v>-7721.61</v>
      </c>
      <c r="Y38" s="2"/>
      <c r="Z38" s="6">
        <f t="shared" si="28"/>
        <v>-1</v>
      </c>
    </row>
    <row r="39" spans="1:26" s="24" customFormat="1" hidden="1" outlineLevel="2" x14ac:dyDescent="0.25">
      <c r="A39" s="28"/>
      <c r="B39" s="11" t="str">
        <f>CONCATENATE("          ", "6005", " - ", "TEMPORARY WAGES-HOURLY")</f>
        <v xml:space="preserve">          6005 - TEMPORARY WAGES-HOURLY</v>
      </c>
      <c r="C39" s="11"/>
      <c r="D39" s="7">
        <v>347.86</v>
      </c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347.86</v>
      </c>
      <c r="M39" s="2"/>
      <c r="N39" s="6">
        <f t="shared" si="24"/>
        <v>0</v>
      </c>
      <c r="O39" s="11"/>
      <c r="P39" s="7">
        <v>2131.96</v>
      </c>
      <c r="Q39" s="2"/>
      <c r="R39" s="6">
        <f t="shared" si="25"/>
        <v>0.86088666529374469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2131.96</v>
      </c>
      <c r="Y39" s="2"/>
      <c r="Z39" s="6">
        <f t="shared" si="28"/>
        <v>0</v>
      </c>
    </row>
    <row r="40" spans="1:26" s="24" customFormat="1" hidden="1" outlineLevel="2" x14ac:dyDescent="0.25">
      <c r="A40" s="28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8"/>
      <c r="B41" s="11" t="str">
        <f>CONCATENATE("          ", "6007", " - ", "STUDENT HOURLY")</f>
        <v xml:space="preserve">          6007 - STUDENT HOURLY</v>
      </c>
      <c r="C41" s="11"/>
      <c r="D41" s="7">
        <v>-348</v>
      </c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-348</v>
      </c>
      <c r="M41" s="2"/>
      <c r="N41" s="6">
        <f t="shared" si="24"/>
        <v>0</v>
      </c>
      <c r="O41" s="11"/>
      <c r="P41" s="7">
        <v>0</v>
      </c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8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1"/>
        <v>0</v>
      </c>
      <c r="G42" s="2"/>
      <c r="H42" s="7">
        <v>2902.5</v>
      </c>
      <c r="I42" s="2"/>
      <c r="J42" s="6">
        <f t="shared" si="22"/>
        <v>0.23313253012048193</v>
      </c>
      <c r="K42" s="2"/>
      <c r="L42" s="7">
        <f t="shared" si="23"/>
        <v>-2902.5</v>
      </c>
      <c r="M42" s="2"/>
      <c r="N42" s="6">
        <f t="shared" si="24"/>
        <v>-1</v>
      </c>
      <c r="O42" s="11"/>
      <c r="P42" s="7"/>
      <c r="Q42" s="2"/>
      <c r="R42" s="6">
        <f t="shared" si="25"/>
        <v>0</v>
      </c>
      <c r="S42" s="2"/>
      <c r="T42" s="7">
        <v>6844.5</v>
      </c>
      <c r="U42" s="2"/>
      <c r="V42" s="6">
        <f t="shared" si="26"/>
        <v>0.29087161616590879</v>
      </c>
      <c r="W42" s="2"/>
      <c r="X42" s="7">
        <f t="shared" si="27"/>
        <v>-6844.5</v>
      </c>
      <c r="Y42" s="2"/>
      <c r="Z42" s="6">
        <f t="shared" si="28"/>
        <v>-1</v>
      </c>
    </row>
    <row r="43" spans="1:26" s="24" customFormat="1" hidden="1" outlineLevel="2" x14ac:dyDescent="0.25">
      <c r="A43" s="28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8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7" customFormat="1" outlineLevel="1" collapsed="1" x14ac:dyDescent="0.25">
      <c r="A45" s="29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7" si="29">IF(D$12=0,0,D45/D$12)</f>
        <v>0</v>
      </c>
      <c r="G45" s="1"/>
      <c r="H45" s="1">
        <f>SUM(OSRRefH22_2x_0)</f>
        <v>100</v>
      </c>
      <c r="I45" s="1"/>
      <c r="J45" s="5">
        <f t="shared" ref="J45:J57" si="30">IF(H$12=0,0,H45/H$12)</f>
        <v>8.0321285140562242E-3</v>
      </c>
      <c r="K45" s="1"/>
      <c r="L45" s="1">
        <f t="shared" ref="L45:L57" si="31">+D45-H45</f>
        <v>-100</v>
      </c>
      <c r="M45" s="1"/>
      <c r="N45" s="5">
        <f t="shared" ref="N45:N57" si="32">IF(H45=0,0,L45/H45)</f>
        <v>-1</v>
      </c>
      <c r="O45" s="14"/>
      <c r="P45" s="1">
        <f>SUM(OSRRefP22_2x_0)</f>
        <v>0</v>
      </c>
      <c r="Q45" s="1"/>
      <c r="R45" s="5">
        <f t="shared" ref="R45:R57" si="33">IF(P$12=0,0,P45/P$12)</f>
        <v>0</v>
      </c>
      <c r="S45" s="1"/>
      <c r="T45" s="1">
        <f>SUM(OSRRefT22_2x_0)</f>
        <v>300</v>
      </c>
      <c r="U45" s="1"/>
      <c r="V45" s="5">
        <f t="shared" ref="V45:V57" si="34">IF(T$12=0,0,T45/T$12)</f>
        <v>1.2749139433088266E-2</v>
      </c>
      <c r="W45" s="1"/>
      <c r="X45" s="1">
        <f t="shared" ref="X45:X57" si="35">+P45-T45</f>
        <v>-300</v>
      </c>
      <c r="Y45" s="1"/>
      <c r="Z45" s="5">
        <f t="shared" ref="Z45:Z57" si="36">IF(T45=0,0,X45/T45)</f>
        <v>-1</v>
      </c>
    </row>
    <row r="46" spans="1:26" s="24" customFormat="1" hidden="1" outlineLevel="2" x14ac:dyDescent="0.25">
      <c r="A46" s="28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9"/>
        <v>0</v>
      </c>
      <c r="G46" s="2"/>
      <c r="H46" s="7">
        <v>100</v>
      </c>
      <c r="I46" s="2"/>
      <c r="J46" s="6">
        <f t="shared" si="30"/>
        <v>8.0321285140562242E-3</v>
      </c>
      <c r="K46" s="2"/>
      <c r="L46" s="7">
        <f t="shared" si="31"/>
        <v>-100</v>
      </c>
      <c r="M46" s="2"/>
      <c r="N46" s="6">
        <f t="shared" si="32"/>
        <v>-1</v>
      </c>
      <c r="O46" s="11"/>
      <c r="P46" s="7"/>
      <c r="Q46" s="2"/>
      <c r="R46" s="6">
        <f t="shared" si="33"/>
        <v>0</v>
      </c>
      <c r="S46" s="2"/>
      <c r="T46" s="7">
        <v>300</v>
      </c>
      <c r="U46" s="2"/>
      <c r="V46" s="6">
        <f t="shared" si="34"/>
        <v>1.2749139433088266E-2</v>
      </c>
      <c r="W46" s="2"/>
      <c r="X46" s="7">
        <f t="shared" si="35"/>
        <v>-300</v>
      </c>
      <c r="Y46" s="2"/>
      <c r="Z46" s="6">
        <f t="shared" si="36"/>
        <v>-1</v>
      </c>
    </row>
    <row r="47" spans="1:26" s="27" customFormat="1" outlineLevel="1" collapsed="1" x14ac:dyDescent="0.25">
      <c r="A47" s="29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4"/>
      <c r="P47" s="1">
        <f>SUM(OSRRefP22_3x_0)</f>
        <v>3.31</v>
      </c>
      <c r="Q47" s="1"/>
      <c r="R47" s="5">
        <f t="shared" si="33"/>
        <v>1.3365798899239642E-3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3.31</v>
      </c>
      <c r="Y47" s="1"/>
      <c r="Z47" s="5">
        <f t="shared" si="36"/>
        <v>0</v>
      </c>
    </row>
    <row r="48" spans="1:26" s="24" customFormat="1" hidden="1" outlineLevel="2" x14ac:dyDescent="0.25">
      <c r="A48" s="28"/>
      <c r="B48" s="11" t="str">
        <f>CONCATENATE("          ", "6272", " - ", "CASH (OVER/SHORT)")</f>
        <v xml:space="preserve">          6272 - CASH (OVER/SHORT)</v>
      </c>
      <c r="C48" s="11"/>
      <c r="D48" s="7"/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>
        <v>3.31</v>
      </c>
      <c r="Q48" s="2"/>
      <c r="R48" s="6">
        <f t="shared" si="33"/>
        <v>1.3365798899239642E-3</v>
      </c>
      <c r="S48" s="2"/>
      <c r="T48" s="7"/>
      <c r="U48" s="2"/>
      <c r="V48" s="6">
        <f t="shared" si="34"/>
        <v>0</v>
      </c>
      <c r="W48" s="2"/>
      <c r="X48" s="7">
        <f t="shared" si="35"/>
        <v>3.31</v>
      </c>
      <c r="Y48" s="2"/>
      <c r="Z48" s="6">
        <f t="shared" si="36"/>
        <v>0</v>
      </c>
    </row>
    <row r="49" spans="1:26" s="27" customFormat="1" outlineLevel="1" collapsed="1" x14ac:dyDescent="0.25">
      <c r="A49" s="29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144.06</v>
      </c>
      <c r="E49" s="1"/>
      <c r="F49" s="5">
        <f t="shared" si="29"/>
        <v>0</v>
      </c>
      <c r="G49" s="1"/>
      <c r="H49" s="1">
        <f>SUM(OSRRefH22_4x_0)</f>
        <v>788</v>
      </c>
      <c r="I49" s="1"/>
      <c r="J49" s="5">
        <f t="shared" si="30"/>
        <v>6.3293172690763053E-2</v>
      </c>
      <c r="K49" s="1"/>
      <c r="L49" s="1">
        <f t="shared" si="31"/>
        <v>-643.94000000000005</v>
      </c>
      <c r="M49" s="1"/>
      <c r="N49" s="5">
        <f t="shared" si="32"/>
        <v>-0.81718274111675138</v>
      </c>
      <c r="O49" s="14"/>
      <c r="P49" s="1">
        <f>SUM(OSRRefP22_4x_0)</f>
        <v>194.24</v>
      </c>
      <c r="Q49" s="1"/>
      <c r="R49" s="5">
        <f t="shared" si="33"/>
        <v>7.8434222905991183E-2</v>
      </c>
      <c r="S49" s="1"/>
      <c r="T49" s="1">
        <f>SUM(OSRRefT22_4x_0)</f>
        <v>1442</v>
      </c>
      <c r="U49" s="1"/>
      <c r="V49" s="5">
        <f t="shared" si="34"/>
        <v>6.1280863541710938E-2</v>
      </c>
      <c r="W49" s="1"/>
      <c r="X49" s="1">
        <f t="shared" si="35"/>
        <v>-1247.76</v>
      </c>
      <c r="Y49" s="1"/>
      <c r="Z49" s="5">
        <f t="shared" si="36"/>
        <v>-0.86529819694868237</v>
      </c>
    </row>
    <row r="50" spans="1:26" s="24" customFormat="1" hidden="1" outlineLevel="2" x14ac:dyDescent="0.25">
      <c r="A50" s="28"/>
      <c r="B50" s="11" t="str">
        <f>CONCATENATE("          ", "6381", " - ", "BANK/CREDIT CARD FEES")</f>
        <v xml:space="preserve">          6381 - BANK/CREDIT CARD FEES</v>
      </c>
      <c r="C50" s="11"/>
      <c r="D50" s="7">
        <v>144.06</v>
      </c>
      <c r="E50" s="2"/>
      <c r="F50" s="6">
        <f t="shared" si="29"/>
        <v>0</v>
      </c>
      <c r="G50" s="2"/>
      <c r="H50" s="7">
        <v>788</v>
      </c>
      <c r="I50" s="2"/>
      <c r="J50" s="6">
        <f t="shared" si="30"/>
        <v>6.3293172690763053E-2</v>
      </c>
      <c r="K50" s="2"/>
      <c r="L50" s="7">
        <f t="shared" si="31"/>
        <v>-643.94000000000005</v>
      </c>
      <c r="M50" s="2"/>
      <c r="N50" s="6">
        <f t="shared" si="32"/>
        <v>-0.81718274111675138</v>
      </c>
      <c r="O50" s="11"/>
      <c r="P50" s="7">
        <v>194.24</v>
      </c>
      <c r="Q50" s="2"/>
      <c r="R50" s="6">
        <f t="shared" si="33"/>
        <v>7.8434222905991183E-2</v>
      </c>
      <c r="S50" s="2"/>
      <c r="T50" s="7">
        <v>1442</v>
      </c>
      <c r="U50" s="2"/>
      <c r="V50" s="6">
        <f t="shared" si="34"/>
        <v>6.1280863541710938E-2</v>
      </c>
      <c r="W50" s="2"/>
      <c r="X50" s="7">
        <f t="shared" si="35"/>
        <v>-1247.76</v>
      </c>
      <c r="Y50" s="2"/>
      <c r="Z50" s="6">
        <f t="shared" si="36"/>
        <v>-0.86529819694868237</v>
      </c>
    </row>
    <row r="51" spans="1:26" s="27" customFormat="1" outlineLevel="1" collapsed="1" x14ac:dyDescent="0.25">
      <c r="A51" s="29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1075.3699999999999</v>
      </c>
      <c r="E51" s="1"/>
      <c r="F51" s="5">
        <f t="shared" si="29"/>
        <v>0</v>
      </c>
      <c r="G51" s="1"/>
      <c r="H51" s="1">
        <f>SUM(OSRRefH22_5x_0)</f>
        <v>1075</v>
      </c>
      <c r="I51" s="1"/>
      <c r="J51" s="5">
        <f t="shared" si="30"/>
        <v>8.6345381526104423E-2</v>
      </c>
      <c r="K51" s="1"/>
      <c r="L51" s="1">
        <f t="shared" si="31"/>
        <v>0.36999999999989086</v>
      </c>
      <c r="M51" s="1"/>
      <c r="N51" s="5">
        <f t="shared" si="32"/>
        <v>3.4418604651152636E-4</v>
      </c>
      <c r="O51" s="14"/>
      <c r="P51" s="1">
        <f>SUM(OSRRefP22_5x_0)</f>
        <v>4301.4799999999996</v>
      </c>
      <c r="Q51" s="1"/>
      <c r="R51" s="5">
        <f t="shared" si="33"/>
        <v>1.7369400800332728</v>
      </c>
      <c r="S51" s="1"/>
      <c r="T51" s="1">
        <f>SUM(OSRRefT22_5x_0)</f>
        <v>4300</v>
      </c>
      <c r="U51" s="1"/>
      <c r="V51" s="5">
        <f t="shared" si="34"/>
        <v>0.18273766520759849</v>
      </c>
      <c r="W51" s="1"/>
      <c r="X51" s="1">
        <f t="shared" si="35"/>
        <v>1.4799999999995634</v>
      </c>
      <c r="Y51" s="1"/>
      <c r="Z51" s="5">
        <f t="shared" si="36"/>
        <v>3.4418604651152636E-4</v>
      </c>
    </row>
    <row r="52" spans="1:26" s="24" customFormat="1" hidden="1" outlineLevel="2" x14ac:dyDescent="0.25">
      <c r="A52" s="28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1075.3699999999999</v>
      </c>
      <c r="E52" s="2"/>
      <c r="F52" s="6">
        <f t="shared" si="29"/>
        <v>0</v>
      </c>
      <c r="G52" s="2"/>
      <c r="H52" s="7">
        <v>1075</v>
      </c>
      <c r="I52" s="2"/>
      <c r="J52" s="6">
        <f t="shared" si="30"/>
        <v>8.6345381526104423E-2</v>
      </c>
      <c r="K52" s="2"/>
      <c r="L52" s="7">
        <f t="shared" si="31"/>
        <v>0.36999999999989086</v>
      </c>
      <c r="M52" s="2"/>
      <c r="N52" s="6">
        <f t="shared" si="32"/>
        <v>3.4418604651152636E-4</v>
      </c>
      <c r="O52" s="11"/>
      <c r="P52" s="7">
        <v>4301.4799999999996</v>
      </c>
      <c r="Q52" s="2"/>
      <c r="R52" s="6">
        <f t="shared" si="33"/>
        <v>1.7369400800332728</v>
      </c>
      <c r="S52" s="2"/>
      <c r="T52" s="7">
        <v>4300</v>
      </c>
      <c r="U52" s="2"/>
      <c r="V52" s="6">
        <f t="shared" si="34"/>
        <v>0.18273766520759849</v>
      </c>
      <c r="W52" s="2"/>
      <c r="X52" s="7">
        <f t="shared" si="35"/>
        <v>1.4799999999995634</v>
      </c>
      <c r="Y52" s="2"/>
      <c r="Z52" s="6">
        <f t="shared" si="36"/>
        <v>3.4418604651152636E-4</v>
      </c>
    </row>
    <row r="53" spans="1:26" s="27" customFormat="1" outlineLevel="1" collapsed="1" x14ac:dyDescent="0.25">
      <c r="A53" s="29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4"/>
      <c r="P53" s="1">
        <f>SUM(OSRRefP22_6x_0)</f>
        <v>754.55</v>
      </c>
      <c r="Q53" s="1"/>
      <c r="R53" s="5">
        <f t="shared" si="33"/>
        <v>0.3046877208284372</v>
      </c>
      <c r="S53" s="1"/>
      <c r="T53" s="1">
        <f>SUM(OSRRefT22_6x_0)</f>
        <v>1000</v>
      </c>
      <c r="U53" s="1"/>
      <c r="V53" s="5">
        <f t="shared" si="34"/>
        <v>4.2497131443627552E-2</v>
      </c>
      <c r="W53" s="1"/>
      <c r="X53" s="1">
        <f t="shared" si="35"/>
        <v>-245.45000000000005</v>
      </c>
      <c r="Y53" s="1"/>
      <c r="Z53" s="5">
        <f t="shared" si="36"/>
        <v>-0.24545000000000006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29"/>
        <v>0</v>
      </c>
      <c r="G54" s="2"/>
      <c r="H54" s="7"/>
      <c r="I54" s="2"/>
      <c r="J54" s="6">
        <f t="shared" si="30"/>
        <v>0</v>
      </c>
      <c r="K54" s="2"/>
      <c r="L54" s="7">
        <f t="shared" si="31"/>
        <v>0</v>
      </c>
      <c r="M54" s="2"/>
      <c r="N54" s="6">
        <f t="shared" si="32"/>
        <v>0</v>
      </c>
      <c r="O54" s="11"/>
      <c r="P54" s="7">
        <v>754.55</v>
      </c>
      <c r="Q54" s="2"/>
      <c r="R54" s="6">
        <f t="shared" si="33"/>
        <v>0.3046877208284372</v>
      </c>
      <c r="S54" s="2"/>
      <c r="T54" s="7">
        <v>1000</v>
      </c>
      <c r="U54" s="2"/>
      <c r="V54" s="6">
        <f t="shared" si="34"/>
        <v>4.2497131443627552E-2</v>
      </c>
      <c r="W54" s="2"/>
      <c r="X54" s="7">
        <f t="shared" si="35"/>
        <v>-245.45000000000005</v>
      </c>
      <c r="Y54" s="2"/>
      <c r="Z54" s="6">
        <f t="shared" si="36"/>
        <v>-0.24545000000000006</v>
      </c>
    </row>
    <row r="55" spans="1:26" s="27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250</v>
      </c>
      <c r="I55" s="1"/>
      <c r="J55" s="5">
        <f t="shared" si="30"/>
        <v>2.0080321285140562E-2</v>
      </c>
      <c r="K55" s="1"/>
      <c r="L55" s="1">
        <f t="shared" si="31"/>
        <v>-250</v>
      </c>
      <c r="M55" s="1"/>
      <c r="N55" s="5">
        <f t="shared" si="32"/>
        <v>-1</v>
      </c>
      <c r="O55" s="14"/>
      <c r="P55" s="1">
        <f>SUM(OSRRefP22_7x_0)</f>
        <v>444.39</v>
      </c>
      <c r="Q55" s="1"/>
      <c r="R55" s="5">
        <f t="shared" si="33"/>
        <v>0.17944493573513912</v>
      </c>
      <c r="S55" s="1"/>
      <c r="T55" s="1">
        <f>SUM(OSRRefT22_7x_0)</f>
        <v>750</v>
      </c>
      <c r="U55" s="1"/>
      <c r="V55" s="5">
        <f t="shared" si="34"/>
        <v>3.1872848582720666E-2</v>
      </c>
      <c r="W55" s="1"/>
      <c r="X55" s="1">
        <f t="shared" si="35"/>
        <v>-305.61</v>
      </c>
      <c r="Y55" s="1"/>
      <c r="Z55" s="5">
        <f t="shared" si="36"/>
        <v>-0.40748000000000001</v>
      </c>
    </row>
    <row r="56" spans="1:26" s="24" customFormat="1" hidden="1" outlineLevel="2" x14ac:dyDescent="0.25">
      <c r="A56" s="28"/>
      <c r="B56" s="11" t="str">
        <f>CONCATENATE("          ", "6373", " - ", "MAINTENANCE CONTRACTS")</f>
        <v xml:space="preserve">          6373 - MAINTENANCE CONTRACTS</v>
      </c>
      <c r="C56" s="11"/>
      <c r="D56" s="7"/>
      <c r="E56" s="2"/>
      <c r="F56" s="6">
        <f t="shared" si="29"/>
        <v>0</v>
      </c>
      <c r="G56" s="2"/>
      <c r="H56" s="7"/>
      <c r="I56" s="2"/>
      <c r="J56" s="6">
        <f t="shared" si="30"/>
        <v>0</v>
      </c>
      <c r="K56" s="2"/>
      <c r="L56" s="7">
        <f t="shared" si="31"/>
        <v>0</v>
      </c>
      <c r="M56" s="2"/>
      <c r="N56" s="6">
        <f t="shared" si="32"/>
        <v>0</v>
      </c>
      <c r="O56" s="11"/>
      <c r="P56" s="7">
        <v>126.83</v>
      </c>
      <c r="Q56" s="2"/>
      <c r="R56" s="6">
        <f t="shared" si="33"/>
        <v>5.1214026416633349E-2</v>
      </c>
      <c r="S56" s="2"/>
      <c r="T56" s="7"/>
      <c r="U56" s="2"/>
      <c r="V56" s="6">
        <f t="shared" si="34"/>
        <v>0</v>
      </c>
      <c r="W56" s="2"/>
      <c r="X56" s="7">
        <f t="shared" si="35"/>
        <v>126.83</v>
      </c>
      <c r="Y56" s="2"/>
      <c r="Z56" s="6">
        <f t="shared" si="36"/>
        <v>0</v>
      </c>
    </row>
    <row r="57" spans="1:26" s="24" customFormat="1" hidden="1" outlineLevel="2" x14ac:dyDescent="0.25">
      <c r="A57" s="28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29"/>
        <v>0</v>
      </c>
      <c r="G57" s="2"/>
      <c r="H57" s="7">
        <v>250</v>
      </c>
      <c r="I57" s="2"/>
      <c r="J57" s="6">
        <f t="shared" si="30"/>
        <v>2.0080321285140562E-2</v>
      </c>
      <c r="K57" s="2"/>
      <c r="L57" s="7">
        <f t="shared" si="31"/>
        <v>-250</v>
      </c>
      <c r="M57" s="2"/>
      <c r="N57" s="6">
        <f t="shared" si="32"/>
        <v>-1</v>
      </c>
      <c r="O57" s="11"/>
      <c r="P57" s="7">
        <v>317.56</v>
      </c>
      <c r="Q57" s="2"/>
      <c r="R57" s="6">
        <f t="shared" si="33"/>
        <v>0.12823090931850575</v>
      </c>
      <c r="S57" s="2"/>
      <c r="T57" s="7">
        <v>750</v>
      </c>
      <c r="U57" s="2"/>
      <c r="V57" s="6">
        <f t="shared" si="34"/>
        <v>3.1872848582720666E-2</v>
      </c>
      <c r="W57" s="2"/>
      <c r="X57" s="7">
        <f t="shared" si="35"/>
        <v>-432.44</v>
      </c>
      <c r="Y57" s="2"/>
      <c r="Z57" s="6">
        <f t="shared" si="36"/>
        <v>-0.57658666666666669</v>
      </c>
    </row>
    <row r="58" spans="1:26" s="27" customFormat="1" outlineLevel="1" collapsed="1" x14ac:dyDescent="0.25">
      <c r="A58" s="29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1">
        <f>SUM(OSRRefD22_8x_0)</f>
        <v>185.7</v>
      </c>
      <c r="E58" s="1"/>
      <c r="F58" s="5">
        <f t="shared" ref="F58:F60" si="37">IF(D$12=0,0,D58/D$12)</f>
        <v>0</v>
      </c>
      <c r="G58" s="1"/>
      <c r="H58" s="1">
        <f>SUM(OSRRefH22_8x_0)</f>
        <v>1108</v>
      </c>
      <c r="I58" s="1"/>
      <c r="J58" s="5">
        <f t="shared" ref="J58:J60" si="38">IF(H$12=0,0,H58/H$12)</f>
        <v>8.899598393574297E-2</v>
      </c>
      <c r="K58" s="1"/>
      <c r="L58" s="1">
        <f t="shared" ref="L58:L60" si="39">+D58-H58</f>
        <v>-922.3</v>
      </c>
      <c r="M58" s="1"/>
      <c r="N58" s="5">
        <f t="shared" ref="N58:N60" si="40">IF(H58=0,0,L58/H58)</f>
        <v>-0.8324007220216606</v>
      </c>
      <c r="O58" s="14"/>
      <c r="P58" s="1">
        <f>SUM(OSRRefP22_8x_0)</f>
        <v>185.7</v>
      </c>
      <c r="Q58" s="1"/>
      <c r="R58" s="5">
        <f t="shared" ref="R58:R60" si="41">IF(P$12=0,0,P58/P$12)</f>
        <v>7.4985766029873155E-2</v>
      </c>
      <c r="S58" s="1"/>
      <c r="T58" s="1">
        <f>SUM(OSRRefT22_8x_0)</f>
        <v>2095</v>
      </c>
      <c r="U58" s="1"/>
      <c r="V58" s="5">
        <f t="shared" ref="V58:V60" si="42">IF(T$12=0,0,T58/T$12)</f>
        <v>8.9031490374399724E-2</v>
      </c>
      <c r="W58" s="1"/>
      <c r="X58" s="1">
        <f t="shared" ref="X58:X60" si="43">+P58-T58</f>
        <v>-1909.3</v>
      </c>
      <c r="Y58" s="1"/>
      <c r="Z58" s="5">
        <f t="shared" ref="Z58:Z60" si="44">IF(T58=0,0,X58/T58)</f>
        <v>-0.9113603818615752</v>
      </c>
    </row>
    <row r="59" spans="1:26" s="24" customFormat="1" hidden="1" outlineLevel="2" x14ac:dyDescent="0.25">
      <c r="A59" s="28"/>
      <c r="B59" s="11" t="str">
        <f>CONCATENATE("          ", "6254", " - ", "ROYALTY &amp; COMMISSIONS")</f>
        <v xml:space="preserve">          6254 - ROYALTY &amp; COMMISSIONS</v>
      </c>
      <c r="C59" s="11"/>
      <c r="D59" s="7">
        <v>185.7</v>
      </c>
      <c r="E59" s="2"/>
      <c r="F59" s="6">
        <f t="shared" si="37"/>
        <v>0</v>
      </c>
      <c r="G59" s="2"/>
      <c r="H59" s="7"/>
      <c r="I59" s="2"/>
      <c r="J59" s="6">
        <f t="shared" si="38"/>
        <v>0</v>
      </c>
      <c r="K59" s="2"/>
      <c r="L59" s="7">
        <f t="shared" si="39"/>
        <v>185.7</v>
      </c>
      <c r="M59" s="2"/>
      <c r="N59" s="6">
        <f t="shared" si="40"/>
        <v>0</v>
      </c>
      <c r="O59" s="11"/>
      <c r="P59" s="7">
        <v>185.7</v>
      </c>
      <c r="Q59" s="2"/>
      <c r="R59" s="6">
        <f t="shared" si="41"/>
        <v>7.4985766029873155E-2</v>
      </c>
      <c r="S59" s="2"/>
      <c r="T59" s="7"/>
      <c r="U59" s="2"/>
      <c r="V59" s="6">
        <f t="shared" si="42"/>
        <v>0</v>
      </c>
      <c r="W59" s="2"/>
      <c r="X59" s="7">
        <f t="shared" si="43"/>
        <v>185.7</v>
      </c>
      <c r="Y59" s="2"/>
      <c r="Z59" s="6">
        <f t="shared" si="44"/>
        <v>0</v>
      </c>
    </row>
    <row r="60" spans="1:26" s="24" customFormat="1" hidden="1" outlineLevel="2" x14ac:dyDescent="0.25">
      <c r="A60" s="28"/>
      <c r="B60" s="11" t="str">
        <f>CONCATENATE("          ", "6259", " - ", "ROYALTY &amp; COMMISSIONS")</f>
        <v xml:space="preserve">          6259 - ROYALTY &amp; COMMISSIONS</v>
      </c>
      <c r="C60" s="11"/>
      <c r="D60" s="7"/>
      <c r="E60" s="2"/>
      <c r="F60" s="6">
        <f t="shared" si="37"/>
        <v>0</v>
      </c>
      <c r="G60" s="2"/>
      <c r="H60" s="7">
        <v>1108</v>
      </c>
      <c r="I60" s="2"/>
      <c r="J60" s="6">
        <f t="shared" si="38"/>
        <v>8.899598393574297E-2</v>
      </c>
      <c r="K60" s="2"/>
      <c r="L60" s="7">
        <f t="shared" si="39"/>
        <v>-1108</v>
      </c>
      <c r="M60" s="2"/>
      <c r="N60" s="6">
        <f t="shared" si="40"/>
        <v>-1</v>
      </c>
      <c r="O60" s="11"/>
      <c r="P60" s="7"/>
      <c r="Q60" s="2"/>
      <c r="R60" s="6">
        <f t="shared" si="41"/>
        <v>0</v>
      </c>
      <c r="S60" s="2"/>
      <c r="T60" s="7">
        <v>2095</v>
      </c>
      <c r="U60" s="2"/>
      <c r="V60" s="6">
        <f t="shared" si="42"/>
        <v>8.9031490374399724E-2</v>
      </c>
      <c r="W60" s="2"/>
      <c r="X60" s="7">
        <f t="shared" si="43"/>
        <v>-2095</v>
      </c>
      <c r="Y60" s="2"/>
      <c r="Z60" s="6">
        <f t="shared" si="44"/>
        <v>-1</v>
      </c>
    </row>
    <row r="61" spans="1:26" s="27" customFormat="1" outlineLevel="1" collapsed="1" x14ac:dyDescent="0.25">
      <c r="A61" s="29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SUM(OSRRefD22_9x_0)</f>
        <v>0</v>
      </c>
      <c r="E61" s="1"/>
      <c r="F61" s="5">
        <f t="shared" ref="F61:F63" si="45">IF(D$12=0,0,D61/D$12)</f>
        <v>0</v>
      </c>
      <c r="G61" s="1"/>
      <c r="H61" s="1">
        <f>SUM(OSRRefH22_9x_0)</f>
        <v>287</v>
      </c>
      <c r="I61" s="1"/>
      <c r="J61" s="5">
        <f t="shared" ref="J61:J63" si="46">IF(H$12=0,0,H61/H$12)</f>
        <v>2.3052208835341367E-2</v>
      </c>
      <c r="K61" s="1"/>
      <c r="L61" s="1">
        <f t="shared" ref="L61:L63" si="47">+D61-H61</f>
        <v>-287</v>
      </c>
      <c r="M61" s="1"/>
      <c r="N61" s="5">
        <f t="shared" ref="N61:N63" si="48">IF(H61=0,0,L61/H61)</f>
        <v>-1</v>
      </c>
      <c r="O61" s="14"/>
      <c r="P61" s="1">
        <f>SUM(OSRRefP22_9x_0)</f>
        <v>-104.32</v>
      </c>
      <c r="Q61" s="1"/>
      <c r="R61" s="5">
        <f t="shared" ref="R61:R63" si="49">IF(P$12=0,0,P61/P$12)</f>
        <v>-4.2124475564008439E-2</v>
      </c>
      <c r="S61" s="1"/>
      <c r="T61" s="1">
        <f>SUM(OSRRefT22_9x_0)</f>
        <v>861</v>
      </c>
      <c r="U61" s="1"/>
      <c r="V61" s="5">
        <f t="shared" ref="V61:V63" si="50">IF(T$12=0,0,T61/T$12)</f>
        <v>3.6590030172963327E-2</v>
      </c>
      <c r="W61" s="1"/>
      <c r="X61" s="1">
        <f t="shared" ref="X61:X63" si="51">+P61-T61</f>
        <v>-965.31999999999994</v>
      </c>
      <c r="Y61" s="1"/>
      <c r="Z61" s="5">
        <f t="shared" ref="Z61:Z63" si="52">IF(T61=0,0,X61/T61)</f>
        <v>-1.1211614401858303</v>
      </c>
    </row>
    <row r="62" spans="1:26" s="24" customFormat="1" hidden="1" outlineLevel="2" x14ac:dyDescent="0.25">
      <c r="A62" s="28"/>
      <c r="B62" s="11" t="str">
        <f>CONCATENATE("          ", "6282", " - ", "JANITORIAL/EXTERMINATOR EXPENS")</f>
        <v xml:space="preserve">          6282 - JANITORIAL/EXTERMINATOR EXPENS</v>
      </c>
      <c r="C62" s="11"/>
      <c r="D62" s="7"/>
      <c r="E62" s="2"/>
      <c r="F62" s="6">
        <f t="shared" si="45"/>
        <v>0</v>
      </c>
      <c r="G62" s="2"/>
      <c r="H62" s="7"/>
      <c r="I62" s="2"/>
      <c r="J62" s="6">
        <f t="shared" si="46"/>
        <v>0</v>
      </c>
      <c r="K62" s="2"/>
      <c r="L62" s="7">
        <f t="shared" si="47"/>
        <v>0</v>
      </c>
      <c r="M62" s="2"/>
      <c r="N62" s="6">
        <f t="shared" si="48"/>
        <v>0</v>
      </c>
      <c r="O62" s="11"/>
      <c r="P62" s="7">
        <v>41</v>
      </c>
      <c r="Q62" s="2"/>
      <c r="R62" s="6">
        <f t="shared" si="49"/>
        <v>1.6555823409934299E-2</v>
      </c>
      <c r="S62" s="2"/>
      <c r="T62" s="7"/>
      <c r="U62" s="2"/>
      <c r="V62" s="6">
        <f t="shared" si="50"/>
        <v>0</v>
      </c>
      <c r="W62" s="2"/>
      <c r="X62" s="7">
        <f t="shared" si="51"/>
        <v>41</v>
      </c>
      <c r="Y62" s="2"/>
      <c r="Z62" s="6">
        <f t="shared" si="52"/>
        <v>0</v>
      </c>
    </row>
    <row r="63" spans="1:26" s="24" customFormat="1" hidden="1" outlineLevel="2" x14ac:dyDescent="0.25">
      <c r="A63" s="28"/>
      <c r="B63" s="11" t="str">
        <f>CONCATENATE("          ", "6285", " - ", "JANITORIAL SERVICES")</f>
        <v xml:space="preserve">          6285 - JANITORIAL SERVICES</v>
      </c>
      <c r="C63" s="11"/>
      <c r="D63" s="7"/>
      <c r="E63" s="2"/>
      <c r="F63" s="6">
        <f t="shared" si="45"/>
        <v>0</v>
      </c>
      <c r="G63" s="2"/>
      <c r="H63" s="7">
        <v>287</v>
      </c>
      <c r="I63" s="2"/>
      <c r="J63" s="6">
        <f t="shared" si="46"/>
        <v>2.3052208835341367E-2</v>
      </c>
      <c r="K63" s="2"/>
      <c r="L63" s="7">
        <f t="shared" si="47"/>
        <v>-287</v>
      </c>
      <c r="M63" s="2"/>
      <c r="N63" s="6">
        <f t="shared" si="48"/>
        <v>-1</v>
      </c>
      <c r="O63" s="11"/>
      <c r="P63" s="7">
        <v>-145.32</v>
      </c>
      <c r="Q63" s="2"/>
      <c r="R63" s="6">
        <f t="shared" si="49"/>
        <v>-5.8680298973942738E-2</v>
      </c>
      <c r="S63" s="2"/>
      <c r="T63" s="7">
        <v>861</v>
      </c>
      <c r="U63" s="2"/>
      <c r="V63" s="6">
        <f t="shared" si="50"/>
        <v>3.6590030172963327E-2</v>
      </c>
      <c r="W63" s="2"/>
      <c r="X63" s="7">
        <f t="shared" si="51"/>
        <v>-1006.3199999999999</v>
      </c>
      <c r="Y63" s="2"/>
      <c r="Z63" s="6">
        <f t="shared" si="52"/>
        <v>-1.168780487804878</v>
      </c>
    </row>
    <row r="64" spans="1:26" s="27" customFormat="1" outlineLevel="1" collapsed="1" x14ac:dyDescent="0.25">
      <c r="A64" s="29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SUM(OSRRefD22_10x_0)</f>
        <v>41</v>
      </c>
      <c r="E64" s="1"/>
      <c r="F64" s="5">
        <f t="shared" ref="F64:F67" si="53">IF(D$12=0,0,D64/D$12)</f>
        <v>0</v>
      </c>
      <c r="G64" s="1"/>
      <c r="H64" s="1">
        <f>SUM(OSRRefH22_10x_0)</f>
        <v>467</v>
      </c>
      <c r="I64" s="1"/>
      <c r="J64" s="5">
        <f t="shared" ref="J64:J67" si="54">IF(H$12=0,0,H64/H$12)</f>
        <v>3.751004016064257E-2</v>
      </c>
      <c r="K64" s="1"/>
      <c r="L64" s="1">
        <f t="shared" ref="L64:L67" si="55">+D64-H64</f>
        <v>-426</v>
      </c>
      <c r="M64" s="1"/>
      <c r="N64" s="5">
        <f t="shared" ref="N64:N67" si="56">IF(H64=0,0,L64/H64)</f>
        <v>-0.91220556745182013</v>
      </c>
      <c r="O64" s="14"/>
      <c r="P64" s="1">
        <f>SUM(OSRRefP22_10x_0)</f>
        <v>328.55</v>
      </c>
      <c r="Q64" s="1"/>
      <c r="R64" s="5">
        <f t="shared" ref="R64:R67" si="57">IF(P$12=0,0,P64/P$12)</f>
        <v>0.13266867759351011</v>
      </c>
      <c r="S64" s="1"/>
      <c r="T64" s="1">
        <f>SUM(OSRRefT22_10x_0)</f>
        <v>1501</v>
      </c>
      <c r="U64" s="1"/>
      <c r="V64" s="5">
        <f t="shared" ref="V64:V67" si="58">IF(T$12=0,0,T64/T$12)</f>
        <v>6.3788194296884954E-2</v>
      </c>
      <c r="W64" s="1"/>
      <c r="X64" s="1">
        <f t="shared" ref="X64:X67" si="59">+P64-T64</f>
        <v>-1172.45</v>
      </c>
      <c r="Y64" s="1"/>
      <c r="Z64" s="5">
        <f t="shared" ref="Z64:Z67" si="60">IF(T64=0,0,X64/T64)</f>
        <v>-0.78111259160559632</v>
      </c>
    </row>
    <row r="65" spans="1:26" s="24" customFormat="1" hidden="1" outlineLevel="2" x14ac:dyDescent="0.25">
      <c r="A65" s="28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3"/>
        <v>0</v>
      </c>
      <c r="G65" s="2"/>
      <c r="H65" s="7">
        <v>200</v>
      </c>
      <c r="I65" s="2"/>
      <c r="J65" s="6">
        <f t="shared" si="54"/>
        <v>1.6064257028112448E-2</v>
      </c>
      <c r="K65" s="2"/>
      <c r="L65" s="7">
        <f t="shared" si="55"/>
        <v>-200</v>
      </c>
      <c r="M65" s="2"/>
      <c r="N65" s="6">
        <f t="shared" si="56"/>
        <v>-1</v>
      </c>
      <c r="O65" s="11"/>
      <c r="P65" s="7">
        <v>207.27</v>
      </c>
      <c r="Q65" s="2"/>
      <c r="R65" s="6">
        <f t="shared" si="57"/>
        <v>8.3695744345782502E-2</v>
      </c>
      <c r="S65" s="2"/>
      <c r="T65" s="7">
        <v>600</v>
      </c>
      <c r="U65" s="2"/>
      <c r="V65" s="6">
        <f t="shared" si="58"/>
        <v>2.5498278866176532E-2</v>
      </c>
      <c r="W65" s="2"/>
      <c r="X65" s="7">
        <f t="shared" si="59"/>
        <v>-392.73</v>
      </c>
      <c r="Y65" s="2"/>
      <c r="Z65" s="6">
        <f t="shared" si="60"/>
        <v>-0.65455000000000008</v>
      </c>
    </row>
    <row r="66" spans="1:26" s="24" customFormat="1" hidden="1" outlineLevel="2" x14ac:dyDescent="0.25">
      <c r="A66" s="28"/>
      <c r="B66" s="11" t="str">
        <f>CONCATENATE("          ", "6247", " - ", "STORE SUPPLIES")</f>
        <v xml:space="preserve">          6247 - STORE SUPPLIES</v>
      </c>
      <c r="C66" s="11"/>
      <c r="D66" s="7">
        <v>41</v>
      </c>
      <c r="E66" s="2"/>
      <c r="F66" s="6">
        <f t="shared" si="53"/>
        <v>0</v>
      </c>
      <c r="G66" s="2"/>
      <c r="H66" s="7">
        <v>267</v>
      </c>
      <c r="I66" s="2"/>
      <c r="J66" s="6">
        <f t="shared" si="54"/>
        <v>2.1445783132530122E-2</v>
      </c>
      <c r="K66" s="2"/>
      <c r="L66" s="7">
        <f t="shared" si="55"/>
        <v>-226</v>
      </c>
      <c r="M66" s="2"/>
      <c r="N66" s="6">
        <f t="shared" si="56"/>
        <v>-0.84644194756554303</v>
      </c>
      <c r="O66" s="11"/>
      <c r="P66" s="7">
        <v>121.28</v>
      </c>
      <c r="Q66" s="2"/>
      <c r="R66" s="6">
        <f t="shared" si="57"/>
        <v>4.8972933247727606E-2</v>
      </c>
      <c r="S66" s="2"/>
      <c r="T66" s="7">
        <v>801</v>
      </c>
      <c r="U66" s="2"/>
      <c r="V66" s="6">
        <f t="shared" si="58"/>
        <v>3.4040202286345675E-2</v>
      </c>
      <c r="W66" s="2"/>
      <c r="X66" s="7">
        <f t="shared" si="59"/>
        <v>-679.72</v>
      </c>
      <c r="Y66" s="2"/>
      <c r="Z66" s="6">
        <f t="shared" si="60"/>
        <v>-0.84858926342072416</v>
      </c>
    </row>
    <row r="67" spans="1:26" s="24" customFormat="1" hidden="1" outlineLevel="2" x14ac:dyDescent="0.25">
      <c r="A67" s="28"/>
      <c r="B67" s="11" t="str">
        <f>CONCATENATE("          ", "6248", " - ", "UNIFORMS")</f>
        <v xml:space="preserve">          6248 - UNIFORMS</v>
      </c>
      <c r="C67" s="11"/>
      <c r="D67" s="7"/>
      <c r="E67" s="2"/>
      <c r="F67" s="6">
        <f t="shared" si="53"/>
        <v>0</v>
      </c>
      <c r="G67" s="2"/>
      <c r="H67" s="7"/>
      <c r="I67" s="2"/>
      <c r="J67" s="6">
        <f t="shared" si="54"/>
        <v>0</v>
      </c>
      <c r="K67" s="2"/>
      <c r="L67" s="7">
        <f t="shared" si="55"/>
        <v>0</v>
      </c>
      <c r="M67" s="2"/>
      <c r="N67" s="6">
        <f t="shared" si="56"/>
        <v>0</v>
      </c>
      <c r="O67" s="11"/>
      <c r="P67" s="7"/>
      <c r="Q67" s="2"/>
      <c r="R67" s="6">
        <f t="shared" si="57"/>
        <v>0</v>
      </c>
      <c r="S67" s="2"/>
      <c r="T67" s="7">
        <v>100</v>
      </c>
      <c r="U67" s="2"/>
      <c r="V67" s="6">
        <f t="shared" si="58"/>
        <v>4.2497131443627557E-3</v>
      </c>
      <c r="W67" s="2"/>
      <c r="X67" s="7">
        <f t="shared" si="59"/>
        <v>-100</v>
      </c>
      <c r="Y67" s="2"/>
      <c r="Z67" s="6">
        <f t="shared" si="60"/>
        <v>-1</v>
      </c>
    </row>
    <row r="68" spans="1:26" s="27" customFormat="1" outlineLevel="1" collapsed="1" x14ac:dyDescent="0.25">
      <c r="A68" s="29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SUM(OSRRefD22_11x_0)</f>
        <v>101.5</v>
      </c>
      <c r="E68" s="1"/>
      <c r="F68" s="5">
        <f t="shared" ref="F68:F70" si="61">IF(D$12=0,0,D68/D$12)</f>
        <v>0</v>
      </c>
      <c r="G68" s="1"/>
      <c r="H68" s="1">
        <f>SUM(OSRRefH22_11x_0)</f>
        <v>75</v>
      </c>
      <c r="I68" s="1"/>
      <c r="J68" s="5">
        <f t="shared" ref="J68:J70" si="62">IF(H$12=0,0,H68/H$12)</f>
        <v>6.024096385542169E-3</v>
      </c>
      <c r="K68" s="1"/>
      <c r="L68" s="1">
        <f t="shared" ref="L68:L70" si="63">+D68-H68</f>
        <v>26.5</v>
      </c>
      <c r="M68" s="1"/>
      <c r="N68" s="5">
        <f t="shared" ref="N68:N70" si="64">IF(H68=0,0,L68/H68)</f>
        <v>0.35333333333333333</v>
      </c>
      <c r="O68" s="14"/>
      <c r="P68" s="1">
        <f>SUM(OSRRefP22_11x_0)</f>
        <v>429.5</v>
      </c>
      <c r="Q68" s="1"/>
      <c r="R68" s="5">
        <f t="shared" ref="R68:R70" si="65">IF(P$12=0,0,P68/P$12)</f>
        <v>0.17343234523333614</v>
      </c>
      <c r="S68" s="1"/>
      <c r="T68" s="1">
        <f>SUM(OSRRefT22_11x_0)</f>
        <v>300</v>
      </c>
      <c r="U68" s="1"/>
      <c r="V68" s="5">
        <f t="shared" ref="V68:V70" si="66">IF(T$12=0,0,T68/T$12)</f>
        <v>1.2749139433088266E-2</v>
      </c>
      <c r="W68" s="1"/>
      <c r="X68" s="1">
        <f t="shared" ref="X68:X70" si="67">+P68-T68</f>
        <v>129.5</v>
      </c>
      <c r="Y68" s="1"/>
      <c r="Z68" s="5">
        <f t="shared" ref="Z68:Z70" si="68">IF(T68=0,0,X68/T68)</f>
        <v>0.43166666666666664</v>
      </c>
    </row>
    <row r="69" spans="1:26" s="24" customFormat="1" hidden="1" outlineLevel="2" x14ac:dyDescent="0.25">
      <c r="A69" s="28"/>
      <c r="B69" s="11" t="str">
        <f>CONCATENATE("          ", "6303", " - ", "DATA PHONE LINES")</f>
        <v xml:space="preserve">          6303 - DATA PHONE LINES</v>
      </c>
      <c r="C69" s="11"/>
      <c r="D69" s="7"/>
      <c r="E69" s="2"/>
      <c r="F69" s="6">
        <f t="shared" si="61"/>
        <v>0</v>
      </c>
      <c r="G69" s="2"/>
      <c r="H69" s="7">
        <v>75</v>
      </c>
      <c r="I69" s="2"/>
      <c r="J69" s="6">
        <f t="shared" si="62"/>
        <v>6.024096385542169E-3</v>
      </c>
      <c r="K69" s="2"/>
      <c r="L69" s="7">
        <f t="shared" si="63"/>
        <v>-75</v>
      </c>
      <c r="M69" s="2"/>
      <c r="N69" s="6">
        <f t="shared" si="64"/>
        <v>-1</v>
      </c>
      <c r="O69" s="11"/>
      <c r="P69" s="7"/>
      <c r="Q69" s="2"/>
      <c r="R69" s="6">
        <f t="shared" si="65"/>
        <v>0</v>
      </c>
      <c r="S69" s="2"/>
      <c r="T69" s="7">
        <v>300</v>
      </c>
      <c r="U69" s="2"/>
      <c r="V69" s="6">
        <f t="shared" si="66"/>
        <v>1.2749139433088266E-2</v>
      </c>
      <c r="W69" s="2"/>
      <c r="X69" s="7">
        <f t="shared" si="67"/>
        <v>-300</v>
      </c>
      <c r="Y69" s="2"/>
      <c r="Z69" s="6">
        <f t="shared" si="68"/>
        <v>-1</v>
      </c>
    </row>
    <row r="70" spans="1:26" s="24" customFormat="1" hidden="1" outlineLevel="2" x14ac:dyDescent="0.25">
      <c r="A70" s="28"/>
      <c r="B70" s="11" t="str">
        <f>CONCATENATE("          ", "6309", " - ", "TELEPHONE")</f>
        <v xml:space="preserve">          6309 - TELEPHONE</v>
      </c>
      <c r="C70" s="11"/>
      <c r="D70" s="7">
        <v>101.5</v>
      </c>
      <c r="E70" s="2"/>
      <c r="F70" s="6">
        <f t="shared" si="61"/>
        <v>0</v>
      </c>
      <c r="G70" s="2"/>
      <c r="H70" s="7"/>
      <c r="I70" s="2"/>
      <c r="J70" s="6">
        <f t="shared" si="62"/>
        <v>0</v>
      </c>
      <c r="K70" s="2"/>
      <c r="L70" s="7">
        <f t="shared" si="63"/>
        <v>101.5</v>
      </c>
      <c r="M70" s="2"/>
      <c r="N70" s="6">
        <f t="shared" si="64"/>
        <v>0</v>
      </c>
      <c r="O70" s="11"/>
      <c r="P70" s="7">
        <v>429.5</v>
      </c>
      <c r="Q70" s="2"/>
      <c r="R70" s="6">
        <f t="shared" si="65"/>
        <v>0.17343234523333614</v>
      </c>
      <c r="S70" s="2"/>
      <c r="T70" s="7"/>
      <c r="U70" s="2"/>
      <c r="V70" s="6">
        <f t="shared" si="66"/>
        <v>0</v>
      </c>
      <c r="W70" s="2"/>
      <c r="X70" s="7">
        <f t="shared" si="67"/>
        <v>429.5</v>
      </c>
      <c r="Y70" s="2"/>
      <c r="Z70" s="6">
        <f t="shared" si="68"/>
        <v>0</v>
      </c>
    </row>
    <row r="71" spans="1:26" s="27" customFormat="1" outlineLevel="1" collapsed="1" x14ac:dyDescent="0.25">
      <c r="A71" s="29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SUM(OSRRefD22_12x_0)</f>
        <v>0</v>
      </c>
      <c r="E71" s="1"/>
      <c r="F71" s="5">
        <f t="shared" ref="F71:F74" si="69">IF(D$12=0,0,D71/D$12)</f>
        <v>0</v>
      </c>
      <c r="G71" s="1"/>
      <c r="H71" s="1">
        <f>SUM(OSRRefH22_12x_0)</f>
        <v>0</v>
      </c>
      <c r="I71" s="1"/>
      <c r="J71" s="5">
        <f t="shared" ref="J71:J74" si="70">IF(H$12=0,0,H71/H$12)</f>
        <v>0</v>
      </c>
      <c r="K71" s="1"/>
      <c r="L71" s="1">
        <f t="shared" ref="L71:L74" si="71">+D71-H71</f>
        <v>0</v>
      </c>
      <c r="M71" s="1"/>
      <c r="N71" s="5">
        <f t="shared" ref="N71:N74" si="72">IF(H71=0,0,L71/H71)</f>
        <v>0</v>
      </c>
      <c r="O71" s="14"/>
      <c r="P71" s="1">
        <f>SUM(OSRRefP22_12x_0)</f>
        <v>0</v>
      </c>
      <c r="Q71" s="1"/>
      <c r="R71" s="5">
        <f t="shared" ref="R71:R74" si="73">IF(P$12=0,0,P71/P$12)</f>
        <v>0</v>
      </c>
      <c r="S71" s="1"/>
      <c r="T71" s="1">
        <f>SUM(OSRRefT22_12x_0)</f>
        <v>60</v>
      </c>
      <c r="U71" s="1"/>
      <c r="V71" s="5">
        <f t="shared" ref="V71:V74" si="74">IF(T$12=0,0,T71/T$12)</f>
        <v>2.5498278866176532E-3</v>
      </c>
      <c r="W71" s="1"/>
      <c r="X71" s="1">
        <f t="shared" ref="X71:X74" si="75">+P71-T71</f>
        <v>-60</v>
      </c>
      <c r="Y71" s="1"/>
      <c r="Z71" s="5">
        <f t="shared" ref="Z71:Z74" si="76">IF(T71=0,0,X71/T71)</f>
        <v>-1</v>
      </c>
    </row>
    <row r="72" spans="1:26" s="24" customFormat="1" hidden="1" outlineLevel="2" x14ac:dyDescent="0.25">
      <c r="A72" s="28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69"/>
        <v>0</v>
      </c>
      <c r="G72" s="2"/>
      <c r="H72" s="7"/>
      <c r="I72" s="2"/>
      <c r="J72" s="6">
        <f t="shared" si="70"/>
        <v>0</v>
      </c>
      <c r="K72" s="2"/>
      <c r="L72" s="7">
        <f t="shared" si="71"/>
        <v>0</v>
      </c>
      <c r="M72" s="2"/>
      <c r="N72" s="6">
        <f t="shared" si="72"/>
        <v>0</v>
      </c>
      <c r="O72" s="11"/>
      <c r="P72" s="7"/>
      <c r="Q72" s="2"/>
      <c r="R72" s="6">
        <f t="shared" si="73"/>
        <v>0</v>
      </c>
      <c r="S72" s="2"/>
      <c r="T72" s="7">
        <v>60</v>
      </c>
      <c r="U72" s="2"/>
      <c r="V72" s="6">
        <f t="shared" si="74"/>
        <v>2.5498278866176532E-3</v>
      </c>
      <c r="W72" s="2"/>
      <c r="X72" s="7">
        <f t="shared" si="75"/>
        <v>-60</v>
      </c>
      <c r="Y72" s="2"/>
      <c r="Z72" s="6">
        <f t="shared" si="76"/>
        <v>-1</v>
      </c>
    </row>
    <row r="73" spans="1:26" s="27" customFormat="1" outlineLevel="1" collapsed="1" x14ac:dyDescent="0.25">
      <c r="A73" s="29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50</v>
      </c>
      <c r="E73" s="1"/>
      <c r="F73" s="5">
        <f t="shared" si="69"/>
        <v>0</v>
      </c>
      <c r="G73" s="1"/>
      <c r="H73" s="1">
        <f>SUM(OSRRefH22_13x_0)</f>
        <v>50</v>
      </c>
      <c r="I73" s="1"/>
      <c r="J73" s="5">
        <f t="shared" si="70"/>
        <v>4.0160642570281121E-3</v>
      </c>
      <c r="K73" s="1"/>
      <c r="L73" s="1">
        <f t="shared" si="71"/>
        <v>0</v>
      </c>
      <c r="M73" s="1"/>
      <c r="N73" s="5">
        <f t="shared" si="72"/>
        <v>0</v>
      </c>
      <c r="O73" s="14"/>
      <c r="P73" s="1">
        <f>SUM(OSRRefP22_13x_0)</f>
        <v>200</v>
      </c>
      <c r="Q73" s="1"/>
      <c r="R73" s="5">
        <f t="shared" si="73"/>
        <v>8.0760114194801461E-2</v>
      </c>
      <c r="S73" s="1"/>
      <c r="T73" s="1">
        <f>SUM(OSRRefT22_13x_0)</f>
        <v>200</v>
      </c>
      <c r="U73" s="1"/>
      <c r="V73" s="5">
        <f t="shared" si="74"/>
        <v>8.4994262887255114E-3</v>
      </c>
      <c r="W73" s="1"/>
      <c r="X73" s="1">
        <f t="shared" si="75"/>
        <v>0</v>
      </c>
      <c r="Y73" s="1"/>
      <c r="Z73" s="5">
        <f t="shared" si="76"/>
        <v>0</v>
      </c>
    </row>
    <row r="74" spans="1:26" s="24" customFormat="1" hidden="1" outlineLevel="2" x14ac:dyDescent="0.25">
      <c r="A74" s="28"/>
      <c r="B74" s="11" t="str">
        <f>CONCATENATE("          ", "6274", " - ", "UTILITIES")</f>
        <v xml:space="preserve">          6274 - UTILITIES</v>
      </c>
      <c r="C74" s="11"/>
      <c r="D74" s="7">
        <v>50</v>
      </c>
      <c r="E74" s="2"/>
      <c r="F74" s="6">
        <f t="shared" si="69"/>
        <v>0</v>
      </c>
      <c r="G74" s="2"/>
      <c r="H74" s="7">
        <v>50</v>
      </c>
      <c r="I74" s="2"/>
      <c r="J74" s="6">
        <f t="shared" si="70"/>
        <v>4.0160642570281121E-3</v>
      </c>
      <c r="K74" s="2"/>
      <c r="L74" s="7">
        <f t="shared" si="71"/>
        <v>0</v>
      </c>
      <c r="M74" s="2"/>
      <c r="N74" s="6">
        <f t="shared" si="72"/>
        <v>0</v>
      </c>
      <c r="O74" s="11"/>
      <c r="P74" s="7">
        <v>200</v>
      </c>
      <c r="Q74" s="2"/>
      <c r="R74" s="6">
        <f t="shared" si="73"/>
        <v>8.0760114194801461E-2</v>
      </c>
      <c r="S74" s="2"/>
      <c r="T74" s="7">
        <v>200</v>
      </c>
      <c r="U74" s="2"/>
      <c r="V74" s="6">
        <f t="shared" si="74"/>
        <v>8.4994262887255114E-3</v>
      </c>
      <c r="W74" s="2"/>
      <c r="X74" s="7">
        <f t="shared" si="75"/>
        <v>0</v>
      </c>
      <c r="Y74" s="2"/>
      <c r="Z74" s="6">
        <f t="shared" si="76"/>
        <v>0</v>
      </c>
    </row>
    <row r="75" spans="1:26" s="63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5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6" t="s">
        <v>3</v>
      </c>
      <c r="C78" s="26"/>
      <c r="D78" s="20">
        <f>+D21-D23+D76</f>
        <v>-4381.6699999999992</v>
      </c>
      <c r="E78" s="13"/>
      <c r="F78" s="19">
        <f>IF(D$12=0,0,D78/D$12)</f>
        <v>0</v>
      </c>
      <c r="G78" s="13"/>
      <c r="H78" s="20">
        <f>+H21-H23+H76</f>
        <v>-4967.1858035000005</v>
      </c>
      <c r="I78" s="13"/>
      <c r="J78" s="19">
        <f>IF(H$12=0,0,H78/H$12)</f>
        <v>-0.39897074726907633</v>
      </c>
      <c r="K78" s="15"/>
      <c r="L78" s="20">
        <f>+D78-H78</f>
        <v>585.51580350000131</v>
      </c>
      <c r="M78" s="15"/>
      <c r="N78" s="19">
        <f>IF(H78=0,0,L78/H78)</f>
        <v>-0.11787676697888623</v>
      </c>
      <c r="O78" s="25"/>
      <c r="P78" s="20">
        <f>+P21-P23+P76</f>
        <v>-24961.510000000002</v>
      </c>
      <c r="Q78" s="13"/>
      <c r="R78" s="19">
        <f>IF(P$12=0,0,P78/P$12)</f>
        <v>-10.079471990373394</v>
      </c>
      <c r="S78" s="13"/>
      <c r="T78" s="20">
        <f>+T21-T23+T76</f>
        <v>-17414.373034299999</v>
      </c>
      <c r="U78" s="13"/>
      <c r="V78" s="19">
        <f>IF(T$12=0,0,T78/T$12)</f>
        <v>-0.74006089984701029</v>
      </c>
      <c r="W78" s="15"/>
      <c r="X78" s="20">
        <f>+P78-T78</f>
        <v>-7547.1369657000032</v>
      </c>
      <c r="Y78" s="15"/>
      <c r="Z78" s="19">
        <f>IF(T78=0,0,X78/T78)</f>
        <v>0.43338551154468097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>
        <v>77.680000000000007</v>
      </c>
      <c r="E80" s="4"/>
      <c r="F80" s="12">
        <f>IF(D$12=0,0,D80/D$12)</f>
        <v>0</v>
      </c>
      <c r="G80" s="4"/>
      <c r="H80" s="4">
        <v>2250</v>
      </c>
      <c r="I80" s="4"/>
      <c r="J80" s="12">
        <f>IF(H$12=0,0,H80/H$12)</f>
        <v>0.18072289156626506</v>
      </c>
      <c r="K80" s="4"/>
      <c r="L80" s="4">
        <f>+D80-H80</f>
        <v>-2172.3200000000002</v>
      </c>
      <c r="M80" s="4"/>
      <c r="N80" s="12">
        <f>IF(H80=0,0,L80/H80)</f>
        <v>-0.96547555555555564</v>
      </c>
      <c r="O80" s="10"/>
      <c r="P80" s="4">
        <v>536.46</v>
      </c>
      <c r="Q80" s="4"/>
      <c r="R80" s="12">
        <f>IF(P$12=0,0,P80/P$12)</f>
        <v>0.21662285430471598</v>
      </c>
      <c r="S80" s="4"/>
      <c r="T80" s="4">
        <v>3852</v>
      </c>
      <c r="U80" s="4"/>
      <c r="V80" s="12">
        <f>IF(T$12=0,0,T80/T$12)</f>
        <v>0.16369895032085335</v>
      </c>
      <c r="W80" s="4"/>
      <c r="X80" s="4">
        <f>+P80-T80</f>
        <v>-3315.54</v>
      </c>
      <c r="Y80" s="4"/>
      <c r="Z80" s="12">
        <f>IF(T80=0,0,X80/T80)</f>
        <v>-0.86073208722741434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6" t="s">
        <v>4</v>
      </c>
      <c r="C82" s="26"/>
      <c r="D82" s="34">
        <f>+D78-D80</f>
        <v>-4459.3499999999995</v>
      </c>
      <c r="E82" s="13"/>
      <c r="F82" s="35">
        <f>IF(D$12=0,0,D82/D$12)</f>
        <v>0</v>
      </c>
      <c r="G82" s="13"/>
      <c r="H82" s="34">
        <f>+H78-H80</f>
        <v>-7217.1858035000005</v>
      </c>
      <c r="I82" s="13"/>
      <c r="J82" s="35">
        <f>IF(H$12=0,0,H82/H$12)</f>
        <v>-0.57969363883534142</v>
      </c>
      <c r="K82" s="15"/>
      <c r="L82" s="34">
        <f>D82-H82</f>
        <v>2757.835803500001</v>
      </c>
      <c r="M82" s="15"/>
      <c r="N82" s="35">
        <f>IF(H82=0,0,L82/H82)</f>
        <v>-0.38212066012802087</v>
      </c>
      <c r="O82" s="25"/>
      <c r="P82" s="34">
        <f>+P78-P80</f>
        <v>-25497.97</v>
      </c>
      <c r="Q82" s="13"/>
      <c r="R82" s="35">
        <f>IF(P$12=0,0,P82/P$12)</f>
        <v>-10.296094844678111</v>
      </c>
      <c r="S82" s="13"/>
      <c r="T82" s="34">
        <f>+T78-T80</f>
        <v>-21266.373034299999</v>
      </c>
      <c r="U82" s="13"/>
      <c r="V82" s="35">
        <f>IF(T$12=0,0,T82/T$12)</f>
        <v>-0.90375985016786364</v>
      </c>
      <c r="W82" s="15"/>
      <c r="X82" s="34">
        <f>P82-T82</f>
        <v>-4231.5969657000023</v>
      </c>
      <c r="Y82" s="15"/>
      <c r="Z82" s="35">
        <f>IF(T82=0,0,X82/T82)</f>
        <v>0.19898066110638452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5</v>
      </c>
      <c r="C85" s="26"/>
      <c r="D85" s="30">
        <f>SUM(D82:D84)</f>
        <v>-4459.3499999999995</v>
      </c>
      <c r="E85" s="13"/>
      <c r="F85" s="32">
        <f>IF(D$12=0,0,D85/D$12)</f>
        <v>0</v>
      </c>
      <c r="G85" s="13"/>
      <c r="H85" s="30">
        <f>SUM(H82:H84)</f>
        <v>-7217.1858035000005</v>
      </c>
      <c r="I85" s="13"/>
      <c r="J85" s="32">
        <f>IF(H$12=0,0,H85/H$12)</f>
        <v>-0.57969363883534142</v>
      </c>
      <c r="K85" s="15"/>
      <c r="L85" s="30">
        <f>+D85-H85</f>
        <v>2757.835803500001</v>
      </c>
      <c r="M85" s="15"/>
      <c r="N85" s="32">
        <f>IF(H85=0,0,L85/H85)</f>
        <v>-0.38212066012802087</v>
      </c>
      <c r="O85" s="25"/>
      <c r="P85" s="30">
        <f>SUM(P82:P84)</f>
        <v>-25497.97</v>
      </c>
      <c r="Q85" s="13"/>
      <c r="R85" s="32">
        <f>IF(P$12=0,0,P85/P$12)</f>
        <v>-10.296094844678111</v>
      </c>
      <c r="S85" s="13"/>
      <c r="T85" s="30">
        <f>SUM(T82:T84)</f>
        <v>-21266.373034299999</v>
      </c>
      <c r="U85" s="13"/>
      <c r="V85" s="32">
        <f>IF(T$12=0,0,T85/T$12)</f>
        <v>-0.90375985016786364</v>
      </c>
      <c r="W85" s="15"/>
      <c r="X85" s="30">
        <f>+P85-T85</f>
        <v>-4231.5969657000023</v>
      </c>
      <c r="Y85" s="15"/>
      <c r="Z85" s="32">
        <f>IF(T85=0,0,X85/T85)</f>
        <v>0.19898066110638452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60">
        <v>44151.568426817132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8" t="s">
        <v>314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3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","322", " - ", "Beach Hut")</f>
        <v>Department 322 - Beach Hut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-1222.33</v>
      </c>
      <c r="Q15" s="4"/>
      <c r="R15" s="12">
        <f t="shared" ref="R15:R17" si="8">IF(P$12=0,0,P15/P$12)</f>
        <v>0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-1222.33</v>
      </c>
      <c r="Y15" s="4"/>
      <c r="Z15" s="12">
        <f t="shared" ref="Z15:Z17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-1222.33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-1222.33</v>
      </c>
      <c r="Y17" s="2"/>
      <c r="Z17" s="22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D12-D15</f>
        <v>0</v>
      </c>
      <c r="E19" s="13"/>
      <c r="F19" s="19">
        <f>IF(D$12=0,0,D19/D$12)</f>
        <v>0</v>
      </c>
      <c r="G19" s="13"/>
      <c r="H19" s="20">
        <f>H12-H15</f>
        <v>0</v>
      </c>
      <c r="I19" s="13"/>
      <c r="J19" s="19">
        <f>IF(H$12=0,0,H19/H$12)</f>
        <v>0</v>
      </c>
      <c r="K19" s="15"/>
      <c r="L19" s="20">
        <f>+D19-H19</f>
        <v>0</v>
      </c>
      <c r="M19" s="15"/>
      <c r="N19" s="19">
        <f>IF(H19=0,0,L19/H19)</f>
        <v>0</v>
      </c>
      <c r="O19" s="25"/>
      <c r="P19" s="20">
        <f>P12-P15</f>
        <v>1222.33</v>
      </c>
      <c r="Q19" s="13"/>
      <c r="R19" s="19">
        <f>IF(P$12=0,0,P19/P$12)</f>
        <v>0</v>
      </c>
      <c r="S19" s="13"/>
      <c r="T19" s="20">
        <f>T12-T15</f>
        <v>0</v>
      </c>
      <c r="U19" s="13"/>
      <c r="V19" s="19">
        <f>IF(T$12=0,0,T19/T$12)</f>
        <v>0</v>
      </c>
      <c r="W19" s="15"/>
      <c r="X19" s="20">
        <f>+P19-T19</f>
        <v>1222.33</v>
      </c>
      <c r="Y19" s="15"/>
      <c r="Z19" s="19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1">
        <f>SUM(OSRRefD22x_0)</f>
        <v>2238.54</v>
      </c>
      <c r="E21" s="21"/>
      <c r="F21" s="31">
        <f t="shared" ref="F21:F30" si="12">IF(D$12=0,0,D21/D$12)</f>
        <v>0</v>
      </c>
      <c r="G21" s="21"/>
      <c r="H21" s="21">
        <f>SUM(OSRRefH22x_0)</f>
        <v>2017</v>
      </c>
      <c r="I21" s="21"/>
      <c r="J21" s="31">
        <f t="shared" ref="J21:J30" si="13">IF(H$12=0,0,H21/H$12)</f>
        <v>0</v>
      </c>
      <c r="K21" s="4"/>
      <c r="L21" s="21">
        <f t="shared" ref="L21:L30" si="14">+D21-H21</f>
        <v>221.53999999999996</v>
      </c>
      <c r="M21" s="4"/>
      <c r="N21" s="31">
        <f t="shared" ref="N21:N30" si="15">IF(H21=0,0,L21/H21)</f>
        <v>0.10983639067922656</v>
      </c>
      <c r="O21" s="10"/>
      <c r="P21" s="21">
        <f>SUM(OSRRefP22x_0)</f>
        <v>11267.26</v>
      </c>
      <c r="Q21" s="21"/>
      <c r="R21" s="31">
        <f t="shared" ref="R21:R30" si="16">IF(P$12=0,0,P21/P$12)</f>
        <v>0</v>
      </c>
      <c r="S21" s="21"/>
      <c r="T21" s="21">
        <f>SUM(OSRRefT22x_0)</f>
        <v>8068</v>
      </c>
      <c r="U21" s="21"/>
      <c r="V21" s="31">
        <f t="shared" ref="V21:V30" si="17">IF(T$12=0,0,T21/T$12)</f>
        <v>0</v>
      </c>
      <c r="W21" s="4"/>
      <c r="X21" s="21">
        <f t="shared" ref="X21:X30" si="18">+P21-T21</f>
        <v>3199.26</v>
      </c>
      <c r="Y21" s="4"/>
      <c r="Z21" s="31">
        <f t="shared" ref="Z21:Z30" si="19">IF(T21=0,0,X21/T21)</f>
        <v>0.39653693604362916</v>
      </c>
    </row>
    <row r="22" spans="1:26" s="27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4"/>
      <c r="P22" s="1">
        <f>SUM(OSRRefP22_0x_0)</f>
        <v>1595.9699999999998</v>
      </c>
      <c r="Q22" s="1"/>
      <c r="R22" s="5">
        <f t="shared" si="16"/>
        <v>0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1595.9699999999998</v>
      </c>
      <c r="Y22" s="1"/>
      <c r="Z22" s="5">
        <f t="shared" si="19"/>
        <v>0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>
        <v>159.12</v>
      </c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159.12</v>
      </c>
      <c r="Y23" s="2"/>
      <c r="Z23" s="6">
        <f t="shared" si="19"/>
        <v>0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>
        <v>683.68</v>
      </c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683.68</v>
      </c>
      <c r="Y25" s="2"/>
      <c r="Z25" s="6">
        <f t="shared" si="19"/>
        <v>0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>
        <v>321.57</v>
      </c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321.57</v>
      </c>
      <c r="Y27" s="2"/>
      <c r="Z27" s="6">
        <f t="shared" si="19"/>
        <v>0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>
        <v>239.72</v>
      </c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239.72</v>
      </c>
      <c r="Y29" s="2"/>
      <c r="Z29" s="6">
        <f t="shared" si="19"/>
        <v>0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>
        <v>191.88</v>
      </c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191.88</v>
      </c>
      <c r="Y30" s="2"/>
      <c r="Z30" s="6">
        <f t="shared" si="19"/>
        <v>0</v>
      </c>
    </row>
    <row r="31" spans="1:26" s="27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0">IF(D$12=0,0,D31/D$12)</f>
        <v>0</v>
      </c>
      <c r="G31" s="1"/>
      <c r="H31" s="1">
        <f>SUM(OSRRefH22_1x_0)</f>
        <v>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0</v>
      </c>
      <c r="M31" s="1"/>
      <c r="N31" s="5">
        <f t="shared" ref="N31:N41" si="23">IF(H31=0,0,L31/H31)</f>
        <v>0</v>
      </c>
      <c r="O31" s="14"/>
      <c r="P31" s="1">
        <f>SUM(OSRRefP22_1x_0)</f>
        <v>2080</v>
      </c>
      <c r="Q31" s="1"/>
      <c r="R31" s="5">
        <f t="shared" ref="R31:R41" si="24">IF(P$12=0,0,P31/P$12)</f>
        <v>0</v>
      </c>
      <c r="S31" s="1"/>
      <c r="T31" s="1">
        <f>SUM(OSRRefT22_1x_0)</f>
        <v>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2080</v>
      </c>
      <c r="Y31" s="1"/>
      <c r="Z31" s="5">
        <f t="shared" ref="Z31:Z41" si="27">IF(T31=0,0,X31/T31)</f>
        <v>0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>
        <v>2080</v>
      </c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2080</v>
      </c>
      <c r="Y33" s="2"/>
      <c r="Z33" s="6">
        <f t="shared" si="27"/>
        <v>0</v>
      </c>
    </row>
    <row r="34" spans="1:26" s="24" customFormat="1" hidden="1" outlineLevel="2" x14ac:dyDescent="0.25">
      <c r="A34" s="28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8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8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8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8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7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4" si="28">IF(D$12=0,0,D42/D$12)</f>
        <v>0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0</v>
      </c>
      <c r="M42" s="1"/>
      <c r="N42" s="5">
        <f t="shared" ref="N42:N54" si="31">IF(H42=0,0,L42/H42)</f>
        <v>0</v>
      </c>
      <c r="O42" s="14"/>
      <c r="P42" s="1">
        <f>SUM(OSRRefP22_2x_0)</f>
        <v>0</v>
      </c>
      <c r="Q42" s="1"/>
      <c r="R42" s="5">
        <f t="shared" ref="R42:R54" si="32">IF(P$12=0,0,P42/P$12)</f>
        <v>0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0</v>
      </c>
      <c r="Y42" s="1"/>
      <c r="Z42" s="5">
        <f t="shared" ref="Z42:Z54" si="35">IF(T42=0,0,X42/T42)</f>
        <v>0</v>
      </c>
    </row>
    <row r="43" spans="1:26" s="24" customFormat="1" hidden="1" outlineLevel="2" x14ac:dyDescent="0.25">
      <c r="A43" s="28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8"/>
        <v>0</v>
      </c>
      <c r="G43" s="2"/>
      <c r="H43" s="7">
        <v>0</v>
      </c>
      <c r="I43" s="2"/>
      <c r="J43" s="6">
        <f t="shared" si="29"/>
        <v>0</v>
      </c>
      <c r="K43" s="2"/>
      <c r="L43" s="7">
        <f t="shared" si="30"/>
        <v>0</v>
      </c>
      <c r="M43" s="2"/>
      <c r="N43" s="6">
        <f t="shared" si="31"/>
        <v>0</v>
      </c>
      <c r="O43" s="11"/>
      <c r="P43" s="7"/>
      <c r="Q43" s="2"/>
      <c r="R43" s="6">
        <f t="shared" si="32"/>
        <v>0</v>
      </c>
      <c r="S43" s="2"/>
      <c r="T43" s="7">
        <v>0</v>
      </c>
      <c r="U43" s="2"/>
      <c r="V43" s="6">
        <f t="shared" si="33"/>
        <v>0</v>
      </c>
      <c r="W43" s="2"/>
      <c r="X43" s="7">
        <f t="shared" si="34"/>
        <v>0</v>
      </c>
      <c r="Y43" s="2"/>
      <c r="Z43" s="6">
        <f t="shared" si="35"/>
        <v>0</v>
      </c>
    </row>
    <row r="44" spans="1:26" s="27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4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0</v>
      </c>
      <c r="Y44" s="1"/>
      <c r="Z44" s="5">
        <f t="shared" si="35"/>
        <v>0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28"/>
        <v>0</v>
      </c>
      <c r="G45" s="2"/>
      <c r="H45" s="7">
        <v>0</v>
      </c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/>
      <c r="Q45" s="2"/>
      <c r="R45" s="6">
        <f t="shared" si="32"/>
        <v>0</v>
      </c>
      <c r="S45" s="2"/>
      <c r="T45" s="7">
        <v>0</v>
      </c>
      <c r="U45" s="2"/>
      <c r="V45" s="6">
        <f t="shared" si="33"/>
        <v>0</v>
      </c>
      <c r="W45" s="2"/>
      <c r="X45" s="7">
        <f t="shared" si="34"/>
        <v>0</v>
      </c>
      <c r="Y45" s="2"/>
      <c r="Z45" s="6">
        <f t="shared" si="35"/>
        <v>0</v>
      </c>
    </row>
    <row r="46" spans="1:26" s="27" customFormat="1" outlineLevel="1" collapsed="1" x14ac:dyDescent="0.25">
      <c r="A46" s="29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2017.34</v>
      </c>
      <c r="E46" s="1"/>
      <c r="F46" s="5">
        <f t="shared" si="28"/>
        <v>0</v>
      </c>
      <c r="G46" s="1"/>
      <c r="H46" s="1">
        <f>SUM(OSRRefH22_4x_0)</f>
        <v>2017</v>
      </c>
      <c r="I46" s="1"/>
      <c r="J46" s="5">
        <f t="shared" si="29"/>
        <v>0</v>
      </c>
      <c r="K46" s="1"/>
      <c r="L46" s="1">
        <f t="shared" si="30"/>
        <v>0.33999999999991815</v>
      </c>
      <c r="M46" s="1"/>
      <c r="N46" s="5">
        <f t="shared" si="31"/>
        <v>1.6856717897864064E-4</v>
      </c>
      <c r="O46" s="14"/>
      <c r="P46" s="1">
        <f>SUM(OSRRefP22_4x_0)</f>
        <v>8069.36</v>
      </c>
      <c r="Q46" s="1"/>
      <c r="R46" s="5">
        <f t="shared" si="32"/>
        <v>0</v>
      </c>
      <c r="S46" s="1"/>
      <c r="T46" s="1">
        <f>SUM(OSRRefT22_4x_0)</f>
        <v>8068</v>
      </c>
      <c r="U46" s="1"/>
      <c r="V46" s="5">
        <f t="shared" si="33"/>
        <v>0</v>
      </c>
      <c r="W46" s="1"/>
      <c r="X46" s="1">
        <f t="shared" si="34"/>
        <v>1.3599999999996726</v>
      </c>
      <c r="Y46" s="1"/>
      <c r="Z46" s="5">
        <f t="shared" si="35"/>
        <v>1.6856717897864064E-4</v>
      </c>
    </row>
    <row r="47" spans="1:26" s="24" customFormat="1" hidden="1" outlineLevel="2" x14ac:dyDescent="0.25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2017.34</v>
      </c>
      <c r="E47" s="2"/>
      <c r="F47" s="6">
        <f t="shared" si="28"/>
        <v>0</v>
      </c>
      <c r="G47" s="2"/>
      <c r="H47" s="7">
        <v>2017</v>
      </c>
      <c r="I47" s="2"/>
      <c r="J47" s="6">
        <f t="shared" si="29"/>
        <v>0</v>
      </c>
      <c r="K47" s="2"/>
      <c r="L47" s="7">
        <f t="shared" si="30"/>
        <v>0.33999999999991815</v>
      </c>
      <c r="M47" s="2"/>
      <c r="N47" s="6">
        <f t="shared" si="31"/>
        <v>1.6856717897864064E-4</v>
      </c>
      <c r="O47" s="11"/>
      <c r="P47" s="7">
        <v>8069.36</v>
      </c>
      <c r="Q47" s="2"/>
      <c r="R47" s="6">
        <f t="shared" si="32"/>
        <v>0</v>
      </c>
      <c r="S47" s="2"/>
      <c r="T47" s="7">
        <v>8068</v>
      </c>
      <c r="U47" s="2"/>
      <c r="V47" s="6">
        <f t="shared" si="33"/>
        <v>0</v>
      </c>
      <c r="W47" s="2"/>
      <c r="X47" s="7">
        <f t="shared" si="34"/>
        <v>1.3599999999996726</v>
      </c>
      <c r="Y47" s="2"/>
      <c r="Z47" s="6">
        <f t="shared" si="35"/>
        <v>1.6856717897864064E-4</v>
      </c>
    </row>
    <row r="48" spans="1:26" s="27" customFormat="1" outlineLevel="1" collapsed="1" x14ac:dyDescent="0.25">
      <c r="A48" s="29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4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0</v>
      </c>
      <c r="Y48" s="1"/>
      <c r="Z48" s="5">
        <f t="shared" si="35"/>
        <v>0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0</v>
      </c>
      <c r="Y49" s="2"/>
      <c r="Z49" s="6">
        <f t="shared" si="35"/>
        <v>0</v>
      </c>
    </row>
    <row r="50" spans="1:26" s="27" customFormat="1" outlineLevel="1" collapsed="1" x14ac:dyDescent="0.25">
      <c r="A50" s="29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8"/>
      <c r="B51" s="11" t="str">
        <f>CONCATENATE("          ", "6273", " - ", "RENT")</f>
        <v xml:space="preserve">          6273 - RENT</v>
      </c>
      <c r="C51" s="11"/>
      <c r="D51" s="7"/>
      <c r="E51" s="2"/>
      <c r="F51" s="6">
        <f t="shared" si="28"/>
        <v>0</v>
      </c>
      <c r="G51" s="2"/>
      <c r="H51" s="7">
        <v>0</v>
      </c>
      <c r="I51" s="2"/>
      <c r="J51" s="6">
        <f t="shared" si="29"/>
        <v>0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/>
      <c r="Q51" s="2"/>
      <c r="R51" s="6">
        <f t="shared" si="32"/>
        <v>0</v>
      </c>
      <c r="S51" s="2"/>
      <c r="T51" s="7">
        <v>0</v>
      </c>
      <c r="U51" s="2"/>
      <c r="V51" s="6">
        <f t="shared" si="33"/>
        <v>0</v>
      </c>
      <c r="W51" s="2"/>
      <c r="X51" s="7">
        <f t="shared" si="34"/>
        <v>0</v>
      </c>
      <c r="Y51" s="2"/>
      <c r="Z51" s="6">
        <f t="shared" si="35"/>
        <v>0</v>
      </c>
    </row>
    <row r="52" spans="1:26" s="27" customFormat="1" outlineLevel="1" collapsed="1" x14ac:dyDescent="0.25">
      <c r="A52" s="29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0</v>
      </c>
      <c r="E52" s="1"/>
      <c r="F52" s="5">
        <f t="shared" si="28"/>
        <v>0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4"/>
      <c r="P52" s="1">
        <f>SUM(OSRRefP22_7x_0)</f>
        <v>150.94999999999999</v>
      </c>
      <c r="Q52" s="1"/>
      <c r="R52" s="5">
        <f t="shared" si="32"/>
        <v>0</v>
      </c>
      <c r="S52" s="1"/>
      <c r="T52" s="1">
        <f>SUM(OSRRefT22_7x_0)</f>
        <v>0</v>
      </c>
      <c r="U52" s="1"/>
      <c r="V52" s="5">
        <f t="shared" si="33"/>
        <v>0</v>
      </c>
      <c r="W52" s="1"/>
      <c r="X52" s="1">
        <f t="shared" si="34"/>
        <v>150.94999999999999</v>
      </c>
      <c r="Y52" s="1"/>
      <c r="Z52" s="5">
        <f t="shared" si="35"/>
        <v>0</v>
      </c>
    </row>
    <row r="53" spans="1:26" s="24" customFormat="1" hidden="1" outlineLevel="2" x14ac:dyDescent="0.25">
      <c r="A53" s="28"/>
      <c r="B53" s="11" t="str">
        <f>CONCATENATE("          ", "6373", " - ", "MAINTENANCE CONTRACTS")</f>
        <v xml:space="preserve">          6373 - MAINTENANCE CONTRACTS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150.94999999999999</v>
      </c>
      <c r="Q53" s="2"/>
      <c r="R53" s="6">
        <f t="shared" si="32"/>
        <v>0</v>
      </c>
      <c r="S53" s="2"/>
      <c r="T53" s="7"/>
      <c r="U53" s="2"/>
      <c r="V53" s="6">
        <f t="shared" si="33"/>
        <v>0</v>
      </c>
      <c r="W53" s="2"/>
      <c r="X53" s="7">
        <f t="shared" si="34"/>
        <v>150.94999999999999</v>
      </c>
      <c r="Y53" s="2"/>
      <c r="Z53" s="6">
        <f t="shared" si="35"/>
        <v>0</v>
      </c>
    </row>
    <row r="54" spans="1:26" s="24" customFormat="1" hidden="1" outlineLevel="2" x14ac:dyDescent="0.25">
      <c r="A54" s="28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28"/>
        <v>0</v>
      </c>
      <c r="G54" s="2"/>
      <c r="H54" s="7">
        <v>0</v>
      </c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0</v>
      </c>
      <c r="U54" s="2"/>
      <c r="V54" s="6">
        <f t="shared" si="33"/>
        <v>0</v>
      </c>
      <c r="W54" s="2"/>
      <c r="X54" s="7">
        <f t="shared" si="34"/>
        <v>0</v>
      </c>
      <c r="Y54" s="2"/>
      <c r="Z54" s="6">
        <f t="shared" si="35"/>
        <v>0</v>
      </c>
    </row>
    <row r="55" spans="1:26" s="27" customFormat="1" outlineLevel="1" collapsed="1" x14ac:dyDescent="0.25">
      <c r="A55" s="29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0</v>
      </c>
      <c r="E55" s="1"/>
      <c r="F55" s="5">
        <f t="shared" ref="F55:F57" si="36">IF(D$12=0,0,D55/D$12)</f>
        <v>0</v>
      </c>
      <c r="G55" s="1"/>
      <c r="H55" s="1">
        <f>SUM(OSRRefH22_8x_0)</f>
        <v>0</v>
      </c>
      <c r="I55" s="1"/>
      <c r="J55" s="5">
        <f t="shared" ref="J55:J57" si="37">IF(H$12=0,0,H55/H$12)</f>
        <v>0</v>
      </c>
      <c r="K55" s="1"/>
      <c r="L55" s="1">
        <f t="shared" ref="L55:L57" si="38">+D55-H55</f>
        <v>0</v>
      </c>
      <c r="M55" s="1"/>
      <c r="N55" s="5">
        <f t="shared" ref="N55:N57" si="39">IF(H55=0,0,L55/H55)</f>
        <v>0</v>
      </c>
      <c r="O55" s="14"/>
      <c r="P55" s="1">
        <f>SUM(OSRRefP22_8x_0)</f>
        <v>-1053.52</v>
      </c>
      <c r="Q55" s="1"/>
      <c r="R55" s="5">
        <f t="shared" ref="R55:R57" si="40">IF(P$12=0,0,P55/P$12)</f>
        <v>0</v>
      </c>
      <c r="S55" s="1"/>
      <c r="T55" s="1">
        <f>SUM(OSRRefT22_8x_0)</f>
        <v>0</v>
      </c>
      <c r="U55" s="1"/>
      <c r="V55" s="5">
        <f t="shared" ref="V55:V57" si="41">IF(T$12=0,0,T55/T$12)</f>
        <v>0</v>
      </c>
      <c r="W55" s="1"/>
      <c r="X55" s="1">
        <f t="shared" ref="X55:X57" si="42">+P55-T55</f>
        <v>-1053.52</v>
      </c>
      <c r="Y55" s="1"/>
      <c r="Z55" s="5">
        <f t="shared" ref="Z55:Z57" si="43">IF(T55=0,0,X55/T55)</f>
        <v>0</v>
      </c>
    </row>
    <row r="56" spans="1:26" s="24" customFormat="1" hidden="1" outlineLevel="2" x14ac:dyDescent="0.25">
      <c r="A56" s="28"/>
      <c r="B56" s="11" t="str">
        <f>CONCATENATE("          ", "6282", " - ", "JANITORIAL/EXTERMINATOR EXPENS")</f>
        <v xml:space="preserve">          6282 - JANITORIAL/EXTERMINATOR EXPENS</v>
      </c>
      <c r="C56" s="11"/>
      <c r="D56" s="7"/>
      <c r="E56" s="2"/>
      <c r="F56" s="6">
        <f t="shared" si="36"/>
        <v>0</v>
      </c>
      <c r="G56" s="2"/>
      <c r="H56" s="7"/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-567.28</v>
      </c>
      <c r="Q56" s="2"/>
      <c r="R56" s="6">
        <f t="shared" si="40"/>
        <v>0</v>
      </c>
      <c r="S56" s="2"/>
      <c r="T56" s="7"/>
      <c r="U56" s="2"/>
      <c r="V56" s="6">
        <f t="shared" si="41"/>
        <v>0</v>
      </c>
      <c r="W56" s="2"/>
      <c r="X56" s="7">
        <f t="shared" si="42"/>
        <v>-567.28</v>
      </c>
      <c r="Y56" s="2"/>
      <c r="Z56" s="6">
        <f t="shared" si="43"/>
        <v>0</v>
      </c>
    </row>
    <row r="57" spans="1:26" s="24" customFormat="1" hidden="1" outlineLevel="2" x14ac:dyDescent="0.25">
      <c r="A57" s="28"/>
      <c r="B57" s="11" t="str">
        <f>CONCATENATE("          ", "6285", " - ", "JANITORIAL SERVICES")</f>
        <v xml:space="preserve">          6285 - JANITORIAL SERVICES</v>
      </c>
      <c r="C57" s="11"/>
      <c r="D57" s="7"/>
      <c r="E57" s="2"/>
      <c r="F57" s="6">
        <f t="shared" si="36"/>
        <v>0</v>
      </c>
      <c r="G57" s="2"/>
      <c r="H57" s="7">
        <v>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-486.24</v>
      </c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-486.24</v>
      </c>
      <c r="Y57" s="2"/>
      <c r="Z57" s="6">
        <f t="shared" si="43"/>
        <v>0</v>
      </c>
    </row>
    <row r="58" spans="1:26" s="27" customFormat="1" outlineLevel="1" collapsed="1" x14ac:dyDescent="0.25">
      <c r="A58" s="29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SUM(OSRRefD22_9x_0)</f>
        <v>0</v>
      </c>
      <c r="E58" s="1"/>
      <c r="F58" s="5">
        <f t="shared" ref="F58:F62" si="44">IF(D$12=0,0,D58/D$12)</f>
        <v>0</v>
      </c>
      <c r="G58" s="1"/>
      <c r="H58" s="1">
        <f>SUM(OSRRefH22_9x_0)</f>
        <v>0</v>
      </c>
      <c r="I58" s="1"/>
      <c r="J58" s="5">
        <f t="shared" ref="J58:J62" si="45">IF(H$12=0,0,H58/H$12)</f>
        <v>0</v>
      </c>
      <c r="K58" s="1"/>
      <c r="L58" s="1">
        <f t="shared" ref="L58:L62" si="46">+D58-H58</f>
        <v>0</v>
      </c>
      <c r="M58" s="1"/>
      <c r="N58" s="5">
        <f t="shared" ref="N58:N62" si="47">IF(H58=0,0,L58/H58)</f>
        <v>0</v>
      </c>
      <c r="O58" s="14"/>
      <c r="P58" s="1">
        <f>SUM(OSRRefP22_9x_0)</f>
        <v>131.30000000000001</v>
      </c>
      <c r="Q58" s="1"/>
      <c r="R58" s="5">
        <f t="shared" ref="R58:R62" si="48">IF(P$12=0,0,P58/P$12)</f>
        <v>0</v>
      </c>
      <c r="S58" s="1"/>
      <c r="T58" s="1">
        <f>SUM(OSRRefT22_9x_0)</f>
        <v>0</v>
      </c>
      <c r="U58" s="1"/>
      <c r="V58" s="5">
        <f t="shared" ref="V58:V62" si="49">IF(T$12=0,0,T58/T$12)</f>
        <v>0</v>
      </c>
      <c r="W58" s="1"/>
      <c r="X58" s="1">
        <f t="shared" ref="X58:X62" si="50">+P58-T58</f>
        <v>131.30000000000001</v>
      </c>
      <c r="Y58" s="1"/>
      <c r="Z58" s="5">
        <f t="shared" ref="Z58:Z62" si="51">IF(T58=0,0,X58/T58)</f>
        <v>0</v>
      </c>
    </row>
    <row r="59" spans="1:26" s="24" customFormat="1" hidden="1" outlineLevel="2" x14ac:dyDescent="0.25">
      <c r="A59" s="28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25">
      <c r="A60" s="28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>
        <v>131.30000000000001</v>
      </c>
      <c r="Q60" s="2"/>
      <c r="R60" s="6">
        <f t="shared" si="48"/>
        <v>0</v>
      </c>
      <c r="S60" s="2"/>
      <c r="T60" s="7"/>
      <c r="U60" s="2"/>
      <c r="V60" s="6">
        <f t="shared" si="49"/>
        <v>0</v>
      </c>
      <c r="W60" s="2"/>
      <c r="X60" s="7">
        <f t="shared" si="50"/>
        <v>131.30000000000001</v>
      </c>
      <c r="Y60" s="2"/>
      <c r="Z60" s="6">
        <f t="shared" si="51"/>
        <v>0</v>
      </c>
    </row>
    <row r="61" spans="1:26" s="24" customFormat="1" hidden="1" outlineLevel="2" x14ac:dyDescent="0.25">
      <c r="A61" s="28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8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7" customFormat="1" outlineLevel="1" collapsed="1" x14ac:dyDescent="0.25">
      <c r="A63" s="29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13.2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13.2</v>
      </c>
      <c r="M63" s="1"/>
      <c r="N63" s="5">
        <f t="shared" ref="N63:N66" si="55">IF(H63=0,0,L63/H63)</f>
        <v>0</v>
      </c>
      <c r="O63" s="14"/>
      <c r="P63" s="1">
        <f>SUM(OSRRefP22_10x_0)</f>
        <v>85.2</v>
      </c>
      <c r="Q63" s="1"/>
      <c r="R63" s="5">
        <f t="shared" ref="R63:R66" si="56">IF(P$12=0,0,P63/P$12)</f>
        <v>0</v>
      </c>
      <c r="S63" s="1"/>
      <c r="T63" s="1">
        <f>SUM(OSRRefT22_10x_0)</f>
        <v>0</v>
      </c>
      <c r="U63" s="1"/>
      <c r="V63" s="5">
        <f t="shared" ref="V63:V66" si="57">IF(T$12=0,0,T63/T$12)</f>
        <v>0</v>
      </c>
      <c r="W63" s="1"/>
      <c r="X63" s="1">
        <f t="shared" ref="X63:X66" si="58">+P63-T63</f>
        <v>85.2</v>
      </c>
      <c r="Y63" s="1"/>
      <c r="Z63" s="5">
        <f t="shared" ref="Z63:Z66" si="59">IF(T63=0,0,X63/T63)</f>
        <v>0</v>
      </c>
    </row>
    <row r="64" spans="1:26" s="24" customFormat="1" hidden="1" outlineLevel="2" x14ac:dyDescent="0.25">
      <c r="A64" s="28"/>
      <c r="B64" s="11" t="str">
        <f>CONCATENATE("          ", "6309", " - ", "TELEPHONE")</f>
        <v xml:space="preserve">          6309 - TELEPHONE</v>
      </c>
      <c r="C64" s="11"/>
      <c r="D64" s="7">
        <v>13.2</v>
      </c>
      <c r="E64" s="2"/>
      <c r="F64" s="6">
        <f t="shared" si="52"/>
        <v>0</v>
      </c>
      <c r="G64" s="2"/>
      <c r="H64" s="7"/>
      <c r="I64" s="2"/>
      <c r="J64" s="6">
        <f t="shared" si="53"/>
        <v>0</v>
      </c>
      <c r="K64" s="2"/>
      <c r="L64" s="7">
        <f t="shared" si="54"/>
        <v>13.2</v>
      </c>
      <c r="M64" s="2"/>
      <c r="N64" s="6">
        <f t="shared" si="55"/>
        <v>0</v>
      </c>
      <c r="O64" s="11"/>
      <c r="P64" s="7">
        <v>85.2</v>
      </c>
      <c r="Q64" s="2"/>
      <c r="R64" s="6">
        <f t="shared" si="56"/>
        <v>0</v>
      </c>
      <c r="S64" s="2"/>
      <c r="T64" s="7"/>
      <c r="U64" s="2"/>
      <c r="V64" s="6">
        <f t="shared" si="57"/>
        <v>0</v>
      </c>
      <c r="W64" s="2"/>
      <c r="X64" s="7">
        <f t="shared" si="58"/>
        <v>85.2</v>
      </c>
      <c r="Y64" s="2"/>
      <c r="Z64" s="6">
        <f t="shared" si="59"/>
        <v>0</v>
      </c>
    </row>
    <row r="65" spans="1:26" s="27" customFormat="1" outlineLevel="1" collapsed="1" x14ac:dyDescent="0.25">
      <c r="A65" s="29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SUM(OSRRefD22_11x_0)</f>
        <v>208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208</v>
      </c>
      <c r="M65" s="1"/>
      <c r="N65" s="5">
        <f t="shared" si="55"/>
        <v>0</v>
      </c>
      <c r="O65" s="14"/>
      <c r="P65" s="1">
        <f>SUM(OSRRefP22_11x_0)</f>
        <v>208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208</v>
      </c>
      <c r="Y65" s="1"/>
      <c r="Z65" s="5">
        <f t="shared" si="59"/>
        <v>0</v>
      </c>
    </row>
    <row r="66" spans="1:26" s="24" customFormat="1" hidden="1" outlineLevel="2" x14ac:dyDescent="0.25">
      <c r="A66" s="28"/>
      <c r="B66" s="11" t="str">
        <f>CONCATENATE("          ", "6274", " - ", "UTILITIES")</f>
        <v xml:space="preserve">          6274 - UTILITIES</v>
      </c>
      <c r="C66" s="11"/>
      <c r="D66" s="7">
        <v>208</v>
      </c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208</v>
      </c>
      <c r="M66" s="2"/>
      <c r="N66" s="6">
        <f t="shared" si="55"/>
        <v>0</v>
      </c>
      <c r="O66" s="11"/>
      <c r="P66" s="7">
        <v>208</v>
      </c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208</v>
      </c>
      <c r="Y66" s="2"/>
      <c r="Z66" s="6">
        <f t="shared" si="59"/>
        <v>0</v>
      </c>
    </row>
    <row r="67" spans="1:26" s="63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5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6" t="s">
        <v>3</v>
      </c>
      <c r="C70" s="26"/>
      <c r="D70" s="20">
        <f>+D19-D21+D68</f>
        <v>-2238.54</v>
      </c>
      <c r="E70" s="13"/>
      <c r="F70" s="19">
        <f>IF(D$12=0,0,D70/D$12)</f>
        <v>0</v>
      </c>
      <c r="G70" s="13"/>
      <c r="H70" s="20">
        <f>+H19-H21+H68</f>
        <v>-2017</v>
      </c>
      <c r="I70" s="13"/>
      <c r="J70" s="19">
        <f>IF(H$12=0,0,H70/H$12)</f>
        <v>0</v>
      </c>
      <c r="K70" s="15"/>
      <c r="L70" s="20">
        <f>+D70-H70</f>
        <v>-221.53999999999996</v>
      </c>
      <c r="M70" s="15"/>
      <c r="N70" s="19">
        <f>IF(H70=0,0,L70/H70)</f>
        <v>0.10983639067922656</v>
      </c>
      <c r="O70" s="25"/>
      <c r="P70" s="20">
        <f>+P19-P21+P68</f>
        <v>-10044.93</v>
      </c>
      <c r="Q70" s="13"/>
      <c r="R70" s="19">
        <f>IF(P$12=0,0,P70/P$12)</f>
        <v>0</v>
      </c>
      <c r="S70" s="13"/>
      <c r="T70" s="20">
        <f>+T19-T21+T68</f>
        <v>-8068</v>
      </c>
      <c r="U70" s="13"/>
      <c r="V70" s="19">
        <f>IF(T$12=0,0,T70/T$12)</f>
        <v>0</v>
      </c>
      <c r="W70" s="15"/>
      <c r="X70" s="20">
        <f>+P70-T70</f>
        <v>-1976.9300000000003</v>
      </c>
      <c r="Y70" s="15"/>
      <c r="Z70" s="19">
        <f>IF(T70=0,0,X70/T70)</f>
        <v>0.24503346554288552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4</v>
      </c>
      <c r="C74" s="26"/>
      <c r="D74" s="34">
        <f>+D70-D72</f>
        <v>-2238.54</v>
      </c>
      <c r="E74" s="13"/>
      <c r="F74" s="35">
        <f>IF(D$12=0,0,D74/D$12)</f>
        <v>0</v>
      </c>
      <c r="G74" s="13"/>
      <c r="H74" s="34">
        <f>+H70-H72</f>
        <v>-2017</v>
      </c>
      <c r="I74" s="13"/>
      <c r="J74" s="35">
        <f>IF(H$12=0,0,H74/H$12)</f>
        <v>0</v>
      </c>
      <c r="K74" s="15"/>
      <c r="L74" s="34">
        <f>D74-H74</f>
        <v>-221.53999999999996</v>
      </c>
      <c r="M74" s="15"/>
      <c r="N74" s="35">
        <f>IF(H74=0,0,L74/H74)</f>
        <v>0.10983639067922656</v>
      </c>
      <c r="O74" s="25"/>
      <c r="P74" s="34">
        <f>+P70-P72</f>
        <v>-10044.93</v>
      </c>
      <c r="Q74" s="13"/>
      <c r="R74" s="35">
        <f>IF(P$12=0,0,P74/P$12)</f>
        <v>0</v>
      </c>
      <c r="S74" s="13"/>
      <c r="T74" s="34">
        <f>+T70-T72</f>
        <v>-8068</v>
      </c>
      <c r="U74" s="13"/>
      <c r="V74" s="35">
        <f>IF(T$12=0,0,T74/T$12)</f>
        <v>0</v>
      </c>
      <c r="W74" s="15"/>
      <c r="X74" s="34">
        <f>P74-T74</f>
        <v>-1976.9300000000003</v>
      </c>
      <c r="Y74" s="15"/>
      <c r="Z74" s="35">
        <f>IF(T74=0,0,X74/T74)</f>
        <v>0.24503346554288552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5</v>
      </c>
      <c r="C77" s="26"/>
      <c r="D77" s="30">
        <f>SUM(D74:D76)</f>
        <v>-2238.54</v>
      </c>
      <c r="E77" s="13"/>
      <c r="F77" s="32">
        <f>IF(D$12=0,0,D77/D$12)</f>
        <v>0</v>
      </c>
      <c r="G77" s="13"/>
      <c r="H77" s="30">
        <f>SUM(H74:H76)</f>
        <v>-2017</v>
      </c>
      <c r="I77" s="13"/>
      <c r="J77" s="32">
        <f>IF(H$12=0,0,H77/H$12)</f>
        <v>0</v>
      </c>
      <c r="K77" s="15"/>
      <c r="L77" s="30">
        <f>+D77-H77</f>
        <v>-221.53999999999996</v>
      </c>
      <c r="M77" s="15"/>
      <c r="N77" s="32">
        <f>IF(H77=0,0,L77/H77)</f>
        <v>0.10983639067922656</v>
      </c>
      <c r="O77" s="25"/>
      <c r="P77" s="30">
        <f>SUM(P74:P76)</f>
        <v>-10044.93</v>
      </c>
      <c r="Q77" s="13"/>
      <c r="R77" s="32">
        <f>IF(P$12=0,0,P77/P$12)</f>
        <v>0</v>
      </c>
      <c r="S77" s="13"/>
      <c r="T77" s="30">
        <f>SUM(T74:T76)</f>
        <v>-8068</v>
      </c>
      <c r="U77" s="13"/>
      <c r="V77" s="32">
        <f>IF(T$12=0,0,T77/T$12)</f>
        <v>0</v>
      </c>
      <c r="W77" s="15"/>
      <c r="X77" s="30">
        <f>+P77-T77</f>
        <v>-1976.9300000000003</v>
      </c>
      <c r="Y77" s="15"/>
      <c r="Z77" s="32">
        <f>IF(T77=0,0,X77/T77)</f>
        <v>0.24503346554288552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60">
        <v>44151.568442743053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8" t="s">
        <v>314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3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","325", " - ", "Outpost C-Store")</f>
        <v>Department 325 - Outpost C-Store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33291</v>
      </c>
      <c r="I12" s="4"/>
      <c r="J12" s="12"/>
      <c r="K12" s="4"/>
      <c r="L12" s="4">
        <f t="shared" ref="L12:L14" si="0">+D12-H12</f>
        <v>-33291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57517</v>
      </c>
      <c r="U12" s="4"/>
      <c r="V12" s="12"/>
      <c r="W12" s="4"/>
      <c r="X12" s="4">
        <f t="shared" ref="X12:X14" si="2">+P12-T12</f>
        <v>-57517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5901</v>
      </c>
      <c r="I13" s="2"/>
      <c r="J13" s="22"/>
      <c r="K13" s="2"/>
      <c r="L13" s="2">
        <f t="shared" si="0"/>
        <v>-5901</v>
      </c>
      <c r="M13" s="2"/>
      <c r="N13" s="22">
        <f t="shared" si="1"/>
        <v>-1</v>
      </c>
      <c r="O13" s="11"/>
      <c r="P13" s="2">
        <f t="shared" ref="P13:P14" si="5">0</f>
        <v>0</v>
      </c>
      <c r="Q13" s="2"/>
      <c r="R13" s="22"/>
      <c r="S13" s="2"/>
      <c r="T13" s="2">
        <v>10195</v>
      </c>
      <c r="U13" s="2"/>
      <c r="V13" s="22"/>
      <c r="W13" s="2"/>
      <c r="X13" s="2">
        <f t="shared" si="2"/>
        <v>-10195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27390</v>
      </c>
      <c r="I14" s="2"/>
      <c r="J14" s="22"/>
      <c r="K14" s="2"/>
      <c r="L14" s="2">
        <f t="shared" si="0"/>
        <v>-27390</v>
      </c>
      <c r="M14" s="2"/>
      <c r="N14" s="22">
        <f t="shared" si="1"/>
        <v>-1</v>
      </c>
      <c r="O14" s="11"/>
      <c r="P14" s="2">
        <f t="shared" si="5"/>
        <v>0</v>
      </c>
      <c r="Q14" s="2"/>
      <c r="R14" s="22"/>
      <c r="S14" s="2"/>
      <c r="T14" s="2">
        <v>47322</v>
      </c>
      <c r="U14" s="2"/>
      <c r="V14" s="22"/>
      <c r="W14" s="2"/>
      <c r="X14" s="2">
        <f t="shared" si="2"/>
        <v>-47322</v>
      </c>
      <c r="Y14" s="2"/>
      <c r="Z14" s="22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11536.83</v>
      </c>
      <c r="E16" s="4"/>
      <c r="F16" s="12">
        <f t="shared" ref="F16:F19" si="6">IF(D$12=0,0,D16/D$12)</f>
        <v>0</v>
      </c>
      <c r="G16" s="4"/>
      <c r="H16" s="4">
        <f>SUM(OSRRefH16x_0)</f>
        <v>11718</v>
      </c>
      <c r="I16" s="4"/>
      <c r="J16" s="12">
        <f t="shared" ref="J16:J19" si="7">IF(H$12=0,0,H16/H$12)</f>
        <v>0.35198702351987021</v>
      </c>
      <c r="K16" s="4"/>
      <c r="L16" s="4">
        <f t="shared" ref="L16:L19" si="8">+D16-H16</f>
        <v>-181.17000000000007</v>
      </c>
      <c r="M16" s="4"/>
      <c r="N16" s="12">
        <f t="shared" ref="N16:N19" si="9">IF(H16=0,0,L16/H16)</f>
        <v>-1.5460829493087564E-2</v>
      </c>
      <c r="O16" s="10"/>
      <c r="P16" s="4">
        <f>SUM(OSRRefP16x_0)</f>
        <v>10847.87</v>
      </c>
      <c r="Q16" s="4"/>
      <c r="R16" s="12">
        <f t="shared" ref="R16:R19" si="10">IF(P$12=0,0,P16/P$12)</f>
        <v>0</v>
      </c>
      <c r="S16" s="4"/>
      <c r="T16" s="4">
        <f>SUM(OSRRefT16x_0)</f>
        <v>19858</v>
      </c>
      <c r="U16" s="4"/>
      <c r="V16" s="12">
        <f t="shared" ref="V16:V19" si="11">IF(T$12=0,0,T16/T$12)</f>
        <v>0.3452544465114662</v>
      </c>
      <c r="W16" s="4"/>
      <c r="X16" s="4">
        <f t="shared" ref="X16:X19" si="12">+P16-T16</f>
        <v>-9010.1299999999992</v>
      </c>
      <c r="Y16" s="4"/>
      <c r="Z16" s="12">
        <f t="shared" ref="Z16:Z19" si="13">IF(T16=0,0,X16/T16)</f>
        <v>-0.4537279685768959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11718</v>
      </c>
      <c r="I17" s="2"/>
      <c r="J17" s="22">
        <f t="shared" si="7"/>
        <v>0.35198702351987021</v>
      </c>
      <c r="K17" s="2"/>
      <c r="L17" s="2">
        <f t="shared" si="8"/>
        <v>-11718</v>
      </c>
      <c r="M17" s="2"/>
      <c r="N17" s="22">
        <f t="shared" si="9"/>
        <v>-1</v>
      </c>
      <c r="O17" s="11"/>
      <c r="P17" s="2"/>
      <c r="Q17" s="2"/>
      <c r="R17" s="22">
        <f t="shared" si="10"/>
        <v>0</v>
      </c>
      <c r="S17" s="2"/>
      <c r="T17" s="2">
        <v>19858</v>
      </c>
      <c r="U17" s="2"/>
      <c r="V17" s="22">
        <f t="shared" si="11"/>
        <v>0.3452544465114662</v>
      </c>
      <c r="W17" s="2"/>
      <c r="X17" s="2">
        <f t="shared" si="12"/>
        <v>-19858</v>
      </c>
      <c r="Y17" s="2"/>
      <c r="Z17" s="22">
        <f t="shared" si="13"/>
        <v>-1</v>
      </c>
    </row>
    <row r="18" spans="1:26" s="24" customFormat="1" hidden="1" outlineLevel="1" x14ac:dyDescent="0.25">
      <c r="A18" s="51"/>
      <c r="B18" s="11" t="str">
        <f>CONCATENATE("          ", "5053", " - ", "PURCHASES @ COST-FOOD")</f>
        <v xml:space="preserve">          5053 - PURCHASES @ COST-FOOD</v>
      </c>
      <c r="C18" s="11"/>
      <c r="D18" s="2">
        <v>-92.17</v>
      </c>
      <c r="E18" s="2"/>
      <c r="F18" s="22">
        <f t="shared" si="6"/>
        <v>0</v>
      </c>
      <c r="G18" s="2"/>
      <c r="H18" s="2"/>
      <c r="I18" s="2"/>
      <c r="J18" s="22">
        <f t="shared" si="7"/>
        <v>0</v>
      </c>
      <c r="K18" s="2"/>
      <c r="L18" s="2">
        <f t="shared" si="8"/>
        <v>-92.17</v>
      </c>
      <c r="M18" s="2"/>
      <c r="N18" s="22">
        <f t="shared" si="9"/>
        <v>0</v>
      </c>
      <c r="O18" s="11"/>
      <c r="P18" s="2">
        <v>-781.13</v>
      </c>
      <c r="Q18" s="2"/>
      <c r="R18" s="22">
        <f t="shared" si="10"/>
        <v>0</v>
      </c>
      <c r="S18" s="2"/>
      <c r="T18" s="2"/>
      <c r="U18" s="2"/>
      <c r="V18" s="22">
        <f t="shared" si="11"/>
        <v>0</v>
      </c>
      <c r="W18" s="2"/>
      <c r="X18" s="2">
        <f t="shared" si="12"/>
        <v>-781.13</v>
      </c>
      <c r="Y18" s="2"/>
      <c r="Z18" s="22">
        <f t="shared" si="13"/>
        <v>0</v>
      </c>
    </row>
    <row r="19" spans="1:26" s="24" customFormat="1" hidden="1" outlineLevel="1" x14ac:dyDescent="0.25">
      <c r="A19" s="51"/>
      <c r="B19" s="11" t="str">
        <f>CONCATENATE("          ", "5059", " - ", "PURCHASES @ COST-FOOD")</f>
        <v xml:space="preserve">          5059 - PURCHASES @ COST-FOOD</v>
      </c>
      <c r="C19" s="11"/>
      <c r="D19" s="2">
        <v>11629</v>
      </c>
      <c r="E19" s="2"/>
      <c r="F19" s="22">
        <f t="shared" si="6"/>
        <v>0</v>
      </c>
      <c r="G19" s="2"/>
      <c r="H19" s="2"/>
      <c r="I19" s="2"/>
      <c r="J19" s="22">
        <f t="shared" si="7"/>
        <v>0</v>
      </c>
      <c r="K19" s="2"/>
      <c r="L19" s="2">
        <f t="shared" si="8"/>
        <v>11629</v>
      </c>
      <c r="M19" s="2"/>
      <c r="N19" s="22">
        <f t="shared" si="9"/>
        <v>0</v>
      </c>
      <c r="O19" s="11"/>
      <c r="P19" s="2">
        <v>11629</v>
      </c>
      <c r="Q19" s="2"/>
      <c r="R19" s="22">
        <f t="shared" si="10"/>
        <v>0</v>
      </c>
      <c r="S19" s="2"/>
      <c r="T19" s="2"/>
      <c r="U19" s="2"/>
      <c r="V19" s="22">
        <f t="shared" si="11"/>
        <v>0</v>
      </c>
      <c r="W19" s="2"/>
      <c r="X19" s="2">
        <f t="shared" si="12"/>
        <v>11629</v>
      </c>
      <c r="Y19" s="2"/>
      <c r="Z19" s="22">
        <f t="shared" si="13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0">
        <f>D12-D16</f>
        <v>-11536.83</v>
      </c>
      <c r="E21" s="13"/>
      <c r="F21" s="19">
        <f>IF(D$12=0,0,D21/D$12)</f>
        <v>0</v>
      </c>
      <c r="G21" s="13"/>
      <c r="H21" s="20">
        <f>H12-H16</f>
        <v>21573</v>
      </c>
      <c r="I21" s="13"/>
      <c r="J21" s="19">
        <f>IF(H$12=0,0,H21/H$12)</f>
        <v>0.64801297648012979</v>
      </c>
      <c r="K21" s="15"/>
      <c r="L21" s="20">
        <f>+D21-H21</f>
        <v>-33109.83</v>
      </c>
      <c r="M21" s="15"/>
      <c r="N21" s="19">
        <f>IF(H21=0,0,L21/H21)</f>
        <v>-1.5347809762202753</v>
      </c>
      <c r="O21" s="25"/>
      <c r="P21" s="20">
        <f>P12-P16</f>
        <v>-10847.87</v>
      </c>
      <c r="Q21" s="13"/>
      <c r="R21" s="19">
        <f>IF(P$12=0,0,P21/P$12)</f>
        <v>0</v>
      </c>
      <c r="S21" s="13"/>
      <c r="T21" s="20">
        <f>T12-T16</f>
        <v>37659</v>
      </c>
      <c r="U21" s="13"/>
      <c r="V21" s="19">
        <f>IF(T$12=0,0,T21/T$12)</f>
        <v>0.6547455534885338</v>
      </c>
      <c r="W21" s="15"/>
      <c r="X21" s="20">
        <f>+P21-T21</f>
        <v>-48506.87</v>
      </c>
      <c r="Y21" s="15"/>
      <c r="Z21" s="19">
        <f>IF(T21=0,0,X21/T21)</f>
        <v>-1.2880551793727928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1">
        <f>SUM(OSRRefD22x_0)</f>
        <v>11361.830000000002</v>
      </c>
      <c r="E23" s="21"/>
      <c r="F23" s="31">
        <f t="shared" ref="F23:F32" si="14">IF(D$12=0,0,D23/D$12)</f>
        <v>0</v>
      </c>
      <c r="G23" s="21"/>
      <c r="H23" s="21">
        <f>SUM(OSRRefH22x_0)</f>
        <v>33654.734400000001</v>
      </c>
      <c r="I23" s="21"/>
      <c r="J23" s="31">
        <f t="shared" ref="J23:J32" si="15">IF(H$12=0,0,H23/H$12)</f>
        <v>1.0109259079030368</v>
      </c>
      <c r="K23" s="4"/>
      <c r="L23" s="21">
        <f t="shared" ref="L23:L32" si="16">+D23-H23</f>
        <v>-22292.904399999999</v>
      </c>
      <c r="M23" s="4"/>
      <c r="N23" s="31">
        <f t="shared" ref="N23:N32" si="17">IF(H23=0,0,L23/H23)</f>
        <v>-0.66240024761568161</v>
      </c>
      <c r="O23" s="10"/>
      <c r="P23" s="21">
        <f>SUM(OSRRefP22x_0)</f>
        <v>46437.85</v>
      </c>
      <c r="Q23" s="21"/>
      <c r="R23" s="31">
        <f t="shared" ref="R23:R32" si="18">IF(P$12=0,0,P23/P$12)</f>
        <v>0</v>
      </c>
      <c r="S23" s="21"/>
      <c r="T23" s="21">
        <f>SUM(OSRRefT22x_0)</f>
        <v>110715.12856</v>
      </c>
      <c r="U23" s="21"/>
      <c r="V23" s="31">
        <f t="shared" ref="V23:V32" si="19">IF(T$12=0,0,T23/T$12)</f>
        <v>1.924911392457882</v>
      </c>
      <c r="W23" s="4"/>
      <c r="X23" s="21">
        <f t="shared" ref="X23:X32" si="20">+P23-T23</f>
        <v>-64277.278559999999</v>
      </c>
      <c r="Y23" s="4"/>
      <c r="Z23" s="31">
        <f t="shared" ref="Z23:Z32" si="21">IF(T23=0,0,X23/T23)</f>
        <v>-0.58056454791691925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3779.0544</v>
      </c>
      <c r="I24" s="1"/>
      <c r="J24" s="5">
        <f t="shared" si="15"/>
        <v>0.11351579706226908</v>
      </c>
      <c r="K24" s="1"/>
      <c r="L24" s="1">
        <f t="shared" si="16"/>
        <v>-3779.0544</v>
      </c>
      <c r="M24" s="1"/>
      <c r="N24" s="5">
        <f t="shared" si="17"/>
        <v>-1</v>
      </c>
      <c r="O24" s="14"/>
      <c r="P24" s="1">
        <f>SUM(OSRRefP22_0x_0)</f>
        <v>2889.72</v>
      </c>
      <c r="Q24" s="1"/>
      <c r="R24" s="5">
        <f t="shared" si="18"/>
        <v>0</v>
      </c>
      <c r="S24" s="1"/>
      <c r="T24" s="1">
        <f>SUM(OSRRefT22_0x_0)</f>
        <v>13999.51656</v>
      </c>
      <c r="U24" s="1"/>
      <c r="V24" s="5">
        <f t="shared" si="19"/>
        <v>0.24339789210146565</v>
      </c>
      <c r="W24" s="1"/>
      <c r="X24" s="1">
        <f t="shared" si="20"/>
        <v>-11109.796560000001</v>
      </c>
      <c r="Y24" s="1"/>
      <c r="Z24" s="5">
        <f t="shared" si="21"/>
        <v>-0.79358430074245367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4"/>
        <v>0</v>
      </c>
      <c r="G25" s="2"/>
      <c r="H25" s="7">
        <v>397.95600000000002</v>
      </c>
      <c r="I25" s="2"/>
      <c r="J25" s="6">
        <f t="shared" si="15"/>
        <v>1.1953861403983058E-2</v>
      </c>
      <c r="K25" s="2"/>
      <c r="L25" s="7">
        <f t="shared" si="16"/>
        <v>-397.95600000000002</v>
      </c>
      <c r="M25" s="2"/>
      <c r="N25" s="6">
        <f t="shared" si="17"/>
        <v>-1</v>
      </c>
      <c r="O25" s="11"/>
      <c r="P25" s="7">
        <v>159.12</v>
      </c>
      <c r="Q25" s="2"/>
      <c r="R25" s="6">
        <f t="shared" si="18"/>
        <v>0</v>
      </c>
      <c r="S25" s="2"/>
      <c r="T25" s="7">
        <v>1492.335</v>
      </c>
      <c r="U25" s="2"/>
      <c r="V25" s="6">
        <f t="shared" si="19"/>
        <v>2.5945981188170455E-2</v>
      </c>
      <c r="W25" s="2"/>
      <c r="X25" s="7">
        <f t="shared" si="20"/>
        <v>-1333.2150000000001</v>
      </c>
      <c r="Y25" s="2"/>
      <c r="Z25" s="6">
        <f t="shared" si="21"/>
        <v>-0.89337514700117604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4"/>
        <v>0</v>
      </c>
      <c r="G26" s="2"/>
      <c r="H26" s="7">
        <v>213.56399999999999</v>
      </c>
      <c r="I26" s="2"/>
      <c r="J26" s="6">
        <f t="shared" si="15"/>
        <v>6.4150671352617827E-3</v>
      </c>
      <c r="K26" s="2"/>
      <c r="L26" s="7">
        <f t="shared" si="16"/>
        <v>-213.56399999999999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603.46259999999995</v>
      </c>
      <c r="U26" s="2"/>
      <c r="V26" s="6">
        <f t="shared" si="19"/>
        <v>1.049189978615018E-2</v>
      </c>
      <c r="W26" s="2"/>
      <c r="X26" s="7">
        <f t="shared" si="20"/>
        <v>-603.46259999999995</v>
      </c>
      <c r="Y26" s="2"/>
      <c r="Z26" s="6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4"/>
        <v>0</v>
      </c>
      <c r="G27" s="2"/>
      <c r="H27" s="7">
        <v>1980</v>
      </c>
      <c r="I27" s="2"/>
      <c r="J27" s="6">
        <f t="shared" si="15"/>
        <v>5.9475533928088672E-2</v>
      </c>
      <c r="K27" s="2"/>
      <c r="L27" s="7">
        <f t="shared" si="16"/>
        <v>-1980</v>
      </c>
      <c r="M27" s="2"/>
      <c r="N27" s="6">
        <f t="shared" si="17"/>
        <v>-1</v>
      </c>
      <c r="O27" s="11"/>
      <c r="P27" s="7">
        <v>1915.63</v>
      </c>
      <c r="Q27" s="2"/>
      <c r="R27" s="6">
        <f t="shared" si="18"/>
        <v>0</v>
      </c>
      <c r="S27" s="2"/>
      <c r="T27" s="7">
        <v>7920</v>
      </c>
      <c r="U27" s="2"/>
      <c r="V27" s="6">
        <f t="shared" si="19"/>
        <v>0.13769841959768417</v>
      </c>
      <c r="W27" s="2"/>
      <c r="X27" s="7">
        <f t="shared" si="20"/>
        <v>-6004.37</v>
      </c>
      <c r="Y27" s="2"/>
      <c r="Z27" s="6">
        <f t="shared" si="21"/>
        <v>-0.75812752525252525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4"/>
        <v>0</v>
      </c>
      <c r="G28" s="2"/>
      <c r="H28" s="7">
        <v>30.014399999999998</v>
      </c>
      <c r="I28" s="2"/>
      <c r="J28" s="6">
        <f t="shared" si="15"/>
        <v>9.0157700279354771E-4</v>
      </c>
      <c r="K28" s="2"/>
      <c r="L28" s="7">
        <f t="shared" si="16"/>
        <v>-30.014399999999998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84.810959999999994</v>
      </c>
      <c r="U28" s="2"/>
      <c r="V28" s="6">
        <f t="shared" si="19"/>
        <v>1.4745372672427281E-3</v>
      </c>
      <c r="W28" s="2"/>
      <c r="X28" s="7">
        <f t="shared" si="20"/>
        <v>-84.810959999999994</v>
      </c>
      <c r="Y28" s="2"/>
      <c r="Z28" s="6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4"/>
        <v>0</v>
      </c>
      <c r="G29" s="2"/>
      <c r="H29" s="7">
        <v>447.2</v>
      </c>
      <c r="I29" s="2"/>
      <c r="J29" s="6">
        <f t="shared" si="15"/>
        <v>1.3433059986182451E-2</v>
      </c>
      <c r="K29" s="2"/>
      <c r="L29" s="7">
        <f t="shared" si="16"/>
        <v>-447.2</v>
      </c>
      <c r="M29" s="2"/>
      <c r="N29" s="6">
        <f t="shared" si="17"/>
        <v>-1</v>
      </c>
      <c r="O29" s="11"/>
      <c r="P29" s="7">
        <v>458.89</v>
      </c>
      <c r="Q29" s="2"/>
      <c r="R29" s="6">
        <f t="shared" si="18"/>
        <v>0</v>
      </c>
      <c r="S29" s="2"/>
      <c r="T29" s="7">
        <v>1609.92</v>
      </c>
      <c r="U29" s="2"/>
      <c r="V29" s="6">
        <f t="shared" si="19"/>
        <v>2.799033329276562E-2</v>
      </c>
      <c r="W29" s="2"/>
      <c r="X29" s="7">
        <f t="shared" si="20"/>
        <v>-1151.0300000000002</v>
      </c>
      <c r="Y29" s="2"/>
      <c r="Z29" s="6">
        <f t="shared" si="21"/>
        <v>-0.71496099185052686</v>
      </c>
    </row>
    <row r="30" spans="1:26" s="24" customFormat="1" hidden="1" outlineLevel="2" x14ac:dyDescent="0.25">
      <c r="A30" s="28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4"/>
        <v>0</v>
      </c>
      <c r="G31" s="2"/>
      <c r="H31" s="7">
        <v>260</v>
      </c>
      <c r="I31" s="2"/>
      <c r="J31" s="6">
        <f t="shared" si="15"/>
        <v>7.8099185966177048E-3</v>
      </c>
      <c r="K31" s="2"/>
      <c r="L31" s="7">
        <f t="shared" si="16"/>
        <v>-260</v>
      </c>
      <c r="M31" s="2"/>
      <c r="N31" s="6">
        <f t="shared" si="17"/>
        <v>-1</v>
      </c>
      <c r="O31" s="11"/>
      <c r="P31" s="7">
        <v>152.1</v>
      </c>
      <c r="Q31" s="2"/>
      <c r="R31" s="6">
        <f t="shared" si="18"/>
        <v>0</v>
      </c>
      <c r="S31" s="2"/>
      <c r="T31" s="7">
        <v>936</v>
      </c>
      <c r="U31" s="2"/>
      <c r="V31" s="6">
        <f t="shared" si="19"/>
        <v>1.627344958881722E-2</v>
      </c>
      <c r="W31" s="2"/>
      <c r="X31" s="7">
        <f t="shared" si="20"/>
        <v>-783.9</v>
      </c>
      <c r="Y31" s="2"/>
      <c r="Z31" s="6">
        <f t="shared" si="21"/>
        <v>-0.83750000000000002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4"/>
        <v>0</v>
      </c>
      <c r="G32" s="2"/>
      <c r="H32" s="7">
        <v>450.32</v>
      </c>
      <c r="I32" s="2"/>
      <c r="J32" s="6">
        <f t="shared" si="15"/>
        <v>1.3526779009341863E-2</v>
      </c>
      <c r="K32" s="2"/>
      <c r="L32" s="7">
        <f t="shared" si="16"/>
        <v>-450.32</v>
      </c>
      <c r="M32" s="2"/>
      <c r="N32" s="6">
        <f t="shared" si="17"/>
        <v>-1</v>
      </c>
      <c r="O32" s="11"/>
      <c r="P32" s="7">
        <v>203.98</v>
      </c>
      <c r="Q32" s="2"/>
      <c r="R32" s="6">
        <f t="shared" si="18"/>
        <v>0</v>
      </c>
      <c r="S32" s="2"/>
      <c r="T32" s="7">
        <v>1352.9880000000001</v>
      </c>
      <c r="U32" s="2"/>
      <c r="V32" s="6">
        <f t="shared" si="19"/>
        <v>2.3523271380635292E-2</v>
      </c>
      <c r="W32" s="2"/>
      <c r="X32" s="7">
        <f t="shared" si="20"/>
        <v>-1149.008</v>
      </c>
      <c r="Y32" s="2"/>
      <c r="Z32" s="6">
        <f t="shared" si="21"/>
        <v>-0.84923739161027301</v>
      </c>
    </row>
    <row r="33" spans="1:26" s="27" customFormat="1" outlineLevel="1" collapsed="1" x14ac:dyDescent="0.25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2">IF(D$12=0,0,D33/D$12)</f>
        <v>0</v>
      </c>
      <c r="G33" s="1"/>
      <c r="H33" s="1">
        <f>SUM(OSRRefH22_1x_0)</f>
        <v>10833.68</v>
      </c>
      <c r="I33" s="1"/>
      <c r="J33" s="5">
        <f t="shared" ref="J33:J43" si="23">IF(H$12=0,0,H33/H$12)</f>
        <v>0.32542368808386651</v>
      </c>
      <c r="K33" s="1"/>
      <c r="L33" s="1">
        <f t="shared" ref="L33:L43" si="24">+D33-H33</f>
        <v>-10833.68</v>
      </c>
      <c r="M33" s="1"/>
      <c r="N33" s="5">
        <f t="shared" ref="N33:N43" si="25">IF(H33=0,0,L33/H33)</f>
        <v>-1</v>
      </c>
      <c r="O33" s="14"/>
      <c r="P33" s="1">
        <f>SUM(OSRRefP22_1x_0)</f>
        <v>884</v>
      </c>
      <c r="Q33" s="1"/>
      <c r="R33" s="5">
        <f t="shared" ref="R33:R43" si="26">IF(P$12=0,0,P33/P$12)</f>
        <v>0</v>
      </c>
      <c r="S33" s="1"/>
      <c r="T33" s="1">
        <f>SUM(OSRRefT22_1x_0)</f>
        <v>30330.611999999997</v>
      </c>
      <c r="U33" s="1"/>
      <c r="V33" s="5">
        <f t="shared" ref="V33:V43" si="27">IF(T$12=0,0,T33/T$12)</f>
        <v>0.52733299720082749</v>
      </c>
      <c r="W33" s="1"/>
      <c r="X33" s="1">
        <f t="shared" ref="X33:X43" si="28">+P33-T33</f>
        <v>-29446.611999999997</v>
      </c>
      <c r="Y33" s="1"/>
      <c r="Z33" s="5">
        <f t="shared" ref="Z33:Z43" si="29">IF(T33=0,0,X33/T33)</f>
        <v>-0.97085452809194883</v>
      </c>
    </row>
    <row r="34" spans="1:26" s="24" customFormat="1" hidden="1" outlineLevel="2" x14ac:dyDescent="0.25">
      <c r="A34" s="28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2"/>
        <v>0</v>
      </c>
      <c r="G35" s="2"/>
      <c r="H35" s="7">
        <v>4680</v>
      </c>
      <c r="I35" s="2"/>
      <c r="J35" s="6">
        <f t="shared" si="23"/>
        <v>0.14057853473911869</v>
      </c>
      <c r="K35" s="2"/>
      <c r="L35" s="7">
        <f t="shared" si="24"/>
        <v>-4680</v>
      </c>
      <c r="M35" s="2"/>
      <c r="N35" s="6">
        <f t="shared" si="25"/>
        <v>-1</v>
      </c>
      <c r="O35" s="11"/>
      <c r="P35" s="7">
        <v>884</v>
      </c>
      <c r="Q35" s="2"/>
      <c r="R35" s="6">
        <f t="shared" si="26"/>
        <v>0</v>
      </c>
      <c r="S35" s="2"/>
      <c r="T35" s="7">
        <v>16848</v>
      </c>
      <c r="U35" s="2"/>
      <c r="V35" s="6">
        <f t="shared" si="27"/>
        <v>0.29292209259870994</v>
      </c>
      <c r="W35" s="2"/>
      <c r="X35" s="7">
        <f t="shared" si="28"/>
        <v>-15964</v>
      </c>
      <c r="Y35" s="2"/>
      <c r="Z35" s="6">
        <f t="shared" si="29"/>
        <v>-0.94753086419753085</v>
      </c>
    </row>
    <row r="36" spans="1:26" s="24" customFormat="1" hidden="1" outlineLevel="2" x14ac:dyDescent="0.25">
      <c r="A36" s="28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8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8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2156.31</v>
      </c>
      <c r="I38" s="2"/>
      <c r="J38" s="6">
        <f t="shared" si="23"/>
        <v>6.4771559881048935E-2</v>
      </c>
      <c r="K38" s="2"/>
      <c r="L38" s="7">
        <f t="shared" si="24"/>
        <v>-2156.31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4743.8819999999996</v>
      </c>
      <c r="U38" s="2"/>
      <c r="V38" s="6">
        <f t="shared" si="27"/>
        <v>8.2477910878522867E-2</v>
      </c>
      <c r="W38" s="2"/>
      <c r="X38" s="7">
        <f t="shared" si="28"/>
        <v>-4743.8819999999996</v>
      </c>
      <c r="Y38" s="2"/>
      <c r="Z38" s="6">
        <f t="shared" si="29"/>
        <v>-1</v>
      </c>
    </row>
    <row r="39" spans="1:26" s="24" customFormat="1" hidden="1" outlineLevel="2" x14ac:dyDescent="0.25">
      <c r="A39" s="28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8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756.6</v>
      </c>
      <c r="U40" s="2"/>
      <c r="V40" s="6">
        <f t="shared" si="27"/>
        <v>1.3154371750960585E-2</v>
      </c>
      <c r="W40" s="2"/>
      <c r="X40" s="7">
        <f t="shared" si="28"/>
        <v>-756.6</v>
      </c>
      <c r="Y40" s="2"/>
      <c r="Z40" s="6">
        <f t="shared" si="29"/>
        <v>-1</v>
      </c>
    </row>
    <row r="41" spans="1:26" s="24" customFormat="1" hidden="1" outlineLevel="2" x14ac:dyDescent="0.25">
      <c r="A41" s="28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3997.37</v>
      </c>
      <c r="I41" s="2"/>
      <c r="J41" s="6">
        <f t="shared" si="23"/>
        <v>0.12007359346369889</v>
      </c>
      <c r="K41" s="2"/>
      <c r="L41" s="7">
        <f t="shared" si="24"/>
        <v>-3997.37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7982.13</v>
      </c>
      <c r="U41" s="2"/>
      <c r="V41" s="6">
        <f t="shared" si="27"/>
        <v>0.13877862197263419</v>
      </c>
      <c r="W41" s="2"/>
      <c r="X41" s="7">
        <f t="shared" si="28"/>
        <v>-7982.13</v>
      </c>
      <c r="Y41" s="2"/>
      <c r="Z41" s="6">
        <f t="shared" si="29"/>
        <v>-1</v>
      </c>
    </row>
    <row r="42" spans="1:26" s="24" customFormat="1" hidden="1" outlineLevel="2" x14ac:dyDescent="0.25">
      <c r="A42" s="28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8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7" customFormat="1" outlineLevel="1" collapsed="1" x14ac:dyDescent="0.25">
      <c r="A44" s="29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2" si="30">IF(D$12=0,0,D44/D$12)</f>
        <v>0</v>
      </c>
      <c r="G44" s="1"/>
      <c r="H44" s="1">
        <f>SUM(OSRRefH22_2x_0)</f>
        <v>222</v>
      </c>
      <c r="I44" s="1"/>
      <c r="J44" s="5">
        <f t="shared" ref="J44:J52" si="31">IF(H$12=0,0,H44/H$12)</f>
        <v>6.668468955573578E-3</v>
      </c>
      <c r="K44" s="1"/>
      <c r="L44" s="1">
        <f t="shared" ref="L44:L52" si="32">+D44-H44</f>
        <v>-222</v>
      </c>
      <c r="M44" s="1"/>
      <c r="N44" s="5">
        <f t="shared" ref="N44:N52" si="33">IF(H44=0,0,L44/H44)</f>
        <v>-1</v>
      </c>
      <c r="O44" s="14"/>
      <c r="P44" s="1">
        <f>SUM(OSRRefP22_2x_0)</f>
        <v>0</v>
      </c>
      <c r="Q44" s="1"/>
      <c r="R44" s="5">
        <f t="shared" ref="R44:R52" si="34">IF(P$12=0,0,P44/P$12)</f>
        <v>0</v>
      </c>
      <c r="S44" s="1"/>
      <c r="T44" s="1">
        <f>SUM(OSRRefT22_2x_0)</f>
        <v>302</v>
      </c>
      <c r="U44" s="1"/>
      <c r="V44" s="5">
        <f t="shared" ref="V44:V52" si="35">IF(T$12=0,0,T44/T$12)</f>
        <v>5.2506215553662396E-3</v>
      </c>
      <c r="W44" s="1"/>
      <c r="X44" s="1">
        <f t="shared" ref="X44:X52" si="36">+P44-T44</f>
        <v>-302</v>
      </c>
      <c r="Y44" s="1"/>
      <c r="Z44" s="5">
        <f t="shared" ref="Z44:Z52" si="37">IF(T44=0,0,X44/T44)</f>
        <v>-1</v>
      </c>
    </row>
    <row r="45" spans="1:26" s="24" customFormat="1" hidden="1" outlineLevel="2" x14ac:dyDescent="0.25">
      <c r="A45" s="28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222</v>
      </c>
      <c r="I45" s="2"/>
      <c r="J45" s="6">
        <f t="shared" si="31"/>
        <v>6.668468955573578E-3</v>
      </c>
      <c r="K45" s="2"/>
      <c r="L45" s="7">
        <f t="shared" si="32"/>
        <v>-222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302</v>
      </c>
      <c r="U45" s="2"/>
      <c r="V45" s="6">
        <f t="shared" si="35"/>
        <v>5.2506215553662396E-3</v>
      </c>
      <c r="W45" s="2"/>
      <c r="X45" s="7">
        <f t="shared" si="36"/>
        <v>-302</v>
      </c>
      <c r="Y45" s="2"/>
      <c r="Z45" s="6">
        <f t="shared" si="37"/>
        <v>-1</v>
      </c>
    </row>
    <row r="46" spans="1:26" s="27" customFormat="1" outlineLevel="1" collapsed="1" x14ac:dyDescent="0.25">
      <c r="A46" s="29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15</v>
      </c>
      <c r="I46" s="1"/>
      <c r="J46" s="5">
        <f t="shared" si="31"/>
        <v>4.5057222672794447E-4</v>
      </c>
      <c r="K46" s="1"/>
      <c r="L46" s="1">
        <f t="shared" si="32"/>
        <v>-15</v>
      </c>
      <c r="M46" s="1"/>
      <c r="N46" s="5">
        <f t="shared" si="33"/>
        <v>-1</v>
      </c>
      <c r="O46" s="14"/>
      <c r="P46" s="1">
        <f>SUM(OSRRefP22_3x_0)</f>
        <v>0</v>
      </c>
      <c r="Q46" s="1"/>
      <c r="R46" s="5">
        <f t="shared" si="34"/>
        <v>0</v>
      </c>
      <c r="S46" s="1"/>
      <c r="T46" s="1">
        <f>SUM(OSRRefT22_3x_0)</f>
        <v>38</v>
      </c>
      <c r="U46" s="1"/>
      <c r="V46" s="5">
        <f t="shared" si="35"/>
        <v>6.6067423544343416E-4</v>
      </c>
      <c r="W46" s="1"/>
      <c r="X46" s="1">
        <f t="shared" si="36"/>
        <v>-38</v>
      </c>
      <c r="Y46" s="1"/>
      <c r="Z46" s="5">
        <f t="shared" si="37"/>
        <v>-1</v>
      </c>
    </row>
    <row r="47" spans="1:26" s="24" customFormat="1" hidden="1" outlineLevel="2" x14ac:dyDescent="0.25">
      <c r="A47" s="28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15</v>
      </c>
      <c r="I47" s="2"/>
      <c r="J47" s="6">
        <f t="shared" si="31"/>
        <v>4.5057222672794447E-4</v>
      </c>
      <c r="K47" s="2"/>
      <c r="L47" s="7">
        <f t="shared" si="32"/>
        <v>-15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38</v>
      </c>
      <c r="U47" s="2"/>
      <c r="V47" s="6">
        <f t="shared" si="35"/>
        <v>6.6067423544343416E-4</v>
      </c>
      <c r="W47" s="2"/>
      <c r="X47" s="7">
        <f t="shared" si="36"/>
        <v>-38</v>
      </c>
      <c r="Y47" s="2"/>
      <c r="Z47" s="6">
        <f t="shared" si="37"/>
        <v>-1</v>
      </c>
    </row>
    <row r="48" spans="1:26" s="27" customFormat="1" outlineLevel="1" collapsed="1" x14ac:dyDescent="0.25">
      <c r="A48" s="29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4612</v>
      </c>
      <c r="I48" s="1"/>
      <c r="J48" s="5">
        <f t="shared" si="31"/>
        <v>0.13853594064461866</v>
      </c>
      <c r="K48" s="1"/>
      <c r="L48" s="1">
        <f t="shared" si="32"/>
        <v>-4612</v>
      </c>
      <c r="M48" s="1"/>
      <c r="N48" s="5">
        <f t="shared" si="33"/>
        <v>-1</v>
      </c>
      <c r="O48" s="14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9618</v>
      </c>
      <c r="U48" s="1"/>
      <c r="V48" s="5">
        <f t="shared" si="35"/>
        <v>0.16722012622355129</v>
      </c>
      <c r="W48" s="1"/>
      <c r="X48" s="1">
        <f t="shared" si="36"/>
        <v>-9618</v>
      </c>
      <c r="Y48" s="1"/>
      <c r="Z48" s="5">
        <f t="shared" si="37"/>
        <v>-1</v>
      </c>
    </row>
    <row r="49" spans="1:26" s="24" customFormat="1" hidden="1" outlineLevel="2" x14ac:dyDescent="0.25">
      <c r="A49" s="28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4612</v>
      </c>
      <c r="I49" s="2"/>
      <c r="J49" s="6">
        <f t="shared" si="31"/>
        <v>0.13853594064461866</v>
      </c>
      <c r="K49" s="2"/>
      <c r="L49" s="7">
        <f t="shared" si="32"/>
        <v>-4612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9618</v>
      </c>
      <c r="U49" s="2"/>
      <c r="V49" s="6">
        <f t="shared" si="35"/>
        <v>0.16722012622355129</v>
      </c>
      <c r="W49" s="2"/>
      <c r="X49" s="7">
        <f t="shared" si="36"/>
        <v>-9618</v>
      </c>
      <c r="Y49" s="2"/>
      <c r="Z49" s="6">
        <f t="shared" si="37"/>
        <v>-1</v>
      </c>
    </row>
    <row r="50" spans="1:26" s="27" customFormat="1" outlineLevel="1" collapsed="1" x14ac:dyDescent="0.25">
      <c r="A50" s="29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5582.5700000000006</v>
      </c>
      <c r="E50" s="1"/>
      <c r="F50" s="5">
        <f t="shared" si="30"/>
        <v>0</v>
      </c>
      <c r="G50" s="1"/>
      <c r="H50" s="1">
        <f>SUM(OSRRefH22_5x_0)</f>
        <v>5583</v>
      </c>
      <c r="I50" s="1"/>
      <c r="J50" s="5">
        <f t="shared" si="31"/>
        <v>0.16770298278814094</v>
      </c>
      <c r="K50" s="1"/>
      <c r="L50" s="1">
        <f t="shared" si="32"/>
        <v>-0.42999999999938154</v>
      </c>
      <c r="M50" s="1"/>
      <c r="N50" s="5">
        <f t="shared" si="33"/>
        <v>-7.7019523553534215E-5</v>
      </c>
      <c r="O50" s="14"/>
      <c r="P50" s="1">
        <f>SUM(OSRRefP22_5x_0)</f>
        <v>22330.34</v>
      </c>
      <c r="Q50" s="1"/>
      <c r="R50" s="5">
        <f t="shared" si="34"/>
        <v>0</v>
      </c>
      <c r="S50" s="1"/>
      <c r="T50" s="1">
        <f>SUM(OSRRefT22_5x_0)</f>
        <v>22332</v>
      </c>
      <c r="U50" s="1"/>
      <c r="V50" s="5">
        <f t="shared" si="35"/>
        <v>0.38826781647165187</v>
      </c>
      <c r="W50" s="1"/>
      <c r="X50" s="1">
        <f t="shared" si="36"/>
        <v>-1.6599999999998545</v>
      </c>
      <c r="Y50" s="1"/>
      <c r="Z50" s="5">
        <f t="shared" si="37"/>
        <v>-7.4332795987813645E-5</v>
      </c>
    </row>
    <row r="51" spans="1:26" s="24" customFormat="1" hidden="1" outlineLevel="2" x14ac:dyDescent="0.25">
      <c r="A51" s="28"/>
      <c r="B51" s="11" t="str">
        <f>CONCATENATE("          ", "6321", " - ", "BUILDING DEPRECIATION")</f>
        <v xml:space="preserve">          6321 - BUILDING DEPRECIATION</v>
      </c>
      <c r="C51" s="11"/>
      <c r="D51" s="7">
        <v>5080.51</v>
      </c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5080.51</v>
      </c>
      <c r="M51" s="2"/>
      <c r="N51" s="6">
        <f t="shared" si="33"/>
        <v>0</v>
      </c>
      <c r="O51" s="11"/>
      <c r="P51" s="7">
        <v>20322.04</v>
      </c>
      <c r="Q51" s="2"/>
      <c r="R51" s="6">
        <f t="shared" si="34"/>
        <v>0</v>
      </c>
      <c r="S51" s="2"/>
      <c r="T51" s="7"/>
      <c r="U51" s="2"/>
      <c r="V51" s="6">
        <f t="shared" si="35"/>
        <v>0</v>
      </c>
      <c r="W51" s="2"/>
      <c r="X51" s="7">
        <f t="shared" si="36"/>
        <v>20322.04</v>
      </c>
      <c r="Y51" s="2"/>
      <c r="Z51" s="6">
        <f t="shared" si="37"/>
        <v>0</v>
      </c>
    </row>
    <row r="52" spans="1:26" s="24" customFormat="1" hidden="1" outlineLevel="2" x14ac:dyDescent="0.25">
      <c r="A52" s="28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502.06</v>
      </c>
      <c r="E52" s="2"/>
      <c r="F52" s="6">
        <f t="shared" si="30"/>
        <v>0</v>
      </c>
      <c r="G52" s="2"/>
      <c r="H52" s="7">
        <v>5583</v>
      </c>
      <c r="I52" s="2"/>
      <c r="J52" s="6">
        <f t="shared" si="31"/>
        <v>0.16770298278814094</v>
      </c>
      <c r="K52" s="2"/>
      <c r="L52" s="7">
        <f t="shared" si="32"/>
        <v>-5080.9399999999996</v>
      </c>
      <c r="M52" s="2"/>
      <c r="N52" s="6">
        <f t="shared" si="33"/>
        <v>-0.91007343722013245</v>
      </c>
      <c r="O52" s="11"/>
      <c r="P52" s="7">
        <v>2008.3</v>
      </c>
      <c r="Q52" s="2"/>
      <c r="R52" s="6">
        <f t="shared" si="34"/>
        <v>0</v>
      </c>
      <c r="S52" s="2"/>
      <c r="T52" s="7">
        <v>22332</v>
      </c>
      <c r="U52" s="2"/>
      <c r="V52" s="6">
        <f t="shared" si="35"/>
        <v>0.38826781647165187</v>
      </c>
      <c r="W52" s="2"/>
      <c r="X52" s="7">
        <f t="shared" si="36"/>
        <v>-20323.7</v>
      </c>
      <c r="Y52" s="2"/>
      <c r="Z52" s="6">
        <f t="shared" si="37"/>
        <v>-0.9100707504925668</v>
      </c>
    </row>
    <row r="53" spans="1:26" s="27" customFormat="1" outlineLevel="1" collapsed="1" x14ac:dyDescent="0.25">
      <c r="A53" s="29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0</v>
      </c>
      <c r="E53" s="1"/>
      <c r="F53" s="5">
        <f t="shared" ref="F53:F65" si="38">IF(D$12=0,0,D53/D$12)</f>
        <v>0</v>
      </c>
      <c r="G53" s="1"/>
      <c r="H53" s="1">
        <f>SUM(OSRRefH22_6x_0)</f>
        <v>146</v>
      </c>
      <c r="I53" s="1"/>
      <c r="J53" s="5">
        <f t="shared" ref="J53:J65" si="39">IF(H$12=0,0,H53/H$12)</f>
        <v>4.3855696734853263E-3</v>
      </c>
      <c r="K53" s="1"/>
      <c r="L53" s="1">
        <f t="shared" ref="L53:L65" si="40">+D53-H53</f>
        <v>-146</v>
      </c>
      <c r="M53" s="1"/>
      <c r="N53" s="5">
        <f t="shared" ref="N53:N65" si="41">IF(H53=0,0,L53/H53)</f>
        <v>-1</v>
      </c>
      <c r="O53" s="14"/>
      <c r="P53" s="1">
        <f>SUM(OSRRefP22_6x_0)</f>
        <v>0</v>
      </c>
      <c r="Q53" s="1"/>
      <c r="R53" s="5">
        <f t="shared" ref="R53:R65" si="42">IF(P$12=0,0,P53/P$12)</f>
        <v>0</v>
      </c>
      <c r="S53" s="1"/>
      <c r="T53" s="1">
        <f>SUM(OSRRefT22_6x_0)</f>
        <v>146</v>
      </c>
      <c r="U53" s="1"/>
      <c r="V53" s="5">
        <f t="shared" ref="V53:V65" si="43">IF(T$12=0,0,T53/T$12)</f>
        <v>2.5383799572300365E-3</v>
      </c>
      <c r="W53" s="1"/>
      <c r="X53" s="1">
        <f t="shared" ref="X53:X65" si="44">+P53-T53</f>
        <v>-146</v>
      </c>
      <c r="Y53" s="1"/>
      <c r="Z53" s="5">
        <f t="shared" ref="Z53:Z65" si="45">IF(T53=0,0,X53/T53)</f>
        <v>-1</v>
      </c>
    </row>
    <row r="54" spans="1:26" s="24" customFormat="1" hidden="1" outlineLevel="2" x14ac:dyDescent="0.25">
      <c r="A54" s="28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38"/>
        <v>0</v>
      </c>
      <c r="G54" s="2"/>
      <c r="H54" s="7">
        <v>146</v>
      </c>
      <c r="I54" s="2"/>
      <c r="J54" s="6">
        <f t="shared" si="39"/>
        <v>4.3855696734853263E-3</v>
      </c>
      <c r="K54" s="2"/>
      <c r="L54" s="7">
        <f t="shared" si="40"/>
        <v>-146</v>
      </c>
      <c r="M54" s="2"/>
      <c r="N54" s="6">
        <f t="shared" si="41"/>
        <v>-1</v>
      </c>
      <c r="O54" s="11"/>
      <c r="P54" s="7"/>
      <c r="Q54" s="2"/>
      <c r="R54" s="6">
        <f t="shared" si="42"/>
        <v>0</v>
      </c>
      <c r="S54" s="2"/>
      <c r="T54" s="7">
        <v>146</v>
      </c>
      <c r="U54" s="2"/>
      <c r="V54" s="6">
        <f t="shared" si="43"/>
        <v>2.5383799572300365E-3</v>
      </c>
      <c r="W54" s="2"/>
      <c r="X54" s="7">
        <f t="shared" si="44"/>
        <v>-146</v>
      </c>
      <c r="Y54" s="2"/>
      <c r="Z54" s="6">
        <f t="shared" si="45"/>
        <v>-1</v>
      </c>
    </row>
    <row r="55" spans="1:26" s="27" customFormat="1" outlineLevel="1" collapsed="1" x14ac:dyDescent="0.25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0</v>
      </c>
      <c r="E55" s="1"/>
      <c r="F55" s="5">
        <f t="shared" si="38"/>
        <v>0</v>
      </c>
      <c r="G55" s="1"/>
      <c r="H55" s="1">
        <f>SUM(OSRRefH22_7x_0)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SUM(OSRRefP22_7x_0)</f>
        <v>754.55</v>
      </c>
      <c r="Q55" s="1"/>
      <c r="R55" s="5">
        <f t="shared" si="42"/>
        <v>0</v>
      </c>
      <c r="S55" s="1"/>
      <c r="T55" s="1">
        <f>SUM(OSRRefT22_7x_0)</f>
        <v>800</v>
      </c>
      <c r="U55" s="1"/>
      <c r="V55" s="5">
        <f t="shared" si="43"/>
        <v>1.390893127249335E-2</v>
      </c>
      <c r="W55" s="1"/>
      <c r="X55" s="1">
        <f t="shared" si="44"/>
        <v>-45.450000000000045</v>
      </c>
      <c r="Y55" s="1"/>
      <c r="Z55" s="5">
        <f t="shared" si="45"/>
        <v>-5.6812500000000057E-2</v>
      </c>
    </row>
    <row r="56" spans="1:26" s="24" customFormat="1" hidden="1" outlineLevel="2" x14ac:dyDescent="0.25">
      <c r="A56" s="28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38"/>
        <v>0</v>
      </c>
      <c r="G56" s="2"/>
      <c r="H56" s="7"/>
      <c r="I56" s="2"/>
      <c r="J56" s="6">
        <f t="shared" si="39"/>
        <v>0</v>
      </c>
      <c r="K56" s="2"/>
      <c r="L56" s="7">
        <f t="shared" si="40"/>
        <v>0</v>
      </c>
      <c r="M56" s="2"/>
      <c r="N56" s="6">
        <f t="shared" si="41"/>
        <v>0</v>
      </c>
      <c r="O56" s="11"/>
      <c r="P56" s="7">
        <v>754.55</v>
      </c>
      <c r="Q56" s="2"/>
      <c r="R56" s="6">
        <f t="shared" si="42"/>
        <v>0</v>
      </c>
      <c r="S56" s="2"/>
      <c r="T56" s="7">
        <v>800</v>
      </c>
      <c r="U56" s="2"/>
      <c r="V56" s="6">
        <f t="shared" si="43"/>
        <v>1.390893127249335E-2</v>
      </c>
      <c r="W56" s="2"/>
      <c r="X56" s="7">
        <f t="shared" si="44"/>
        <v>-45.450000000000045</v>
      </c>
      <c r="Y56" s="2"/>
      <c r="Z56" s="6">
        <f t="shared" si="45"/>
        <v>-5.6812500000000057E-2</v>
      </c>
    </row>
    <row r="57" spans="1:26" s="27" customFormat="1" outlineLevel="1" collapsed="1" x14ac:dyDescent="0.25">
      <c r="A57" s="29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SUM(OSRRefD22_8x_0)</f>
        <v>243.54</v>
      </c>
      <c r="E57" s="1"/>
      <c r="F57" s="5">
        <f t="shared" si="38"/>
        <v>0</v>
      </c>
      <c r="G57" s="1"/>
      <c r="H57" s="1">
        <f>SUM(OSRRefH22_8x_0)</f>
        <v>270</v>
      </c>
      <c r="I57" s="1"/>
      <c r="J57" s="5">
        <f t="shared" si="39"/>
        <v>8.1103000811030002E-3</v>
      </c>
      <c r="K57" s="1"/>
      <c r="L57" s="1">
        <f t="shared" si="40"/>
        <v>-26.460000000000008</v>
      </c>
      <c r="M57" s="1"/>
      <c r="N57" s="5">
        <f t="shared" si="41"/>
        <v>-9.8000000000000032E-2</v>
      </c>
      <c r="O57" s="14"/>
      <c r="P57" s="1">
        <f>SUM(OSRRefP22_8x_0)</f>
        <v>974.16</v>
      </c>
      <c r="Q57" s="1"/>
      <c r="R57" s="5">
        <f t="shared" si="42"/>
        <v>0</v>
      </c>
      <c r="S57" s="1"/>
      <c r="T57" s="1">
        <f>SUM(OSRRefT22_8x_0)</f>
        <v>1080</v>
      </c>
      <c r="U57" s="1"/>
      <c r="V57" s="5">
        <f t="shared" si="43"/>
        <v>1.8777057217866024E-2</v>
      </c>
      <c r="W57" s="1"/>
      <c r="X57" s="1">
        <f t="shared" si="44"/>
        <v>-105.84000000000003</v>
      </c>
      <c r="Y57" s="1"/>
      <c r="Z57" s="5">
        <f t="shared" si="45"/>
        <v>-9.8000000000000032E-2</v>
      </c>
    </row>
    <row r="58" spans="1:26" s="24" customFormat="1" hidden="1" outlineLevel="2" x14ac:dyDescent="0.25">
      <c r="A58" s="28"/>
      <c r="B58" s="11" t="str">
        <f>CONCATENATE("          ", "6314", " - ", "LIABILITY INSURANCE")</f>
        <v xml:space="preserve">          6314 - LIABILITY INSURANCE</v>
      </c>
      <c r="C58" s="11"/>
      <c r="D58" s="7">
        <v>243.54</v>
      </c>
      <c r="E58" s="2"/>
      <c r="F58" s="6">
        <f t="shared" si="38"/>
        <v>0</v>
      </c>
      <c r="G58" s="2"/>
      <c r="H58" s="7">
        <v>270</v>
      </c>
      <c r="I58" s="2"/>
      <c r="J58" s="6">
        <f t="shared" si="39"/>
        <v>8.1103000811030002E-3</v>
      </c>
      <c r="K58" s="2"/>
      <c r="L58" s="7">
        <f t="shared" si="40"/>
        <v>-26.460000000000008</v>
      </c>
      <c r="M58" s="2"/>
      <c r="N58" s="6">
        <f t="shared" si="41"/>
        <v>-9.8000000000000032E-2</v>
      </c>
      <c r="O58" s="11"/>
      <c r="P58" s="7">
        <v>974.16</v>
      </c>
      <c r="Q58" s="2"/>
      <c r="R58" s="6">
        <f t="shared" si="42"/>
        <v>0</v>
      </c>
      <c r="S58" s="2"/>
      <c r="T58" s="7">
        <v>1080</v>
      </c>
      <c r="U58" s="2"/>
      <c r="V58" s="6">
        <f t="shared" si="43"/>
        <v>1.8777057217866024E-2</v>
      </c>
      <c r="W58" s="2"/>
      <c r="X58" s="7">
        <f t="shared" si="44"/>
        <v>-105.84000000000003</v>
      </c>
      <c r="Y58" s="2"/>
      <c r="Z58" s="6">
        <f t="shared" si="45"/>
        <v>-9.8000000000000032E-2</v>
      </c>
    </row>
    <row r="59" spans="1:26" s="27" customFormat="1" outlineLevel="1" collapsed="1" x14ac:dyDescent="0.25">
      <c r="A59" s="29"/>
      <c r="B59" s="14" t="str">
        <f>CONCATENATE("     ","Interest                                          ")</f>
        <v xml:space="preserve">     Interest                                          </v>
      </c>
      <c r="C59" s="14"/>
      <c r="D59" s="1">
        <f>SUM(OSRRefD22_9x_0)</f>
        <v>3781.85</v>
      </c>
      <c r="E59" s="1"/>
      <c r="F59" s="5">
        <f t="shared" si="38"/>
        <v>0</v>
      </c>
      <c r="G59" s="1"/>
      <c r="H59" s="1">
        <f>SUM(OSRRefH22_9x_0)</f>
        <v>4044</v>
      </c>
      <c r="I59" s="1"/>
      <c r="J59" s="5">
        <f t="shared" si="39"/>
        <v>0.12147427232585384</v>
      </c>
      <c r="K59" s="1"/>
      <c r="L59" s="1">
        <f t="shared" si="40"/>
        <v>-262.15000000000009</v>
      </c>
      <c r="M59" s="1"/>
      <c r="N59" s="5">
        <f t="shared" si="41"/>
        <v>-6.4824431256182022E-2</v>
      </c>
      <c r="O59" s="14"/>
      <c r="P59" s="1">
        <f>SUM(OSRRefP22_9x_0)</f>
        <v>15913.849999999999</v>
      </c>
      <c r="Q59" s="1"/>
      <c r="R59" s="5">
        <f t="shared" si="42"/>
        <v>0</v>
      </c>
      <c r="S59" s="1"/>
      <c r="T59" s="1">
        <f>SUM(OSRRefT22_9x_0)</f>
        <v>16176</v>
      </c>
      <c r="U59" s="1"/>
      <c r="V59" s="5">
        <f t="shared" si="43"/>
        <v>0.28123859032981552</v>
      </c>
      <c r="W59" s="1"/>
      <c r="X59" s="1">
        <f t="shared" si="44"/>
        <v>-262.15000000000146</v>
      </c>
      <c r="Y59" s="1"/>
      <c r="Z59" s="5">
        <f t="shared" si="45"/>
        <v>-1.6206107814045589E-2</v>
      </c>
    </row>
    <row r="60" spans="1:26" s="24" customFormat="1" hidden="1" outlineLevel="2" x14ac:dyDescent="0.25">
      <c r="A60" s="28"/>
      <c r="B60" s="11" t="str">
        <f>CONCATENATE("          ", "6401", " - ", "INTEREST EXPENSE")</f>
        <v xml:space="preserve">          6401 - INTEREST EXPENSE</v>
      </c>
      <c r="C60" s="11"/>
      <c r="D60" s="7">
        <v>3781.85</v>
      </c>
      <c r="E60" s="2"/>
      <c r="F60" s="6">
        <f t="shared" si="38"/>
        <v>0</v>
      </c>
      <c r="G60" s="2"/>
      <c r="H60" s="7">
        <v>4044</v>
      </c>
      <c r="I60" s="2"/>
      <c r="J60" s="6">
        <f t="shared" si="39"/>
        <v>0.12147427232585384</v>
      </c>
      <c r="K60" s="2"/>
      <c r="L60" s="7">
        <f t="shared" si="40"/>
        <v>-262.15000000000009</v>
      </c>
      <c r="M60" s="2"/>
      <c r="N60" s="6">
        <f t="shared" si="41"/>
        <v>-6.4824431256182022E-2</v>
      </c>
      <c r="O60" s="11"/>
      <c r="P60" s="7">
        <v>15913.849999999999</v>
      </c>
      <c r="Q60" s="2"/>
      <c r="R60" s="6">
        <f t="shared" si="42"/>
        <v>0</v>
      </c>
      <c r="S60" s="2"/>
      <c r="T60" s="7">
        <v>16176</v>
      </c>
      <c r="U60" s="2"/>
      <c r="V60" s="6">
        <f t="shared" si="43"/>
        <v>0.28123859032981552</v>
      </c>
      <c r="W60" s="2"/>
      <c r="X60" s="7">
        <f t="shared" si="44"/>
        <v>-262.15000000000146</v>
      </c>
      <c r="Y60" s="2"/>
      <c r="Z60" s="6">
        <f t="shared" si="45"/>
        <v>-1.6206107814045589E-2</v>
      </c>
    </row>
    <row r="61" spans="1:26" s="27" customFormat="1" outlineLevel="1" collapsed="1" x14ac:dyDescent="0.25">
      <c r="A61" s="29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SUM(OSRRefD22_10x_0)</f>
        <v>0</v>
      </c>
      <c r="E61" s="1"/>
      <c r="F61" s="5">
        <f t="shared" si="38"/>
        <v>0</v>
      </c>
      <c r="G61" s="1"/>
      <c r="H61" s="1">
        <f>SUM(OSRRefH22_10x_0)</f>
        <v>103</v>
      </c>
      <c r="I61" s="1"/>
      <c r="J61" s="5">
        <f t="shared" si="39"/>
        <v>3.0939292901985523E-3</v>
      </c>
      <c r="K61" s="1"/>
      <c r="L61" s="1">
        <f t="shared" si="40"/>
        <v>-103</v>
      </c>
      <c r="M61" s="1"/>
      <c r="N61" s="5">
        <f t="shared" si="41"/>
        <v>-1</v>
      </c>
      <c r="O61" s="14"/>
      <c r="P61" s="1">
        <f>SUM(OSRRefP22_10x_0)</f>
        <v>187.12</v>
      </c>
      <c r="Q61" s="1"/>
      <c r="R61" s="5">
        <f t="shared" si="42"/>
        <v>0</v>
      </c>
      <c r="S61" s="1"/>
      <c r="T61" s="1">
        <f>SUM(OSRRefT22_10x_0)</f>
        <v>742</v>
      </c>
      <c r="U61" s="1"/>
      <c r="V61" s="5">
        <f t="shared" si="43"/>
        <v>1.2900533755237581E-2</v>
      </c>
      <c r="W61" s="1"/>
      <c r="X61" s="1">
        <f t="shared" si="44"/>
        <v>-554.88</v>
      </c>
      <c r="Y61" s="1"/>
      <c r="Z61" s="5">
        <f t="shared" si="45"/>
        <v>-0.7478167115902965</v>
      </c>
    </row>
    <row r="62" spans="1:26" s="24" customFormat="1" hidden="1" outlineLevel="2" x14ac:dyDescent="0.25">
      <c r="A62" s="28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38"/>
        <v>0</v>
      </c>
      <c r="G62" s="2"/>
      <c r="H62" s="7"/>
      <c r="I62" s="2"/>
      <c r="J62" s="6">
        <f t="shared" si="39"/>
        <v>0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/>
      <c r="Q62" s="2"/>
      <c r="R62" s="6">
        <f t="shared" si="42"/>
        <v>0</v>
      </c>
      <c r="S62" s="2"/>
      <c r="T62" s="7">
        <v>43</v>
      </c>
      <c r="U62" s="2"/>
      <c r="V62" s="6">
        <f t="shared" si="43"/>
        <v>7.4760505589651759E-4</v>
      </c>
      <c r="W62" s="2"/>
      <c r="X62" s="7">
        <f t="shared" si="44"/>
        <v>-43</v>
      </c>
      <c r="Y62" s="2"/>
      <c r="Z62" s="6">
        <f t="shared" si="45"/>
        <v>-1</v>
      </c>
    </row>
    <row r="63" spans="1:26" s="24" customFormat="1" hidden="1" outlineLevel="2" x14ac:dyDescent="0.25">
      <c r="A63" s="28"/>
      <c r="B63" s="11" t="str">
        <f>CONCATENATE("          ", "6372", " - ", "COMPUTER HARDWARE MAINTENANCE")</f>
        <v xml:space="preserve">          6372 - COMPUTER HARDWARE MAINTENANCE</v>
      </c>
      <c r="C63" s="11"/>
      <c r="D63" s="7"/>
      <c r="E63" s="2"/>
      <c r="F63" s="6">
        <f t="shared" si="38"/>
        <v>0</v>
      </c>
      <c r="G63" s="2"/>
      <c r="H63" s="7"/>
      <c r="I63" s="2"/>
      <c r="J63" s="6">
        <f t="shared" si="39"/>
        <v>0</v>
      </c>
      <c r="K63" s="2"/>
      <c r="L63" s="7">
        <f t="shared" si="40"/>
        <v>0</v>
      </c>
      <c r="M63" s="2"/>
      <c r="N63" s="6">
        <f t="shared" si="41"/>
        <v>0</v>
      </c>
      <c r="O63" s="11"/>
      <c r="P63" s="7"/>
      <c r="Q63" s="2"/>
      <c r="R63" s="6">
        <f t="shared" si="42"/>
        <v>0</v>
      </c>
      <c r="S63" s="2"/>
      <c r="T63" s="7">
        <v>437</v>
      </c>
      <c r="U63" s="2"/>
      <c r="V63" s="6">
        <f t="shared" si="43"/>
        <v>7.5977537075994925E-3</v>
      </c>
      <c r="W63" s="2"/>
      <c r="X63" s="7">
        <f t="shared" si="44"/>
        <v>-437</v>
      </c>
      <c r="Y63" s="2"/>
      <c r="Z63" s="6">
        <f t="shared" si="45"/>
        <v>-1</v>
      </c>
    </row>
    <row r="64" spans="1:26" s="24" customFormat="1" hidden="1" outlineLevel="2" x14ac:dyDescent="0.25">
      <c r="A64" s="28"/>
      <c r="B64" s="11" t="str">
        <f>CONCATENATE("          ", "6373", " - ", "MAINTENANCE CONTRACTS")</f>
        <v xml:space="preserve">          6373 - MAINTENANCE CONTRACTS</v>
      </c>
      <c r="C64" s="11"/>
      <c r="D64" s="7"/>
      <c r="E64" s="2"/>
      <c r="F64" s="6">
        <f t="shared" si="38"/>
        <v>0</v>
      </c>
      <c r="G64" s="2"/>
      <c r="H64" s="7">
        <v>103</v>
      </c>
      <c r="I64" s="2"/>
      <c r="J64" s="6">
        <f t="shared" si="39"/>
        <v>3.0939292901985523E-3</v>
      </c>
      <c r="K64" s="2"/>
      <c r="L64" s="7">
        <f t="shared" si="40"/>
        <v>-103</v>
      </c>
      <c r="M64" s="2"/>
      <c r="N64" s="6">
        <f t="shared" si="41"/>
        <v>-1</v>
      </c>
      <c r="O64" s="11"/>
      <c r="P64" s="7">
        <v>187.12</v>
      </c>
      <c r="Q64" s="2"/>
      <c r="R64" s="6">
        <f t="shared" si="42"/>
        <v>0</v>
      </c>
      <c r="S64" s="2"/>
      <c r="T64" s="7">
        <v>103</v>
      </c>
      <c r="U64" s="2"/>
      <c r="V64" s="6">
        <f t="shared" si="43"/>
        <v>1.7907749013335189E-3</v>
      </c>
      <c r="W64" s="2"/>
      <c r="X64" s="7">
        <f t="shared" si="44"/>
        <v>84.12</v>
      </c>
      <c r="Y64" s="2"/>
      <c r="Z64" s="6">
        <f t="shared" si="45"/>
        <v>0.81669902912621362</v>
      </c>
    </row>
    <row r="65" spans="1:26" s="24" customFormat="1" hidden="1" outlineLevel="2" x14ac:dyDescent="0.25">
      <c r="A65" s="28"/>
      <c r="B65" s="11" t="str">
        <f>CONCATENATE("          ", "6375", " - ", "OUTSIDE REPAIRS &amp; MAINTENANCE")</f>
        <v xml:space="preserve">          6375 - OUTSIDE REPAIRS &amp; MAINTENANCE</v>
      </c>
      <c r="C65" s="11"/>
      <c r="D65" s="7"/>
      <c r="E65" s="2"/>
      <c r="F65" s="6">
        <f t="shared" si="38"/>
        <v>0</v>
      </c>
      <c r="G65" s="2"/>
      <c r="H65" s="7"/>
      <c r="I65" s="2"/>
      <c r="J65" s="6">
        <f t="shared" si="39"/>
        <v>0</v>
      </c>
      <c r="K65" s="2"/>
      <c r="L65" s="7">
        <f t="shared" si="40"/>
        <v>0</v>
      </c>
      <c r="M65" s="2"/>
      <c r="N65" s="6">
        <f t="shared" si="41"/>
        <v>0</v>
      </c>
      <c r="O65" s="11"/>
      <c r="P65" s="7"/>
      <c r="Q65" s="2"/>
      <c r="R65" s="6">
        <f t="shared" si="42"/>
        <v>0</v>
      </c>
      <c r="S65" s="2"/>
      <c r="T65" s="7">
        <v>159</v>
      </c>
      <c r="U65" s="2"/>
      <c r="V65" s="6">
        <f t="shared" si="43"/>
        <v>2.7644000904080532E-3</v>
      </c>
      <c r="W65" s="2"/>
      <c r="X65" s="7">
        <f t="shared" si="44"/>
        <v>-159</v>
      </c>
      <c r="Y65" s="2"/>
      <c r="Z65" s="6">
        <f t="shared" si="45"/>
        <v>-1</v>
      </c>
    </row>
    <row r="66" spans="1:26" s="27" customFormat="1" outlineLevel="1" collapsed="1" x14ac:dyDescent="0.25">
      <c r="A66" s="29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SUM(OSRRefD22_11x_0)</f>
        <v>0</v>
      </c>
      <c r="E66" s="1"/>
      <c r="F66" s="5">
        <f t="shared" ref="F66:F69" si="46">IF(D$12=0,0,D66/D$12)</f>
        <v>0</v>
      </c>
      <c r="G66" s="1"/>
      <c r="H66" s="1">
        <f>SUM(OSRRefH22_11x_0)</f>
        <v>326</v>
      </c>
      <c r="I66" s="1"/>
      <c r="J66" s="5">
        <f t="shared" ref="J66:J69" si="47">IF(H$12=0,0,H66/H$12)</f>
        <v>9.7924363942206594E-3</v>
      </c>
      <c r="K66" s="1"/>
      <c r="L66" s="1">
        <f t="shared" ref="L66:L69" si="48">+D66-H66</f>
        <v>-326</v>
      </c>
      <c r="M66" s="1"/>
      <c r="N66" s="5">
        <f t="shared" ref="N66:N69" si="49">IF(H66=0,0,L66/H66)</f>
        <v>-1</v>
      </c>
      <c r="O66" s="14"/>
      <c r="P66" s="1">
        <f>SUM(OSRRefP22_11x_0)</f>
        <v>0</v>
      </c>
      <c r="Q66" s="1"/>
      <c r="R66" s="5">
        <f t="shared" ref="R66:R69" si="50">IF(P$12=0,0,P66/P$12)</f>
        <v>0</v>
      </c>
      <c r="S66" s="1"/>
      <c r="T66" s="1">
        <f>SUM(OSRRefT22_11x_0)</f>
        <v>1402</v>
      </c>
      <c r="U66" s="1"/>
      <c r="V66" s="5">
        <f t="shared" ref="V66:V69" si="51">IF(T$12=0,0,T66/T$12)</f>
        <v>2.4375402055044595E-2</v>
      </c>
      <c r="W66" s="1"/>
      <c r="X66" s="1">
        <f t="shared" ref="X66:X69" si="52">+P66-T66</f>
        <v>-1402</v>
      </c>
      <c r="Y66" s="1"/>
      <c r="Z66" s="5">
        <f t="shared" ref="Z66:Z69" si="53">IF(T66=0,0,X66/T66)</f>
        <v>-1</v>
      </c>
    </row>
    <row r="67" spans="1:26" s="24" customFormat="1" hidden="1" outlineLevel="2" x14ac:dyDescent="0.25">
      <c r="A67" s="28"/>
      <c r="B67" s="11" t="str">
        <f>CONCATENATE("          ", "6282", " - ", "JANITORIAL/EXTERMINATOR EXPENS")</f>
        <v xml:space="preserve">          6282 - JANITORIAL/EXTERMINATOR EXPENS</v>
      </c>
      <c r="C67" s="11"/>
      <c r="D67" s="7"/>
      <c r="E67" s="2"/>
      <c r="F67" s="6">
        <f t="shared" si="46"/>
        <v>0</v>
      </c>
      <c r="G67" s="2"/>
      <c r="H67" s="7"/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314</v>
      </c>
      <c r="U67" s="2"/>
      <c r="V67" s="6">
        <f t="shared" si="51"/>
        <v>5.4592555244536399E-3</v>
      </c>
      <c r="W67" s="2"/>
      <c r="X67" s="7">
        <f t="shared" si="52"/>
        <v>-314</v>
      </c>
      <c r="Y67" s="2"/>
      <c r="Z67" s="6">
        <f t="shared" si="53"/>
        <v>-1</v>
      </c>
    </row>
    <row r="68" spans="1:26" s="24" customFormat="1" hidden="1" outlineLevel="2" x14ac:dyDescent="0.25">
      <c r="A68" s="28"/>
      <c r="B68" s="11" t="str">
        <f>CONCATENATE("          ", "6284", " - ", "TRASH REMOVAL EXPENSE")</f>
        <v xml:space="preserve">          6284 - TRASH REMOVAL EXPENSE</v>
      </c>
      <c r="C68" s="11"/>
      <c r="D68" s="7"/>
      <c r="E68" s="2"/>
      <c r="F68" s="6">
        <f t="shared" si="46"/>
        <v>0</v>
      </c>
      <c r="G68" s="2"/>
      <c r="H68" s="7">
        <v>237</v>
      </c>
      <c r="I68" s="2"/>
      <c r="J68" s="6">
        <f t="shared" si="47"/>
        <v>7.1190411823015233E-3</v>
      </c>
      <c r="K68" s="2"/>
      <c r="L68" s="7">
        <f t="shared" si="48"/>
        <v>-237</v>
      </c>
      <c r="M68" s="2"/>
      <c r="N68" s="6">
        <f t="shared" si="49"/>
        <v>-1</v>
      </c>
      <c r="O68" s="11"/>
      <c r="P68" s="7"/>
      <c r="Q68" s="2"/>
      <c r="R68" s="6">
        <f t="shared" si="50"/>
        <v>0</v>
      </c>
      <c r="S68" s="2"/>
      <c r="T68" s="7">
        <v>711</v>
      </c>
      <c r="U68" s="2"/>
      <c r="V68" s="6">
        <f t="shared" si="51"/>
        <v>1.2361562668428465E-2</v>
      </c>
      <c r="W68" s="2"/>
      <c r="X68" s="7">
        <f t="shared" si="52"/>
        <v>-711</v>
      </c>
      <c r="Y68" s="2"/>
      <c r="Z68" s="6">
        <f t="shared" si="53"/>
        <v>-1</v>
      </c>
    </row>
    <row r="69" spans="1:26" s="24" customFormat="1" hidden="1" outlineLevel="2" x14ac:dyDescent="0.25">
      <c r="A69" s="28"/>
      <c r="B69" s="11" t="str">
        <f>CONCATENATE("          ", "6286", " - ", "LAUNDRY EXPENSE")</f>
        <v xml:space="preserve">          6286 - LAUNDRY EXPENSE</v>
      </c>
      <c r="C69" s="11"/>
      <c r="D69" s="7"/>
      <c r="E69" s="2"/>
      <c r="F69" s="6">
        <f t="shared" si="46"/>
        <v>0</v>
      </c>
      <c r="G69" s="2"/>
      <c r="H69" s="7">
        <v>89</v>
      </c>
      <c r="I69" s="2"/>
      <c r="J69" s="6">
        <f t="shared" si="47"/>
        <v>2.6733952119191375E-3</v>
      </c>
      <c r="K69" s="2"/>
      <c r="L69" s="7">
        <f t="shared" si="48"/>
        <v>-89</v>
      </c>
      <c r="M69" s="2"/>
      <c r="N69" s="6">
        <f t="shared" si="49"/>
        <v>-1</v>
      </c>
      <c r="O69" s="11"/>
      <c r="P69" s="7"/>
      <c r="Q69" s="2"/>
      <c r="R69" s="6">
        <f t="shared" si="50"/>
        <v>0</v>
      </c>
      <c r="S69" s="2"/>
      <c r="T69" s="7">
        <v>377</v>
      </c>
      <c r="U69" s="2"/>
      <c r="V69" s="6">
        <f t="shared" si="51"/>
        <v>6.5545838621624908E-3</v>
      </c>
      <c r="W69" s="2"/>
      <c r="X69" s="7">
        <f t="shared" si="52"/>
        <v>-377</v>
      </c>
      <c r="Y69" s="2"/>
      <c r="Z69" s="6">
        <f t="shared" si="53"/>
        <v>-1</v>
      </c>
    </row>
    <row r="70" spans="1:26" s="27" customFormat="1" outlineLevel="1" collapsed="1" x14ac:dyDescent="0.25">
      <c r="A70" s="29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SUM(OSRRefD22_12x_0)</f>
        <v>0</v>
      </c>
      <c r="E70" s="1"/>
      <c r="F70" s="5">
        <f t="shared" ref="F70:F77" si="54">IF(D$12=0,0,D70/D$12)</f>
        <v>0</v>
      </c>
      <c r="G70" s="1"/>
      <c r="H70" s="1">
        <f>SUM(OSRRefH22_12x_0)</f>
        <v>176</v>
      </c>
      <c r="I70" s="1"/>
      <c r="J70" s="5">
        <f t="shared" ref="J70:J77" si="55">IF(H$12=0,0,H70/H$12)</f>
        <v>5.286714126941215E-3</v>
      </c>
      <c r="K70" s="1"/>
      <c r="L70" s="1">
        <f t="shared" ref="L70:L77" si="56">+D70-H70</f>
        <v>-176</v>
      </c>
      <c r="M70" s="1"/>
      <c r="N70" s="5">
        <f t="shared" ref="N70:N77" si="57">IF(H70=0,0,L70/H70)</f>
        <v>-1</v>
      </c>
      <c r="O70" s="14"/>
      <c r="P70" s="1">
        <f>SUM(OSRRefP22_12x_0)</f>
        <v>0</v>
      </c>
      <c r="Q70" s="1"/>
      <c r="R70" s="5">
        <f t="shared" ref="R70:R77" si="58">IF(P$12=0,0,P70/P$12)</f>
        <v>0</v>
      </c>
      <c r="S70" s="1"/>
      <c r="T70" s="1">
        <f>SUM(OSRRefT22_12x_0)</f>
        <v>704</v>
      </c>
      <c r="U70" s="1"/>
      <c r="V70" s="5">
        <f t="shared" ref="V70:V77" si="59">IF(T$12=0,0,T70/T$12)</f>
        <v>1.2239859519794147E-2</v>
      </c>
      <c r="W70" s="1"/>
      <c r="X70" s="1">
        <f t="shared" ref="X70:X77" si="60">+P70-T70</f>
        <v>-704</v>
      </c>
      <c r="Y70" s="1"/>
      <c r="Z70" s="5">
        <f t="shared" ref="Z70:Z77" si="61">IF(T70=0,0,X70/T70)</f>
        <v>-1</v>
      </c>
    </row>
    <row r="71" spans="1:26" s="24" customFormat="1" hidden="1" outlineLevel="2" x14ac:dyDescent="0.25">
      <c r="A71" s="28"/>
      <c r="B71" s="11" t="str">
        <f>CONCATENATE("          ", "6275", " - ", "SUBSCRIPTIONS")</f>
        <v xml:space="preserve">          6275 - SUBSCRIPTIONS</v>
      </c>
      <c r="C71" s="11"/>
      <c r="D71" s="7"/>
      <c r="E71" s="2"/>
      <c r="F71" s="6">
        <f t="shared" si="54"/>
        <v>0</v>
      </c>
      <c r="G71" s="2"/>
      <c r="H71" s="7">
        <v>176</v>
      </c>
      <c r="I71" s="2"/>
      <c r="J71" s="6">
        <f t="shared" si="55"/>
        <v>5.286714126941215E-3</v>
      </c>
      <c r="K71" s="2"/>
      <c r="L71" s="7">
        <f t="shared" si="56"/>
        <v>-176</v>
      </c>
      <c r="M71" s="2"/>
      <c r="N71" s="6">
        <f t="shared" si="57"/>
        <v>-1</v>
      </c>
      <c r="O71" s="11"/>
      <c r="P71" s="7"/>
      <c r="Q71" s="2"/>
      <c r="R71" s="6">
        <f t="shared" si="58"/>
        <v>0</v>
      </c>
      <c r="S71" s="2"/>
      <c r="T71" s="7">
        <v>704</v>
      </c>
      <c r="U71" s="2"/>
      <c r="V71" s="6">
        <f t="shared" si="59"/>
        <v>1.2239859519794147E-2</v>
      </c>
      <c r="W71" s="2"/>
      <c r="X71" s="7">
        <f t="shared" si="60"/>
        <v>-704</v>
      </c>
      <c r="Y71" s="2"/>
      <c r="Z71" s="6">
        <f t="shared" si="61"/>
        <v>-1</v>
      </c>
    </row>
    <row r="72" spans="1:26" s="27" customFormat="1" outlineLevel="1" collapsed="1" x14ac:dyDescent="0.25">
      <c r="A72" s="29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SUM(OSRRefD22_13x_0)</f>
        <v>0</v>
      </c>
      <c r="E72" s="1"/>
      <c r="F72" s="5">
        <f t="shared" si="54"/>
        <v>0</v>
      </c>
      <c r="G72" s="1"/>
      <c r="H72" s="1">
        <f>SUM(OSRRefH22_13x_0)</f>
        <v>1086</v>
      </c>
      <c r="I72" s="1"/>
      <c r="J72" s="5">
        <f t="shared" si="55"/>
        <v>3.2621429215103179E-2</v>
      </c>
      <c r="K72" s="1"/>
      <c r="L72" s="1">
        <f t="shared" si="56"/>
        <v>-1086</v>
      </c>
      <c r="M72" s="1"/>
      <c r="N72" s="5">
        <f t="shared" si="57"/>
        <v>-1</v>
      </c>
      <c r="O72" s="14"/>
      <c r="P72" s="1">
        <f>SUM(OSRRefP22_13x_0)</f>
        <v>634.24</v>
      </c>
      <c r="Q72" s="1"/>
      <c r="R72" s="5">
        <f t="shared" si="58"/>
        <v>0</v>
      </c>
      <c r="S72" s="1"/>
      <c r="T72" s="1">
        <f>SUM(OSRRefT22_13x_0)</f>
        <v>8777</v>
      </c>
      <c r="U72" s="1"/>
      <c r="V72" s="5">
        <f t="shared" si="59"/>
        <v>0.15259836222334267</v>
      </c>
      <c r="W72" s="1"/>
      <c r="X72" s="1">
        <f t="shared" si="60"/>
        <v>-8142.76</v>
      </c>
      <c r="Y72" s="1"/>
      <c r="Z72" s="5">
        <f t="shared" si="61"/>
        <v>-0.92773840720063805</v>
      </c>
    </row>
    <row r="73" spans="1:26" s="24" customFormat="1" hidden="1" outlineLevel="2" x14ac:dyDescent="0.25">
      <c r="A73" s="28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54"/>
        <v>0</v>
      </c>
      <c r="G73" s="2"/>
      <c r="H73" s="7"/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>
        <v>316.67</v>
      </c>
      <c r="Q73" s="2"/>
      <c r="R73" s="6">
        <f t="shared" si="58"/>
        <v>0</v>
      </c>
      <c r="S73" s="2"/>
      <c r="T73" s="7"/>
      <c r="U73" s="2"/>
      <c r="V73" s="6">
        <f t="shared" si="59"/>
        <v>0</v>
      </c>
      <c r="W73" s="2"/>
      <c r="X73" s="7">
        <f t="shared" si="60"/>
        <v>316.67</v>
      </c>
      <c r="Y73" s="2"/>
      <c r="Z73" s="6">
        <f t="shared" si="61"/>
        <v>0</v>
      </c>
    </row>
    <row r="74" spans="1:26" s="24" customFormat="1" hidden="1" outlineLevel="2" x14ac:dyDescent="0.25">
      <c r="A74" s="28"/>
      <c r="B74" s="11" t="str">
        <f>CONCATENATE("          ", "6235", " - ", "COVID-19 EXPENSES")</f>
        <v xml:space="preserve">          6235 - COVID-19 EXPENSES</v>
      </c>
      <c r="C74" s="11"/>
      <c r="D74" s="7"/>
      <c r="E74" s="2"/>
      <c r="F74" s="6">
        <f t="shared" si="54"/>
        <v>0</v>
      </c>
      <c r="G74" s="2"/>
      <c r="H74" s="7">
        <v>200</v>
      </c>
      <c r="I74" s="2"/>
      <c r="J74" s="6">
        <f t="shared" si="55"/>
        <v>6.0076296897059265E-3</v>
      </c>
      <c r="K74" s="2"/>
      <c r="L74" s="7">
        <f t="shared" si="56"/>
        <v>-200</v>
      </c>
      <c r="M74" s="2"/>
      <c r="N74" s="6">
        <f t="shared" si="57"/>
        <v>-1</v>
      </c>
      <c r="O74" s="11"/>
      <c r="P74" s="7"/>
      <c r="Q74" s="2"/>
      <c r="R74" s="6">
        <f t="shared" si="58"/>
        <v>0</v>
      </c>
      <c r="S74" s="2"/>
      <c r="T74" s="7">
        <v>1500</v>
      </c>
      <c r="U74" s="2"/>
      <c r="V74" s="6">
        <f t="shared" si="59"/>
        <v>2.6079246135925032E-2</v>
      </c>
      <c r="W74" s="2"/>
      <c r="X74" s="7">
        <f t="shared" si="60"/>
        <v>-1500</v>
      </c>
      <c r="Y74" s="2"/>
      <c r="Z74" s="6">
        <f t="shared" si="61"/>
        <v>-1</v>
      </c>
    </row>
    <row r="75" spans="1:26" s="24" customFormat="1" hidden="1" outlineLevel="2" x14ac:dyDescent="0.25">
      <c r="A75" s="28"/>
      <c r="B75" s="11" t="str">
        <f>CONCATENATE("          ", "6237", " - ", "JANITORIAL SUPPLIES")</f>
        <v xml:space="preserve">          6237 - JANITORIAL SUPPLIES</v>
      </c>
      <c r="C75" s="11"/>
      <c r="D75" s="7"/>
      <c r="E75" s="2"/>
      <c r="F75" s="6">
        <f t="shared" si="54"/>
        <v>0</v>
      </c>
      <c r="G75" s="2"/>
      <c r="H75" s="7">
        <v>238</v>
      </c>
      <c r="I75" s="2"/>
      <c r="J75" s="6">
        <f t="shared" si="55"/>
        <v>7.1490793307500524E-3</v>
      </c>
      <c r="K75" s="2"/>
      <c r="L75" s="7">
        <f t="shared" si="56"/>
        <v>-238</v>
      </c>
      <c r="M75" s="2"/>
      <c r="N75" s="6">
        <f t="shared" si="57"/>
        <v>-1</v>
      </c>
      <c r="O75" s="11"/>
      <c r="P75" s="7">
        <v>317.57</v>
      </c>
      <c r="Q75" s="2"/>
      <c r="R75" s="6">
        <f t="shared" si="58"/>
        <v>0</v>
      </c>
      <c r="S75" s="2"/>
      <c r="T75" s="7">
        <v>238</v>
      </c>
      <c r="U75" s="2"/>
      <c r="V75" s="6">
        <f t="shared" si="59"/>
        <v>4.1379070535667714E-3</v>
      </c>
      <c r="W75" s="2"/>
      <c r="X75" s="7">
        <f t="shared" si="60"/>
        <v>79.569999999999993</v>
      </c>
      <c r="Y75" s="2"/>
      <c r="Z75" s="6">
        <f t="shared" si="61"/>
        <v>0.33432773109243696</v>
      </c>
    </row>
    <row r="76" spans="1:26" s="24" customFormat="1" hidden="1" outlineLevel="2" x14ac:dyDescent="0.25">
      <c r="A76" s="28"/>
      <c r="B76" s="11" t="str">
        <f>CONCATENATE("          ", "6243", " - ", "PAPER SUPPLIES")</f>
        <v xml:space="preserve">          6243 - PAPER SUPPLIES</v>
      </c>
      <c r="C76" s="11"/>
      <c r="D76" s="7"/>
      <c r="E76" s="2"/>
      <c r="F76" s="6">
        <f t="shared" si="54"/>
        <v>0</v>
      </c>
      <c r="G76" s="2"/>
      <c r="H76" s="7">
        <v>85</v>
      </c>
      <c r="I76" s="2"/>
      <c r="J76" s="6">
        <f t="shared" si="55"/>
        <v>2.5532426181250189E-3</v>
      </c>
      <c r="K76" s="2"/>
      <c r="L76" s="7">
        <f t="shared" si="56"/>
        <v>-85</v>
      </c>
      <c r="M76" s="2"/>
      <c r="N76" s="6">
        <f t="shared" si="57"/>
        <v>-1</v>
      </c>
      <c r="O76" s="11"/>
      <c r="P76" s="7"/>
      <c r="Q76" s="2"/>
      <c r="R76" s="6">
        <f t="shared" si="58"/>
        <v>0</v>
      </c>
      <c r="S76" s="2"/>
      <c r="T76" s="7">
        <v>430</v>
      </c>
      <c r="U76" s="2"/>
      <c r="V76" s="6">
        <f t="shared" si="59"/>
        <v>7.4760505589651759E-3</v>
      </c>
      <c r="W76" s="2"/>
      <c r="X76" s="7">
        <f t="shared" si="60"/>
        <v>-430</v>
      </c>
      <c r="Y76" s="2"/>
      <c r="Z76" s="6">
        <f t="shared" si="61"/>
        <v>-1</v>
      </c>
    </row>
    <row r="77" spans="1:26" s="24" customFormat="1" hidden="1" outlineLevel="2" x14ac:dyDescent="0.25">
      <c r="A77" s="28"/>
      <c r="B77" s="11" t="str">
        <f>CONCATENATE("          ", "6247", " - ", "STORE SUPPLIES")</f>
        <v xml:space="preserve">          6247 - STORE SUPPLIES</v>
      </c>
      <c r="C77" s="11"/>
      <c r="D77" s="7"/>
      <c r="E77" s="2"/>
      <c r="F77" s="6">
        <f t="shared" si="54"/>
        <v>0</v>
      </c>
      <c r="G77" s="2"/>
      <c r="H77" s="7">
        <v>563</v>
      </c>
      <c r="I77" s="2"/>
      <c r="J77" s="6">
        <f t="shared" si="55"/>
        <v>1.6911477576522182E-2</v>
      </c>
      <c r="K77" s="2"/>
      <c r="L77" s="7">
        <f t="shared" si="56"/>
        <v>-563</v>
      </c>
      <c r="M77" s="2"/>
      <c r="N77" s="6">
        <f t="shared" si="57"/>
        <v>-1</v>
      </c>
      <c r="O77" s="11"/>
      <c r="P77" s="7"/>
      <c r="Q77" s="2"/>
      <c r="R77" s="6">
        <f t="shared" si="58"/>
        <v>0</v>
      </c>
      <c r="S77" s="2"/>
      <c r="T77" s="7">
        <v>6609</v>
      </c>
      <c r="U77" s="2"/>
      <c r="V77" s="6">
        <f t="shared" si="59"/>
        <v>0.11490515847488568</v>
      </c>
      <c r="W77" s="2"/>
      <c r="X77" s="7">
        <f t="shared" si="60"/>
        <v>-6609</v>
      </c>
      <c r="Y77" s="2"/>
      <c r="Z77" s="6">
        <f t="shared" si="61"/>
        <v>-1</v>
      </c>
    </row>
    <row r="78" spans="1:26" s="27" customFormat="1" outlineLevel="1" collapsed="1" x14ac:dyDescent="0.25">
      <c r="A78" s="29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SUM(OSRRefD22_14x_0)</f>
        <v>875.87</v>
      </c>
      <c r="E78" s="1"/>
      <c r="F78" s="5">
        <f t="shared" ref="F78:F80" si="62">IF(D$12=0,0,D78/D$12)</f>
        <v>0</v>
      </c>
      <c r="G78" s="1"/>
      <c r="H78" s="1">
        <f>SUM(OSRRefH22_14x_0)</f>
        <v>188</v>
      </c>
      <c r="I78" s="1"/>
      <c r="J78" s="5">
        <f t="shared" ref="J78:J80" si="63">IF(H$12=0,0,H78/H$12)</f>
        <v>5.6471719083235712E-3</v>
      </c>
      <c r="K78" s="1"/>
      <c r="L78" s="1">
        <f t="shared" ref="L78:L80" si="64">+D78-H78</f>
        <v>687.87</v>
      </c>
      <c r="M78" s="1"/>
      <c r="N78" s="5">
        <f t="shared" ref="N78:N80" si="65">IF(H78=0,0,L78/H78)</f>
        <v>3.6588829787234043</v>
      </c>
      <c r="O78" s="14"/>
      <c r="P78" s="1">
        <f>SUM(OSRRefP22_14x_0)</f>
        <v>991.87</v>
      </c>
      <c r="Q78" s="1"/>
      <c r="R78" s="5">
        <f t="shared" ref="R78:R80" si="66">IF(P$12=0,0,P78/P$12)</f>
        <v>0</v>
      </c>
      <c r="S78" s="1"/>
      <c r="T78" s="1">
        <f>SUM(OSRRefT22_14x_0)</f>
        <v>455</v>
      </c>
      <c r="U78" s="1"/>
      <c r="V78" s="5">
        <f t="shared" ref="V78:V80" si="67">IF(T$12=0,0,T78/T$12)</f>
        <v>7.9107046612305922E-3</v>
      </c>
      <c r="W78" s="1"/>
      <c r="X78" s="1">
        <f t="shared" ref="X78:X80" si="68">+P78-T78</f>
        <v>536.87</v>
      </c>
      <c r="Y78" s="1"/>
      <c r="Z78" s="5">
        <f t="shared" ref="Z78:Z80" si="69">IF(T78=0,0,X78/T78)</f>
        <v>1.179934065934066</v>
      </c>
    </row>
    <row r="79" spans="1:26" s="24" customFormat="1" hidden="1" outlineLevel="2" x14ac:dyDescent="0.25">
      <c r="A79" s="28"/>
      <c r="B79" s="11" t="str">
        <f>CONCATENATE("          ", "6303", " - ", "DATA PHONE LINES")</f>
        <v xml:space="preserve">          6303 - DATA PHONE LINES</v>
      </c>
      <c r="C79" s="11"/>
      <c r="D79" s="7"/>
      <c r="E79" s="2"/>
      <c r="F79" s="6">
        <f t="shared" si="62"/>
        <v>0</v>
      </c>
      <c r="G79" s="2"/>
      <c r="H79" s="7">
        <v>38</v>
      </c>
      <c r="I79" s="2"/>
      <c r="J79" s="6">
        <f t="shared" si="63"/>
        <v>1.1414496410441261E-3</v>
      </c>
      <c r="K79" s="2"/>
      <c r="L79" s="7">
        <f t="shared" si="64"/>
        <v>-38</v>
      </c>
      <c r="M79" s="2"/>
      <c r="N79" s="6">
        <f t="shared" si="65"/>
        <v>-1</v>
      </c>
      <c r="O79" s="11"/>
      <c r="P79" s="7"/>
      <c r="Q79" s="2"/>
      <c r="R79" s="6">
        <f t="shared" si="66"/>
        <v>0</v>
      </c>
      <c r="S79" s="2"/>
      <c r="T79" s="7">
        <v>155</v>
      </c>
      <c r="U79" s="2"/>
      <c r="V79" s="6">
        <f t="shared" si="67"/>
        <v>2.6948554340455867E-3</v>
      </c>
      <c r="W79" s="2"/>
      <c r="X79" s="7">
        <f t="shared" si="68"/>
        <v>-155</v>
      </c>
      <c r="Y79" s="2"/>
      <c r="Z79" s="6">
        <f t="shared" si="69"/>
        <v>-1</v>
      </c>
    </row>
    <row r="80" spans="1:26" s="24" customFormat="1" hidden="1" outlineLevel="2" x14ac:dyDescent="0.25">
      <c r="A80" s="28"/>
      <c r="B80" s="11" t="str">
        <f>CONCATENATE("          ", "6309", " - ", "TELEPHONE")</f>
        <v xml:space="preserve">          6309 - TELEPHONE</v>
      </c>
      <c r="C80" s="11"/>
      <c r="D80" s="7">
        <v>875.87</v>
      </c>
      <c r="E80" s="2"/>
      <c r="F80" s="6">
        <f t="shared" si="62"/>
        <v>0</v>
      </c>
      <c r="G80" s="2"/>
      <c r="H80" s="7">
        <v>150</v>
      </c>
      <c r="I80" s="2"/>
      <c r="J80" s="6">
        <f t="shared" si="63"/>
        <v>4.5057222672794453E-3</v>
      </c>
      <c r="K80" s="2"/>
      <c r="L80" s="7">
        <f t="shared" si="64"/>
        <v>725.87</v>
      </c>
      <c r="M80" s="2"/>
      <c r="N80" s="6">
        <f t="shared" si="65"/>
        <v>4.8391333333333337</v>
      </c>
      <c r="O80" s="11"/>
      <c r="P80" s="7">
        <v>991.87</v>
      </c>
      <c r="Q80" s="2"/>
      <c r="R80" s="6">
        <f t="shared" si="66"/>
        <v>0</v>
      </c>
      <c r="S80" s="2"/>
      <c r="T80" s="7">
        <v>300</v>
      </c>
      <c r="U80" s="2"/>
      <c r="V80" s="6">
        <f t="shared" si="67"/>
        <v>5.2158492271850059E-3</v>
      </c>
      <c r="W80" s="2"/>
      <c r="X80" s="7">
        <f t="shared" si="68"/>
        <v>691.87</v>
      </c>
      <c r="Y80" s="2"/>
      <c r="Z80" s="6">
        <f t="shared" si="69"/>
        <v>2.3062333333333331</v>
      </c>
    </row>
    <row r="81" spans="1:26" s="27" customFormat="1" outlineLevel="1" collapsed="1" x14ac:dyDescent="0.25">
      <c r="A81" s="29"/>
      <c r="B81" s="14" t="str">
        <f>CONCATENATE("     ","Travel                                            ")</f>
        <v xml:space="preserve">     Travel                                            </v>
      </c>
      <c r="C81" s="14"/>
      <c r="D81" s="1">
        <f>SUM(OSRRefD22_15x_0)</f>
        <v>0</v>
      </c>
      <c r="E81" s="1"/>
      <c r="F81" s="5">
        <f t="shared" ref="F81:F84" si="70">IF(D$12=0,0,D81/D$12)</f>
        <v>0</v>
      </c>
      <c r="G81" s="1"/>
      <c r="H81" s="1">
        <f>SUM(OSRRefH22_15x_0)</f>
        <v>1500</v>
      </c>
      <c r="I81" s="1"/>
      <c r="J81" s="5">
        <f t="shared" ref="J81:J84" si="71">IF(H$12=0,0,H81/H$12)</f>
        <v>4.5057222672794446E-2</v>
      </c>
      <c r="K81" s="1"/>
      <c r="L81" s="1">
        <f t="shared" ref="L81:L84" si="72">+D81-H81</f>
        <v>-1500</v>
      </c>
      <c r="M81" s="1"/>
      <c r="N81" s="5">
        <f t="shared" ref="N81:N84" si="73">IF(H81=0,0,L81/H81)</f>
        <v>-1</v>
      </c>
      <c r="O81" s="14"/>
      <c r="P81" s="1">
        <f>SUM(OSRRefP22_15x_0)</f>
        <v>0</v>
      </c>
      <c r="Q81" s="1"/>
      <c r="R81" s="5">
        <f t="shared" ref="R81:R84" si="74">IF(P$12=0,0,P81/P$12)</f>
        <v>0</v>
      </c>
      <c r="S81" s="1"/>
      <c r="T81" s="1">
        <f>SUM(OSRRefT22_15x_0)</f>
        <v>1500</v>
      </c>
      <c r="U81" s="1"/>
      <c r="V81" s="5">
        <f t="shared" ref="V81:V84" si="75">IF(T$12=0,0,T81/T$12)</f>
        <v>2.6079246135925032E-2</v>
      </c>
      <c r="W81" s="1"/>
      <c r="X81" s="1">
        <f t="shared" ref="X81:X84" si="76">+P81-T81</f>
        <v>-1500</v>
      </c>
      <c r="Y81" s="1"/>
      <c r="Z81" s="5">
        <f t="shared" ref="Z81:Z84" si="77">IF(T81=0,0,X81/T81)</f>
        <v>-1</v>
      </c>
    </row>
    <row r="82" spans="1:26" s="24" customFormat="1" hidden="1" outlineLevel="2" x14ac:dyDescent="0.25">
      <c r="A82" s="28"/>
      <c r="B82" s="11" t="str">
        <f>CONCATENATE("          ", "6292", " - ", "TRAVEL/CONFERENCE")</f>
        <v xml:space="preserve">          6292 - TRAVEL/CONFERENCE</v>
      </c>
      <c r="C82" s="11"/>
      <c r="D82" s="7"/>
      <c r="E82" s="2"/>
      <c r="F82" s="6">
        <f t="shared" si="70"/>
        <v>0</v>
      </c>
      <c r="G82" s="2"/>
      <c r="H82" s="7">
        <v>1500</v>
      </c>
      <c r="I82" s="2"/>
      <c r="J82" s="6">
        <f t="shared" si="71"/>
        <v>4.5057222672794446E-2</v>
      </c>
      <c r="K82" s="2"/>
      <c r="L82" s="7">
        <f t="shared" si="72"/>
        <v>-1500</v>
      </c>
      <c r="M82" s="2"/>
      <c r="N82" s="6">
        <f t="shared" si="73"/>
        <v>-1</v>
      </c>
      <c r="O82" s="11"/>
      <c r="P82" s="7"/>
      <c r="Q82" s="2"/>
      <c r="R82" s="6">
        <f t="shared" si="74"/>
        <v>0</v>
      </c>
      <c r="S82" s="2"/>
      <c r="T82" s="7">
        <v>1500</v>
      </c>
      <c r="U82" s="2"/>
      <c r="V82" s="6">
        <f t="shared" si="75"/>
        <v>2.6079246135925032E-2</v>
      </c>
      <c r="W82" s="2"/>
      <c r="X82" s="7">
        <f t="shared" si="76"/>
        <v>-1500</v>
      </c>
      <c r="Y82" s="2"/>
      <c r="Z82" s="6">
        <f t="shared" si="77"/>
        <v>-1</v>
      </c>
    </row>
    <row r="83" spans="1:26" s="27" customFormat="1" outlineLevel="1" collapsed="1" x14ac:dyDescent="0.25">
      <c r="A83" s="29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SUM(OSRRefD22_16x_0)</f>
        <v>878</v>
      </c>
      <c r="E83" s="1"/>
      <c r="F83" s="5">
        <f t="shared" si="70"/>
        <v>0</v>
      </c>
      <c r="G83" s="1"/>
      <c r="H83" s="1">
        <f>SUM(OSRRefH22_16x_0)</f>
        <v>771</v>
      </c>
      <c r="I83" s="1"/>
      <c r="J83" s="5">
        <f t="shared" si="71"/>
        <v>2.3159412453816346E-2</v>
      </c>
      <c r="K83" s="1"/>
      <c r="L83" s="1">
        <f t="shared" si="72"/>
        <v>107</v>
      </c>
      <c r="M83" s="1"/>
      <c r="N83" s="5">
        <f t="shared" si="73"/>
        <v>0.13878080415045396</v>
      </c>
      <c r="O83" s="14"/>
      <c r="P83" s="1">
        <f>SUM(OSRRefP22_16x_0)</f>
        <v>878</v>
      </c>
      <c r="Q83" s="1"/>
      <c r="R83" s="5">
        <f t="shared" si="74"/>
        <v>0</v>
      </c>
      <c r="S83" s="1"/>
      <c r="T83" s="1">
        <f>SUM(OSRRefT22_16x_0)</f>
        <v>2313</v>
      </c>
      <c r="U83" s="1"/>
      <c r="V83" s="5">
        <f t="shared" si="75"/>
        <v>4.02141975415964E-2</v>
      </c>
      <c r="W83" s="1"/>
      <c r="X83" s="1">
        <f t="shared" si="76"/>
        <v>-1435</v>
      </c>
      <c r="Y83" s="1"/>
      <c r="Z83" s="5">
        <f t="shared" si="77"/>
        <v>-0.62040639861651536</v>
      </c>
    </row>
    <row r="84" spans="1:26" s="24" customFormat="1" hidden="1" outlineLevel="2" x14ac:dyDescent="0.25">
      <c r="A84" s="28"/>
      <c r="B84" s="11" t="str">
        <f>CONCATENATE("          ", "6274", " - ", "UTILITIES")</f>
        <v xml:space="preserve">          6274 - UTILITIES</v>
      </c>
      <c r="C84" s="11"/>
      <c r="D84" s="7">
        <v>878</v>
      </c>
      <c r="E84" s="2"/>
      <c r="F84" s="6">
        <f t="shared" si="70"/>
        <v>0</v>
      </c>
      <c r="G84" s="2"/>
      <c r="H84" s="7">
        <v>771</v>
      </c>
      <c r="I84" s="2"/>
      <c r="J84" s="6">
        <f t="shared" si="71"/>
        <v>2.3159412453816346E-2</v>
      </c>
      <c r="K84" s="2"/>
      <c r="L84" s="7">
        <f t="shared" si="72"/>
        <v>107</v>
      </c>
      <c r="M84" s="2"/>
      <c r="N84" s="6">
        <f t="shared" si="73"/>
        <v>0.13878080415045396</v>
      </c>
      <c r="O84" s="11"/>
      <c r="P84" s="7">
        <v>878</v>
      </c>
      <c r="Q84" s="2"/>
      <c r="R84" s="6">
        <f t="shared" si="74"/>
        <v>0</v>
      </c>
      <c r="S84" s="2"/>
      <c r="T84" s="7">
        <v>2313</v>
      </c>
      <c r="U84" s="2"/>
      <c r="V84" s="6">
        <f t="shared" si="75"/>
        <v>4.02141975415964E-2</v>
      </c>
      <c r="W84" s="2"/>
      <c r="X84" s="7">
        <f t="shared" si="76"/>
        <v>-1435</v>
      </c>
      <c r="Y84" s="2"/>
      <c r="Z84" s="6">
        <f t="shared" si="77"/>
        <v>-0.62040639861651536</v>
      </c>
    </row>
    <row r="85" spans="1:26" s="63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6" t="s">
        <v>3</v>
      </c>
      <c r="C88" s="26"/>
      <c r="D88" s="20">
        <f>+D21-D23+D86</f>
        <v>-22898.660000000003</v>
      </c>
      <c r="E88" s="13"/>
      <c r="F88" s="19">
        <f>IF(D$12=0,0,D88/D$12)</f>
        <v>0</v>
      </c>
      <c r="G88" s="13"/>
      <c r="H88" s="20">
        <f>+H21-H23+H86</f>
        <v>-12081.734400000001</v>
      </c>
      <c r="I88" s="13"/>
      <c r="J88" s="19">
        <f>IF(H$12=0,0,H88/H$12)</f>
        <v>-0.36291293142290715</v>
      </c>
      <c r="K88" s="15"/>
      <c r="L88" s="20">
        <f>+D88-H88</f>
        <v>-10816.925600000002</v>
      </c>
      <c r="M88" s="15"/>
      <c r="N88" s="19">
        <f>IF(H88=0,0,L88/H88)</f>
        <v>0.89531231542385181</v>
      </c>
      <c r="O88" s="25"/>
      <c r="P88" s="20">
        <f>+P21-P23+P86</f>
        <v>-57285.72</v>
      </c>
      <c r="Q88" s="13"/>
      <c r="R88" s="19">
        <f>IF(P$12=0,0,P88/P$12)</f>
        <v>0</v>
      </c>
      <c r="S88" s="13"/>
      <c r="T88" s="20">
        <f>+T21-T23+T86</f>
        <v>-73056.128559999997</v>
      </c>
      <c r="U88" s="13"/>
      <c r="V88" s="19">
        <f>IF(T$12=0,0,T88/T$12)</f>
        <v>-1.2701658389693482</v>
      </c>
      <c r="W88" s="15"/>
      <c r="X88" s="20">
        <f>+P88-T88</f>
        <v>15770.408559999996</v>
      </c>
      <c r="Y88" s="15"/>
      <c r="Z88" s="19">
        <f>IF(T88=0,0,X88/T88)</f>
        <v>-0.21586701719415607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/>
      <c r="E90" s="4"/>
      <c r="F90" s="12">
        <f>IF(D$12=0,0,D90/D$12)</f>
        <v>0</v>
      </c>
      <c r="G90" s="4"/>
      <c r="H90" s="4">
        <v>5914</v>
      </c>
      <c r="I90" s="4"/>
      <c r="J90" s="12">
        <f>IF(H$12=0,0,H90/H$12)</f>
        <v>0.17764560992460424</v>
      </c>
      <c r="K90" s="4"/>
      <c r="L90" s="4">
        <f>+D90-H90</f>
        <v>-5914</v>
      </c>
      <c r="M90" s="4"/>
      <c r="N90" s="12">
        <f>IF(H90=0,0,L90/H90)</f>
        <v>-1</v>
      </c>
      <c r="O90" s="10"/>
      <c r="P90" s="4"/>
      <c r="Q90" s="4"/>
      <c r="R90" s="12">
        <f>IF(P$12=0,0,P90/P$12)</f>
        <v>0</v>
      </c>
      <c r="S90" s="4"/>
      <c r="T90" s="4">
        <v>9416</v>
      </c>
      <c r="U90" s="4"/>
      <c r="V90" s="12">
        <f>IF(T$12=0,0,T90/T$12)</f>
        <v>0.16370812107724672</v>
      </c>
      <c r="W90" s="4"/>
      <c r="X90" s="4">
        <f>+P90-T90</f>
        <v>-9416</v>
      </c>
      <c r="Y90" s="4"/>
      <c r="Z90" s="12">
        <f>IF(T90=0,0,X90/T90)</f>
        <v>-1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4</v>
      </c>
      <c r="C92" s="26"/>
      <c r="D92" s="34">
        <f>+D88-D90</f>
        <v>-22898.660000000003</v>
      </c>
      <c r="E92" s="13"/>
      <c r="F92" s="35">
        <f>IF(D$12=0,0,D92/D$12)</f>
        <v>0</v>
      </c>
      <c r="G92" s="13"/>
      <c r="H92" s="34">
        <f>+H88-H90</f>
        <v>-17995.734400000001</v>
      </c>
      <c r="I92" s="13"/>
      <c r="J92" s="35">
        <f>IF(H$12=0,0,H92/H$12)</f>
        <v>-0.54055854134751136</v>
      </c>
      <c r="K92" s="15"/>
      <c r="L92" s="34">
        <f>D92-H92</f>
        <v>-4902.9256000000023</v>
      </c>
      <c r="M92" s="15"/>
      <c r="N92" s="35">
        <f>IF(H92=0,0,L92/H92)</f>
        <v>0.27244931998996397</v>
      </c>
      <c r="O92" s="25"/>
      <c r="P92" s="34">
        <f>+P88-P90</f>
        <v>-57285.72</v>
      </c>
      <c r="Q92" s="13"/>
      <c r="R92" s="35">
        <f>IF(P$12=0,0,P92/P$12)</f>
        <v>0</v>
      </c>
      <c r="S92" s="13"/>
      <c r="T92" s="34">
        <f>+T88-T90</f>
        <v>-82472.128559999997</v>
      </c>
      <c r="U92" s="13"/>
      <c r="V92" s="35">
        <f>IF(T$12=0,0,T92/T$12)</f>
        <v>-1.4338739600465948</v>
      </c>
      <c r="W92" s="15"/>
      <c r="X92" s="34">
        <f>P92-T92</f>
        <v>25186.408559999996</v>
      </c>
      <c r="Y92" s="15"/>
      <c r="Z92" s="35">
        <f>IF(T92=0,0,X92/T92)</f>
        <v>-0.30539297335676768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5</v>
      </c>
      <c r="C95" s="26"/>
      <c r="D95" s="30">
        <f>SUM(D92:D94)</f>
        <v>-22898.660000000003</v>
      </c>
      <c r="E95" s="13"/>
      <c r="F95" s="32">
        <f>IF(D$12=0,0,D95/D$12)</f>
        <v>0</v>
      </c>
      <c r="G95" s="13"/>
      <c r="H95" s="30">
        <f>SUM(H92:H94)</f>
        <v>-17995.734400000001</v>
      </c>
      <c r="I95" s="13"/>
      <c r="J95" s="32">
        <f>IF(H$12=0,0,H95/H$12)</f>
        <v>-0.54055854134751136</v>
      </c>
      <c r="K95" s="15"/>
      <c r="L95" s="30">
        <f>+D95-H95</f>
        <v>-4902.9256000000023</v>
      </c>
      <c r="M95" s="15"/>
      <c r="N95" s="32">
        <f>IF(H95=0,0,L95/H95)</f>
        <v>0.27244931998996397</v>
      </c>
      <c r="O95" s="25"/>
      <c r="P95" s="30">
        <f>SUM(P92:P94)</f>
        <v>-57285.72</v>
      </c>
      <c r="Q95" s="13"/>
      <c r="R95" s="32">
        <f>IF(P$12=0,0,P95/P$12)</f>
        <v>0</v>
      </c>
      <c r="S95" s="13"/>
      <c r="T95" s="30">
        <f>SUM(T92:T94)</f>
        <v>-82472.128559999997</v>
      </c>
      <c r="U95" s="13"/>
      <c r="V95" s="32">
        <f>IF(T$12=0,0,T95/T$12)</f>
        <v>-1.4338739600465948</v>
      </c>
      <c r="W95" s="15"/>
      <c r="X95" s="30">
        <f>+P95-T95</f>
        <v>25186.408559999996</v>
      </c>
      <c r="Y95" s="15"/>
      <c r="Z95" s="32">
        <f>IF(T95=0,0,X95/T95)</f>
        <v>-0.30539297335676768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60">
        <v>44151.568492210645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8" t="s">
        <v>314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A99" s="9"/>
      <c r="B99" s="53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25"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299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","327", " - ", "C-Store Vending Machine(s)")</f>
        <v>Department 327 - C-Store Vending Machine(s)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575</v>
      </c>
      <c r="I12" s="4"/>
      <c r="J12" s="12"/>
      <c r="K12" s="4"/>
      <c r="L12" s="4">
        <f t="shared" ref="L12:L14" si="0">+D12-H12</f>
        <v>-575</v>
      </c>
      <c r="M12" s="4"/>
      <c r="N12" s="12">
        <f t="shared" ref="N12:N14" si="1">IF(H12=0,0,L12/H12)</f>
        <v>-1</v>
      </c>
      <c r="O12" s="10"/>
      <c r="P12" s="4">
        <f>SUM(OSRRefP13x_0)</f>
        <v>110</v>
      </c>
      <c r="Q12" s="4"/>
      <c r="R12" s="12"/>
      <c r="S12" s="4"/>
      <c r="T12" s="4">
        <f>SUM(OSRRefT13x_0)</f>
        <v>1235</v>
      </c>
      <c r="U12" s="4"/>
      <c r="V12" s="12"/>
      <c r="W12" s="4"/>
      <c r="X12" s="4">
        <f t="shared" ref="X12:X14" si="2">+P12-T12</f>
        <v>-1125</v>
      </c>
      <c r="Y12" s="4"/>
      <c r="Z12" s="12">
        <f t="shared" ref="Z12:Z14" si="3">IF(T12=0,0,X12/T12)</f>
        <v>-0.91093117408906887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22"/>
      <c r="G13" s="2"/>
      <c r="H13" s="2">
        <v>575</v>
      </c>
      <c r="I13" s="2"/>
      <c r="J13" s="22"/>
      <c r="K13" s="2"/>
      <c r="L13" s="2">
        <f t="shared" si="0"/>
        <v>-575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1235</v>
      </c>
      <c r="U13" s="2"/>
      <c r="V13" s="22"/>
      <c r="W13" s="2"/>
      <c r="X13" s="2">
        <f t="shared" si="2"/>
        <v>-1235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--110</f>
        <v>110</v>
      </c>
      <c r="Q14" s="2"/>
      <c r="R14" s="22"/>
      <c r="S14" s="2"/>
      <c r="T14" s="2"/>
      <c r="U14" s="2"/>
      <c r="V14" s="22"/>
      <c r="W14" s="2"/>
      <c r="X14" s="2">
        <f t="shared" si="2"/>
        <v>110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288</v>
      </c>
      <c r="I16" s="4"/>
      <c r="J16" s="12">
        <f t="shared" ref="J16:J18" si="6">IF(H$12=0,0,H16/H$12)</f>
        <v>0.50086956521739134</v>
      </c>
      <c r="K16" s="4"/>
      <c r="L16" s="4">
        <f t="shared" ref="L16:L18" si="7">+D16-H16</f>
        <v>-288</v>
      </c>
      <c r="M16" s="4"/>
      <c r="N16" s="12">
        <f t="shared" ref="N16:N18" si="8">IF(H16=0,0,L16/H16)</f>
        <v>-1</v>
      </c>
      <c r="O16" s="10"/>
      <c r="P16" s="4">
        <f>SUM(OSRRefP16x_0)</f>
        <v>68.91</v>
      </c>
      <c r="Q16" s="4"/>
      <c r="R16" s="12">
        <f t="shared" ref="R16:R18" si="9">IF(P$12=0,0,P16/P$12)</f>
        <v>0.62645454545454538</v>
      </c>
      <c r="S16" s="4"/>
      <c r="T16" s="4">
        <f>SUM(OSRRefT16x_0)</f>
        <v>618</v>
      </c>
      <c r="U16" s="4"/>
      <c r="V16" s="12">
        <f t="shared" ref="V16:V18" si="10">IF(T$12=0,0,T16/T$12)</f>
        <v>0.50040485829959513</v>
      </c>
      <c r="W16" s="4"/>
      <c r="X16" s="4">
        <f t="shared" ref="X16:X18" si="11">+P16-T16</f>
        <v>-549.09</v>
      </c>
      <c r="Y16" s="4"/>
      <c r="Z16" s="12">
        <f t="shared" ref="Z16:Z18" si="12">IF(T16=0,0,X16/T16)</f>
        <v>-0.88849514563106802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5"/>
        <v>0</v>
      </c>
      <c r="G17" s="2"/>
      <c r="H17" s="2">
        <v>288</v>
      </c>
      <c r="I17" s="2"/>
      <c r="J17" s="22">
        <f t="shared" si="6"/>
        <v>0.50086956521739134</v>
      </c>
      <c r="K17" s="2"/>
      <c r="L17" s="2">
        <f t="shared" si="7"/>
        <v>-288</v>
      </c>
      <c r="M17" s="2"/>
      <c r="N17" s="22">
        <f t="shared" si="8"/>
        <v>-1</v>
      </c>
      <c r="O17" s="11"/>
      <c r="P17" s="2"/>
      <c r="Q17" s="2"/>
      <c r="R17" s="22">
        <f t="shared" si="9"/>
        <v>0</v>
      </c>
      <c r="S17" s="2"/>
      <c r="T17" s="2">
        <v>618</v>
      </c>
      <c r="U17" s="2"/>
      <c r="V17" s="22">
        <f t="shared" si="10"/>
        <v>0.50040485829959513</v>
      </c>
      <c r="W17" s="2"/>
      <c r="X17" s="2">
        <f t="shared" si="11"/>
        <v>-618</v>
      </c>
      <c r="Y17" s="2"/>
      <c r="Z17" s="22">
        <f t="shared" si="12"/>
        <v>-1</v>
      </c>
    </row>
    <row r="18" spans="1:26" s="24" customFormat="1" hidden="1" outlineLevel="1" x14ac:dyDescent="0.25">
      <c r="A18" s="51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22">
        <f t="shared" si="5"/>
        <v>0</v>
      </c>
      <c r="G18" s="2"/>
      <c r="H18" s="2"/>
      <c r="I18" s="2"/>
      <c r="J18" s="22">
        <f t="shared" si="6"/>
        <v>0</v>
      </c>
      <c r="K18" s="2"/>
      <c r="L18" s="2">
        <f t="shared" si="7"/>
        <v>0</v>
      </c>
      <c r="M18" s="2"/>
      <c r="N18" s="22">
        <f t="shared" si="8"/>
        <v>0</v>
      </c>
      <c r="O18" s="11"/>
      <c r="P18" s="2">
        <v>68.91</v>
      </c>
      <c r="Q18" s="2"/>
      <c r="R18" s="22">
        <f t="shared" si="9"/>
        <v>0.62645454545454538</v>
      </c>
      <c r="S18" s="2"/>
      <c r="T18" s="2"/>
      <c r="U18" s="2"/>
      <c r="V18" s="22">
        <f t="shared" si="10"/>
        <v>0</v>
      </c>
      <c r="W18" s="2"/>
      <c r="X18" s="2">
        <f t="shared" si="11"/>
        <v>68.91</v>
      </c>
      <c r="Y18" s="2"/>
      <c r="Z18" s="22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0</v>
      </c>
      <c r="E20" s="13"/>
      <c r="F20" s="19">
        <f>IF(D$12=0,0,D20/D$12)</f>
        <v>0</v>
      </c>
      <c r="G20" s="13"/>
      <c r="H20" s="20">
        <f>H12-H16</f>
        <v>287</v>
      </c>
      <c r="I20" s="13"/>
      <c r="J20" s="19">
        <f>IF(H$12=0,0,H20/H$12)</f>
        <v>0.49913043478260871</v>
      </c>
      <c r="K20" s="15"/>
      <c r="L20" s="20">
        <f>+D20-H20</f>
        <v>-287</v>
      </c>
      <c r="M20" s="15"/>
      <c r="N20" s="19">
        <f>IF(H20=0,0,L20/H20)</f>
        <v>-1</v>
      </c>
      <c r="O20" s="25"/>
      <c r="P20" s="20">
        <f>P12-P16</f>
        <v>41.09</v>
      </c>
      <c r="Q20" s="13"/>
      <c r="R20" s="19">
        <f>IF(P$12=0,0,P20/P$12)</f>
        <v>0.37354545454545457</v>
      </c>
      <c r="S20" s="13"/>
      <c r="T20" s="20">
        <f>T12-T16</f>
        <v>617</v>
      </c>
      <c r="U20" s="13"/>
      <c r="V20" s="19">
        <f>IF(T$12=0,0,T20/T$12)</f>
        <v>0.49959514170040487</v>
      </c>
      <c r="W20" s="15"/>
      <c r="X20" s="20">
        <f>+P20-T20</f>
        <v>-575.91</v>
      </c>
      <c r="Y20" s="15"/>
      <c r="Z20" s="19">
        <f>IF(T20=0,0,X20/T20)</f>
        <v>-0.93340356564019444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0</v>
      </c>
      <c r="E22" s="21"/>
      <c r="F22" s="31">
        <f t="shared" ref="F22:F24" si="13">IF(D$12=0,0,D22/D$12)</f>
        <v>0</v>
      </c>
      <c r="G22" s="21"/>
      <c r="H22" s="21">
        <f>SUM(OSRRefH22x_0)</f>
        <v>50</v>
      </c>
      <c r="I22" s="21"/>
      <c r="J22" s="31">
        <f t="shared" ref="J22:J24" si="14">IF(H$12=0,0,H22/H$12)</f>
        <v>8.6956521739130432E-2</v>
      </c>
      <c r="K22" s="4"/>
      <c r="L22" s="21">
        <f t="shared" ref="L22:L24" si="15">+D22-H22</f>
        <v>-50</v>
      </c>
      <c r="M22" s="4"/>
      <c r="N22" s="31">
        <f t="shared" ref="N22:N24" si="16">IF(H22=0,0,L22/H22)</f>
        <v>-1</v>
      </c>
      <c r="O22" s="10"/>
      <c r="P22" s="21">
        <f>SUM(OSRRefP22x_0)</f>
        <v>0</v>
      </c>
      <c r="Q22" s="21"/>
      <c r="R22" s="31">
        <f t="shared" ref="R22:R24" si="17">IF(P$12=0,0,P22/P$12)</f>
        <v>0</v>
      </c>
      <c r="S22" s="21"/>
      <c r="T22" s="21">
        <f>SUM(OSRRefT22x_0)</f>
        <v>109</v>
      </c>
      <c r="U22" s="21"/>
      <c r="V22" s="31">
        <f t="shared" ref="V22:V24" si="18">IF(T$12=0,0,T22/T$12)</f>
        <v>8.8259109311740885E-2</v>
      </c>
      <c r="W22" s="4"/>
      <c r="X22" s="21">
        <f t="shared" ref="X22:X24" si="19">+P22-T22</f>
        <v>-109</v>
      </c>
      <c r="Y22" s="4"/>
      <c r="Z22" s="31">
        <f t="shared" ref="Z22:Z24" si="20">IF(T22=0,0,X22/T22)</f>
        <v>-1</v>
      </c>
    </row>
    <row r="23" spans="1:26" s="27" customFormat="1" outlineLevel="1" collapsed="1" x14ac:dyDescent="0.25">
      <c r="A23" s="29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50</v>
      </c>
      <c r="I23" s="1"/>
      <c r="J23" s="5">
        <f t="shared" si="14"/>
        <v>8.6956521739130432E-2</v>
      </c>
      <c r="K23" s="1"/>
      <c r="L23" s="1">
        <f t="shared" si="15"/>
        <v>-50</v>
      </c>
      <c r="M23" s="1"/>
      <c r="N23" s="5">
        <f t="shared" si="16"/>
        <v>-1</v>
      </c>
      <c r="O23" s="14"/>
      <c r="P23" s="1">
        <f>SUM(OSRRefP22_0x_0)</f>
        <v>0</v>
      </c>
      <c r="Q23" s="1"/>
      <c r="R23" s="5">
        <f t="shared" si="17"/>
        <v>0</v>
      </c>
      <c r="S23" s="1"/>
      <c r="T23" s="1">
        <f>SUM(OSRRefT22_0x_0)</f>
        <v>109</v>
      </c>
      <c r="U23" s="1"/>
      <c r="V23" s="5">
        <f t="shared" si="18"/>
        <v>8.8259109311740885E-2</v>
      </c>
      <c r="W23" s="1"/>
      <c r="X23" s="1">
        <f t="shared" si="19"/>
        <v>-109</v>
      </c>
      <c r="Y23" s="1"/>
      <c r="Z23" s="5">
        <f t="shared" si="20"/>
        <v>-1</v>
      </c>
    </row>
    <row r="24" spans="1:26" s="24" customFormat="1" hidden="1" outlineLevel="2" x14ac:dyDescent="0.25">
      <c r="A24" s="28"/>
      <c r="B24" s="11" t="str">
        <f>CONCATENATE("          ", "6381", " - ", "BANK/CREDIT CARD FEES")</f>
        <v xml:space="preserve">          6381 - BANK/CREDIT CARD FEES</v>
      </c>
      <c r="C24" s="11"/>
      <c r="D24" s="7"/>
      <c r="E24" s="2"/>
      <c r="F24" s="6">
        <f t="shared" si="13"/>
        <v>0</v>
      </c>
      <c r="G24" s="2"/>
      <c r="H24" s="7">
        <v>50</v>
      </c>
      <c r="I24" s="2"/>
      <c r="J24" s="6">
        <f t="shared" si="14"/>
        <v>8.6956521739130432E-2</v>
      </c>
      <c r="K24" s="2"/>
      <c r="L24" s="7">
        <f t="shared" si="15"/>
        <v>-50</v>
      </c>
      <c r="M24" s="2"/>
      <c r="N24" s="6">
        <f t="shared" si="16"/>
        <v>-1</v>
      </c>
      <c r="O24" s="11"/>
      <c r="P24" s="7"/>
      <c r="Q24" s="2"/>
      <c r="R24" s="6">
        <f t="shared" si="17"/>
        <v>0</v>
      </c>
      <c r="S24" s="2"/>
      <c r="T24" s="7">
        <v>109</v>
      </c>
      <c r="U24" s="2"/>
      <c r="V24" s="6">
        <f t="shared" si="18"/>
        <v>8.8259109311740885E-2</v>
      </c>
      <c r="W24" s="2"/>
      <c r="X24" s="7">
        <f t="shared" si="19"/>
        <v>-109</v>
      </c>
      <c r="Y24" s="2"/>
      <c r="Z24" s="6">
        <f t="shared" si="20"/>
        <v>-1</v>
      </c>
    </row>
    <row r="25" spans="1:26" s="63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3</v>
      </c>
      <c r="C28" s="26"/>
      <c r="D28" s="20">
        <f>+D20-D22+D26</f>
        <v>0</v>
      </c>
      <c r="E28" s="13"/>
      <c r="F28" s="19">
        <f>IF(D$12=0,0,D28/D$12)</f>
        <v>0</v>
      </c>
      <c r="G28" s="13"/>
      <c r="H28" s="20">
        <f>+H20-H22+H26</f>
        <v>237</v>
      </c>
      <c r="I28" s="13"/>
      <c r="J28" s="19">
        <f>IF(H$12=0,0,H28/H$12)</f>
        <v>0.41217391304347828</v>
      </c>
      <c r="K28" s="15"/>
      <c r="L28" s="20">
        <f>+D28-H28</f>
        <v>-237</v>
      </c>
      <c r="M28" s="15"/>
      <c r="N28" s="19">
        <f>IF(H28=0,0,L28/H28)</f>
        <v>-1</v>
      </c>
      <c r="O28" s="25"/>
      <c r="P28" s="20">
        <f>+P20-P22+P26</f>
        <v>41.09</v>
      </c>
      <c r="Q28" s="13"/>
      <c r="R28" s="19">
        <f>IF(P$12=0,0,P28/P$12)</f>
        <v>0.37354545454545457</v>
      </c>
      <c r="S28" s="13"/>
      <c r="T28" s="20">
        <f>+T20-T22+T26</f>
        <v>508</v>
      </c>
      <c r="U28" s="13"/>
      <c r="V28" s="19">
        <f>IF(T$12=0,0,T28/T$12)</f>
        <v>0.41133603238866395</v>
      </c>
      <c r="W28" s="15"/>
      <c r="X28" s="20">
        <f>+P28-T28</f>
        <v>-466.90999999999997</v>
      </c>
      <c r="Y28" s="15"/>
      <c r="Z28" s="19">
        <f>IF(T28=0,0,X28/T28)</f>
        <v>-0.91911417322834643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3.45</v>
      </c>
      <c r="E30" s="4"/>
      <c r="F30" s="12">
        <f>IF(D$12=0,0,D30/D$12)</f>
        <v>0</v>
      </c>
      <c r="G30" s="4"/>
      <c r="H30" s="4">
        <v>107</v>
      </c>
      <c r="I30" s="4"/>
      <c r="J30" s="12">
        <f>IF(H$12=0,0,H30/H$12)</f>
        <v>0.18608695652173912</v>
      </c>
      <c r="K30" s="4"/>
      <c r="L30" s="4">
        <f>+D30-H30</f>
        <v>-103.55</v>
      </c>
      <c r="M30" s="4"/>
      <c r="N30" s="12">
        <f>IF(H30=0,0,L30/H30)</f>
        <v>-0.96775700934579434</v>
      </c>
      <c r="O30" s="10"/>
      <c r="P30" s="4">
        <v>23.83</v>
      </c>
      <c r="Q30" s="4"/>
      <c r="R30" s="12">
        <f>IF(P$12=0,0,P30/P$12)</f>
        <v>0.21663636363636363</v>
      </c>
      <c r="S30" s="4"/>
      <c r="T30" s="4">
        <v>202</v>
      </c>
      <c r="U30" s="4"/>
      <c r="V30" s="12">
        <f>IF(T$12=0,0,T30/T$12)</f>
        <v>0.16356275303643725</v>
      </c>
      <c r="W30" s="4"/>
      <c r="X30" s="4">
        <f>+P30-T30</f>
        <v>-178.17000000000002</v>
      </c>
      <c r="Y30" s="4"/>
      <c r="Z30" s="12">
        <f>IF(T30=0,0,X30/T30)</f>
        <v>-0.88202970297029715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6" t="s">
        <v>4</v>
      </c>
      <c r="C32" s="26"/>
      <c r="D32" s="34">
        <f>+D28-D30</f>
        <v>-3.45</v>
      </c>
      <c r="E32" s="13"/>
      <c r="F32" s="35">
        <f>IF(D$12=0,0,D32/D$12)</f>
        <v>0</v>
      </c>
      <c r="G32" s="13"/>
      <c r="H32" s="34">
        <f>+H28-H30</f>
        <v>130</v>
      </c>
      <c r="I32" s="13"/>
      <c r="J32" s="35">
        <f>IF(H$12=0,0,H32/H$12)</f>
        <v>0.22608695652173913</v>
      </c>
      <c r="K32" s="15"/>
      <c r="L32" s="34">
        <f>D32-H32</f>
        <v>-133.44999999999999</v>
      </c>
      <c r="M32" s="15"/>
      <c r="N32" s="35">
        <f>IF(H32=0,0,L32/H32)</f>
        <v>-1.0265384615384614</v>
      </c>
      <c r="O32" s="25"/>
      <c r="P32" s="34">
        <f>+P28-P30</f>
        <v>17.260000000000005</v>
      </c>
      <c r="Q32" s="13"/>
      <c r="R32" s="35">
        <f>IF(P$12=0,0,P32/P$12)</f>
        <v>0.15690909090909094</v>
      </c>
      <c r="S32" s="13"/>
      <c r="T32" s="34">
        <f>+T28-T30</f>
        <v>306</v>
      </c>
      <c r="U32" s="13"/>
      <c r="V32" s="35">
        <f>IF(T$12=0,0,T32/T$12)</f>
        <v>0.24777327935222673</v>
      </c>
      <c r="W32" s="15"/>
      <c r="X32" s="34">
        <f>P32-T32</f>
        <v>-288.74</v>
      </c>
      <c r="Y32" s="15"/>
      <c r="Z32" s="35">
        <f>IF(T32=0,0,X32/T32)</f>
        <v>-0.94359477124183011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5</v>
      </c>
      <c r="C35" s="26"/>
      <c r="D35" s="30">
        <f>SUM(D32:D34)</f>
        <v>-3.45</v>
      </c>
      <c r="E35" s="13"/>
      <c r="F35" s="32">
        <f>IF(D$12=0,0,D35/D$12)</f>
        <v>0</v>
      </c>
      <c r="G35" s="13"/>
      <c r="H35" s="30">
        <f>SUM(H32:H34)</f>
        <v>130</v>
      </c>
      <c r="I35" s="13"/>
      <c r="J35" s="32">
        <f>IF(H$12=0,0,H35/H$12)</f>
        <v>0.22608695652173913</v>
      </c>
      <c r="K35" s="15"/>
      <c r="L35" s="30">
        <f>+D35-H35</f>
        <v>-133.44999999999999</v>
      </c>
      <c r="M35" s="15"/>
      <c r="N35" s="32">
        <f>IF(H35=0,0,L35/H35)</f>
        <v>-1.0265384615384614</v>
      </c>
      <c r="O35" s="25"/>
      <c r="P35" s="30">
        <f>SUM(P32:P34)</f>
        <v>17.260000000000005</v>
      </c>
      <c r="Q35" s="13"/>
      <c r="R35" s="32">
        <f>IF(P$12=0,0,P35/P$12)</f>
        <v>0.15690909090909094</v>
      </c>
      <c r="S35" s="13"/>
      <c r="T35" s="30">
        <f>SUM(T32:T34)</f>
        <v>306</v>
      </c>
      <c r="U35" s="13"/>
      <c r="V35" s="32">
        <f>IF(T$12=0,0,T35/T$12)</f>
        <v>0.24777327935222673</v>
      </c>
      <c r="W35" s="15"/>
      <c r="X35" s="30">
        <f>+P35-T35</f>
        <v>-288.74</v>
      </c>
      <c r="Y35" s="15"/>
      <c r="Z35" s="32">
        <f>IF(T35=0,0,X35/T35)</f>
        <v>-0.94359477124183011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25">
      <c r="A37" s="9"/>
      <c r="B37" s="60">
        <v>44151.568528356482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8" t="s">
        <v>314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3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195671.71999999997</v>
      </c>
      <c r="E12" s="4"/>
      <c r="F12" s="12"/>
      <c r="G12" s="4"/>
      <c r="H12" s="4">
        <f>SUM(OSRRefH13x_0)</f>
        <v>579588</v>
      </c>
      <c r="I12" s="4"/>
      <c r="J12" s="12"/>
      <c r="K12" s="4"/>
      <c r="L12" s="4">
        <f t="shared" ref="L12:L20" si="0">+D12-H12</f>
        <v>-383916.28</v>
      </c>
      <c r="M12" s="4"/>
      <c r="N12" s="12">
        <f t="shared" ref="N12:N20" si="1">IF(H12=0,0,L12/H12)</f>
        <v>-0.66239514965803303</v>
      </c>
      <c r="O12" s="10"/>
      <c r="P12" s="4">
        <f>SUM(OSRRefP13x_0)</f>
        <v>501554.2</v>
      </c>
      <c r="Q12" s="4"/>
      <c r="R12" s="12"/>
      <c r="S12" s="4"/>
      <c r="T12" s="4">
        <f>SUM(OSRRefT13x_0)</f>
        <v>1211965</v>
      </c>
      <c r="U12" s="4"/>
      <c r="V12" s="12"/>
      <c r="W12" s="4"/>
      <c r="X12" s="4">
        <f t="shared" ref="X12:X20" si="2">+P12-T12</f>
        <v>-710410.8</v>
      </c>
      <c r="Y12" s="4"/>
      <c r="Z12" s="12">
        <f t="shared" ref="Z12:Z20" si="3">IF(T12=0,0,X12/T12)</f>
        <v>-0.58616445194374434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8594</v>
      </c>
      <c r="I13" s="2"/>
      <c r="J13" s="22"/>
      <c r="K13" s="2"/>
      <c r="L13" s="2">
        <f t="shared" si="0"/>
        <v>-8594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19133</v>
      </c>
      <c r="U13" s="2"/>
      <c r="V13" s="22"/>
      <c r="W13" s="2"/>
      <c r="X13" s="2">
        <f t="shared" si="2"/>
        <v>-19133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--6097.26</f>
        <v>6097.26</v>
      </c>
      <c r="E14" s="2"/>
      <c r="F14" s="22"/>
      <c r="G14" s="2"/>
      <c r="H14" s="2"/>
      <c r="I14" s="2"/>
      <c r="J14" s="22"/>
      <c r="K14" s="2"/>
      <c r="L14" s="2">
        <f t="shared" si="0"/>
        <v>6097.26</v>
      </c>
      <c r="M14" s="2"/>
      <c r="N14" s="22">
        <f t="shared" si="1"/>
        <v>0</v>
      </c>
      <c r="O14" s="11"/>
      <c r="P14" s="2">
        <f>--12749.94</f>
        <v>12749.94</v>
      </c>
      <c r="Q14" s="2"/>
      <c r="R14" s="22"/>
      <c r="S14" s="2"/>
      <c r="T14" s="2"/>
      <c r="U14" s="2"/>
      <c r="V14" s="22"/>
      <c r="W14" s="2"/>
      <c r="X14" s="2">
        <f t="shared" si="2"/>
        <v>12749.94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--30231.29</f>
        <v>30231.29</v>
      </c>
      <c r="E15" s="2"/>
      <c r="F15" s="22"/>
      <c r="G15" s="2"/>
      <c r="H15" s="2"/>
      <c r="I15" s="2"/>
      <c r="J15" s="22"/>
      <c r="K15" s="2"/>
      <c r="L15" s="2">
        <f t="shared" si="0"/>
        <v>30231.29</v>
      </c>
      <c r="M15" s="2"/>
      <c r="N15" s="22">
        <f t="shared" si="1"/>
        <v>0</v>
      </c>
      <c r="O15" s="11"/>
      <c r="P15" s="2">
        <f>--30231.29</f>
        <v>30231.29</v>
      </c>
      <c r="Q15" s="2"/>
      <c r="R15" s="22"/>
      <c r="S15" s="2"/>
      <c r="T15" s="2"/>
      <c r="U15" s="2"/>
      <c r="V15" s="22"/>
      <c r="W15" s="2"/>
      <c r="X15" s="2">
        <f t="shared" si="2"/>
        <v>30231.29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"4053", " - ", "TAXABLE SALES-FOOD")</f>
        <v xml:space="preserve">          4053 - TAXABLE SALES-FOOD</v>
      </c>
      <c r="C16" s="11"/>
      <c r="D16" s="2">
        <f t="shared" ref="D16:D18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--402.44</f>
        <v>402.44</v>
      </c>
      <c r="Q16" s="2"/>
      <c r="R16" s="22"/>
      <c r="S16" s="2"/>
      <c r="T16" s="2"/>
      <c r="U16" s="2"/>
      <c r="V16" s="22"/>
      <c r="W16" s="2"/>
      <c r="X16" s="2">
        <f t="shared" si="2"/>
        <v>402.44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--974.91</f>
        <v>974.91</v>
      </c>
      <c r="Q17" s="2"/>
      <c r="R17" s="22"/>
      <c r="S17" s="2"/>
      <c r="T17" s="2"/>
      <c r="U17" s="2"/>
      <c r="V17" s="22"/>
      <c r="W17" s="2"/>
      <c r="X17" s="2">
        <f t="shared" si="2"/>
        <v>974.91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 t="shared" si="4"/>
        <v>0</v>
      </c>
      <c r="E18" s="2"/>
      <c r="F18" s="22"/>
      <c r="G18" s="2"/>
      <c r="H18" s="2">
        <v>570994</v>
      </c>
      <c r="I18" s="2"/>
      <c r="J18" s="22"/>
      <c r="K18" s="2"/>
      <c r="L18" s="2">
        <f t="shared" si="0"/>
        <v>-570994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1192832</v>
      </c>
      <c r="U18" s="2"/>
      <c r="V18" s="22"/>
      <c r="W18" s="2"/>
      <c r="X18" s="2">
        <f t="shared" si="2"/>
        <v>-1192832</v>
      </c>
      <c r="Y18" s="2"/>
      <c r="Z18" s="22">
        <f t="shared" si="3"/>
        <v>-1</v>
      </c>
    </row>
    <row r="19" spans="1:26" s="24" customFormat="1" hidden="1" outlineLevel="1" x14ac:dyDescent="0.25">
      <c r="A19" s="51"/>
      <c r="B19" s="11" t="str">
        <f>CONCATENATE("          ", "4151", " - ", "NON-TAXABLE SALES-FOOD")</f>
        <v xml:space="preserve">          4151 - NON-TAXABLE SALES-FOOD</v>
      </c>
      <c r="C19" s="11"/>
      <c r="D19" s="2">
        <f>--173820.37</f>
        <v>173820.37</v>
      </c>
      <c r="E19" s="2"/>
      <c r="F19" s="22"/>
      <c r="G19" s="2"/>
      <c r="H19" s="2"/>
      <c r="I19" s="2"/>
      <c r="J19" s="22"/>
      <c r="K19" s="2"/>
      <c r="L19" s="2">
        <f t="shared" si="0"/>
        <v>173820.37</v>
      </c>
      <c r="M19" s="2"/>
      <c r="N19" s="22">
        <f t="shared" si="1"/>
        <v>0</v>
      </c>
      <c r="O19" s="11"/>
      <c r="P19" s="2">
        <f>--441429.04</f>
        <v>441429.04</v>
      </c>
      <c r="Q19" s="2"/>
      <c r="R19" s="22"/>
      <c r="S19" s="2"/>
      <c r="T19" s="2"/>
      <c r="U19" s="2"/>
      <c r="V19" s="22"/>
      <c r="W19" s="2"/>
      <c r="X19" s="2">
        <f t="shared" si="2"/>
        <v>441429.04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"4153", " - ", "NON-TAXABLE SALES-FOOD")</f>
        <v xml:space="preserve">          4153 - NON-TAXABLE SALES-FOOD</v>
      </c>
      <c r="C20" s="11"/>
      <c r="D20" s="2">
        <f>-14477.2</f>
        <v>-14477.2</v>
      </c>
      <c r="E20" s="2"/>
      <c r="F20" s="22"/>
      <c r="G20" s="2"/>
      <c r="H20" s="2"/>
      <c r="I20" s="2"/>
      <c r="J20" s="22"/>
      <c r="K20" s="2"/>
      <c r="L20" s="2">
        <f t="shared" si="0"/>
        <v>-14477.2</v>
      </c>
      <c r="M20" s="2"/>
      <c r="N20" s="22">
        <f t="shared" si="1"/>
        <v>0</v>
      </c>
      <c r="O20" s="11"/>
      <c r="P20" s="2">
        <f>--15766.58</f>
        <v>15766.58</v>
      </c>
      <c r="Q20" s="2"/>
      <c r="R20" s="22"/>
      <c r="S20" s="2"/>
      <c r="T20" s="2"/>
      <c r="U20" s="2"/>
      <c r="V20" s="22"/>
      <c r="W20" s="2"/>
      <c r="X20" s="2">
        <f t="shared" si="2"/>
        <v>15766.58</v>
      </c>
      <c r="Y20" s="2"/>
      <c r="Z20" s="22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5" t="s">
        <v>8</v>
      </c>
      <c r="C22" s="10"/>
      <c r="D22" s="4">
        <f>SUM(OSRRefD16x_0)</f>
        <v>79382</v>
      </c>
      <c r="E22" s="4"/>
      <c r="F22" s="12">
        <f t="shared" ref="F22:F25" si="5">IF(D$12=0,0,D22/D$12)</f>
        <v>0.40568969292036688</v>
      </c>
      <c r="G22" s="4"/>
      <c r="H22" s="4">
        <f>SUM(OSRRefH16x_0)</f>
        <v>154443</v>
      </c>
      <c r="I22" s="4"/>
      <c r="J22" s="12">
        <f t="shared" ref="J22:J25" si="6">IF(H$12=0,0,H22/H$12)</f>
        <v>0.26647032029648648</v>
      </c>
      <c r="K22" s="4"/>
      <c r="L22" s="4">
        <f t="shared" ref="L22:L25" si="7">+D22-H22</f>
        <v>-75061</v>
      </c>
      <c r="M22" s="4"/>
      <c r="N22" s="12">
        <f t="shared" ref="N22:N25" si="8">IF(H22=0,0,L22/H22)</f>
        <v>-0.48601102024695197</v>
      </c>
      <c r="O22" s="10"/>
      <c r="P22" s="4">
        <f>SUM(OSRRefP16x_0)</f>
        <v>186807.24</v>
      </c>
      <c r="Q22" s="4"/>
      <c r="R22" s="12">
        <f t="shared" ref="R22:R25" si="9">IF(P$12=0,0,P22/P$12)</f>
        <v>0.37245673548342328</v>
      </c>
      <c r="S22" s="4"/>
      <c r="T22" s="4">
        <f>SUM(OSRRefT16x_0)</f>
        <v>339320</v>
      </c>
      <c r="U22" s="4"/>
      <c r="V22" s="12">
        <f t="shared" ref="V22:V25" si="10">IF(T$12=0,0,T22/T$12)</f>
        <v>0.27997508178866554</v>
      </c>
      <c r="W22" s="4"/>
      <c r="X22" s="4">
        <f t="shared" ref="X22:X25" si="11">+P22-T22</f>
        <v>-152512.76</v>
      </c>
      <c r="Y22" s="4"/>
      <c r="Z22" s="12">
        <f t="shared" ref="Z22:Z25" si="12">IF(T22=0,0,X22/T22)</f>
        <v>-0.44946587292231527</v>
      </c>
    </row>
    <row r="23" spans="1:26" s="24" customFormat="1" hidden="1" outlineLevel="1" x14ac:dyDescent="0.25">
      <c r="A23" s="51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22">
        <f t="shared" si="5"/>
        <v>0</v>
      </c>
      <c r="G23" s="2"/>
      <c r="H23" s="2">
        <v>154443</v>
      </c>
      <c r="I23" s="2"/>
      <c r="J23" s="22">
        <f t="shared" si="6"/>
        <v>0.26647032029648648</v>
      </c>
      <c r="K23" s="2"/>
      <c r="L23" s="2">
        <f t="shared" si="7"/>
        <v>-154443</v>
      </c>
      <c r="M23" s="2"/>
      <c r="N23" s="22">
        <f t="shared" si="8"/>
        <v>-1</v>
      </c>
      <c r="O23" s="11"/>
      <c r="P23" s="2"/>
      <c r="Q23" s="2"/>
      <c r="R23" s="22">
        <f t="shared" si="9"/>
        <v>0</v>
      </c>
      <c r="S23" s="2"/>
      <c r="T23" s="2">
        <v>339320</v>
      </c>
      <c r="U23" s="2"/>
      <c r="V23" s="22">
        <f t="shared" si="10"/>
        <v>0.27997508178866554</v>
      </c>
      <c r="W23" s="2"/>
      <c r="X23" s="2">
        <f t="shared" si="11"/>
        <v>-339320</v>
      </c>
      <c r="Y23" s="2"/>
      <c r="Z23" s="22">
        <f t="shared" si="12"/>
        <v>-1</v>
      </c>
    </row>
    <row r="24" spans="1:26" s="24" customFormat="1" hidden="1" outlineLevel="1" x14ac:dyDescent="0.25">
      <c r="A24" s="51"/>
      <c r="B24" s="11" t="str">
        <f>CONCATENATE("          ", "5053", " - ", "PURCHASES @ COST-FOOD")</f>
        <v xml:space="preserve">          5053 - PURCHASES @ COST-FOOD</v>
      </c>
      <c r="C24" s="11"/>
      <c r="D24" s="2">
        <v>65171.100000000006</v>
      </c>
      <c r="E24" s="2"/>
      <c r="F24" s="22">
        <f t="shared" si="5"/>
        <v>0.33306345955358296</v>
      </c>
      <c r="G24" s="2"/>
      <c r="H24" s="2"/>
      <c r="I24" s="2"/>
      <c r="J24" s="22">
        <f t="shared" si="6"/>
        <v>0</v>
      </c>
      <c r="K24" s="2"/>
      <c r="L24" s="2">
        <f t="shared" si="7"/>
        <v>65171.100000000006</v>
      </c>
      <c r="M24" s="2"/>
      <c r="N24" s="22">
        <f t="shared" si="8"/>
        <v>0</v>
      </c>
      <c r="O24" s="11"/>
      <c r="P24" s="2">
        <v>195536.86</v>
      </c>
      <c r="Q24" s="2"/>
      <c r="R24" s="22">
        <f t="shared" si="9"/>
        <v>0.38986187335286993</v>
      </c>
      <c r="S24" s="2"/>
      <c r="T24" s="2"/>
      <c r="U24" s="2"/>
      <c r="V24" s="22">
        <f t="shared" si="10"/>
        <v>0</v>
      </c>
      <c r="W24" s="2"/>
      <c r="X24" s="2">
        <f t="shared" si="11"/>
        <v>195536.86</v>
      </c>
      <c r="Y24" s="2"/>
      <c r="Z24" s="22">
        <f t="shared" si="12"/>
        <v>0</v>
      </c>
    </row>
    <row r="25" spans="1:26" s="24" customFormat="1" hidden="1" outlineLevel="1" x14ac:dyDescent="0.25">
      <c r="A25" s="51"/>
      <c r="B25" s="11" t="str">
        <f>CONCATENATE("          ", "5059", " - ", "PURCHASES @ COST-FOOD")</f>
        <v xml:space="preserve">          5059 - PURCHASES @ COST-FOOD</v>
      </c>
      <c r="C25" s="11"/>
      <c r="D25" s="2">
        <v>14210.9</v>
      </c>
      <c r="E25" s="2"/>
      <c r="F25" s="22">
        <f t="shared" si="5"/>
        <v>7.2626233366783921E-2</v>
      </c>
      <c r="G25" s="2"/>
      <c r="H25" s="2"/>
      <c r="I25" s="2"/>
      <c r="J25" s="22">
        <f t="shared" si="6"/>
        <v>0</v>
      </c>
      <c r="K25" s="2"/>
      <c r="L25" s="2">
        <f t="shared" si="7"/>
        <v>14210.9</v>
      </c>
      <c r="M25" s="2"/>
      <c r="N25" s="22">
        <f t="shared" si="8"/>
        <v>0</v>
      </c>
      <c r="O25" s="11"/>
      <c r="P25" s="2">
        <v>-8729.6200000000008</v>
      </c>
      <c r="Q25" s="2"/>
      <c r="R25" s="22">
        <f t="shared" si="9"/>
        <v>-1.7405137869446613E-2</v>
      </c>
      <c r="S25" s="2"/>
      <c r="T25" s="2"/>
      <c r="U25" s="2"/>
      <c r="V25" s="22">
        <f t="shared" si="10"/>
        <v>0</v>
      </c>
      <c r="W25" s="2"/>
      <c r="X25" s="2">
        <f t="shared" si="11"/>
        <v>-8729.6200000000008</v>
      </c>
      <c r="Y25" s="2"/>
      <c r="Z25" s="22">
        <f t="shared" si="12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6</v>
      </c>
      <c r="C27" s="26"/>
      <c r="D27" s="20">
        <f>D12-D22</f>
        <v>116289.71999999997</v>
      </c>
      <c r="E27" s="13"/>
      <c r="F27" s="19">
        <f>IF(D$12=0,0,D27/D$12)</f>
        <v>0.59431030707963306</v>
      </c>
      <c r="G27" s="13"/>
      <c r="H27" s="20">
        <f>H12-H22</f>
        <v>425145</v>
      </c>
      <c r="I27" s="13"/>
      <c r="J27" s="19">
        <f>IF(H$12=0,0,H27/H$12)</f>
        <v>0.73352967970351357</v>
      </c>
      <c r="K27" s="15"/>
      <c r="L27" s="20">
        <f>+D27-H27</f>
        <v>-308855.28000000003</v>
      </c>
      <c r="M27" s="15"/>
      <c r="N27" s="19">
        <f>IF(H27=0,0,L27/H27)</f>
        <v>-0.72647045125780618</v>
      </c>
      <c r="O27" s="25"/>
      <c r="P27" s="20">
        <f>P12-P22</f>
        <v>314746.96000000002</v>
      </c>
      <c r="Q27" s="13"/>
      <c r="R27" s="19">
        <f>IF(P$12=0,0,P27/P$12)</f>
        <v>0.62754326451657672</v>
      </c>
      <c r="S27" s="13"/>
      <c r="T27" s="20">
        <f>T12-T22</f>
        <v>872645</v>
      </c>
      <c r="U27" s="13"/>
      <c r="V27" s="19">
        <f>IF(T$12=0,0,T27/T$12)</f>
        <v>0.72002491821133452</v>
      </c>
      <c r="W27" s="15"/>
      <c r="X27" s="20">
        <f>+P27-T27</f>
        <v>-557898.04</v>
      </c>
      <c r="Y27" s="15"/>
      <c r="Z27" s="19">
        <f>IF(T27=0,0,X27/T27)</f>
        <v>-0.63931843991542958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9</v>
      </c>
      <c r="C29" s="10"/>
      <c r="D29" s="21">
        <f>SUM(OSRRefD22x_0)</f>
        <v>405482.77999999997</v>
      </c>
      <c r="E29" s="21"/>
      <c r="F29" s="31">
        <f t="shared" ref="F29:F40" si="13">IF(D$12=0,0,D29/D$12)</f>
        <v>2.0722605187913716</v>
      </c>
      <c r="G29" s="21"/>
      <c r="H29" s="21">
        <f>SUM(OSRRefH22x_0)</f>
        <v>552968.00762754865</v>
      </c>
      <c r="I29" s="21"/>
      <c r="J29" s="31">
        <f t="shared" ref="J29:J40" si="14">IF(H$12=0,0,H29/H$12)</f>
        <v>0.95407083588264185</v>
      </c>
      <c r="K29" s="4"/>
      <c r="L29" s="21">
        <f t="shared" ref="L29:L40" si="15">+D29-H29</f>
        <v>-147485.22762754868</v>
      </c>
      <c r="M29" s="4"/>
      <c r="N29" s="31">
        <f t="shared" ref="N29:N40" si="16">IF(H29=0,0,L29/H29)</f>
        <v>-0.26671566093003934</v>
      </c>
      <c r="O29" s="10"/>
      <c r="P29" s="21">
        <f>SUM(OSRRefP22x_0)</f>
        <v>1361191.47</v>
      </c>
      <c r="Q29" s="21"/>
      <c r="R29" s="31">
        <f t="shared" ref="R29:R40" si="17">IF(P$12=0,0,P29/P$12)</f>
        <v>2.7139469074329354</v>
      </c>
      <c r="S29" s="21"/>
      <c r="T29" s="21">
        <f>SUM(OSRRefT22x_0)</f>
        <v>1838988.8686322584</v>
      </c>
      <c r="U29" s="21"/>
      <c r="V29" s="31">
        <f t="shared" ref="V29:V40" si="18">IF(T$12=0,0,T29/T$12)</f>
        <v>1.5173613665677297</v>
      </c>
      <c r="W29" s="4"/>
      <c r="X29" s="21">
        <f t="shared" ref="X29:X40" si="19">+P29-T29</f>
        <v>-477797.39863225841</v>
      </c>
      <c r="Y29" s="4"/>
      <c r="Z29" s="31">
        <f t="shared" ref="Z29:Z40" si="20">IF(T29=0,0,X29/T29)</f>
        <v>-0.25981527500360485</v>
      </c>
    </row>
    <row r="30" spans="1:26" s="27" customFormat="1" outlineLevel="1" collapsed="1" x14ac:dyDescent="0.25">
      <c r="A30" s="29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109909.59</v>
      </c>
      <c r="E30" s="1"/>
      <c r="F30" s="5">
        <f t="shared" si="13"/>
        <v>0.56170401118771796</v>
      </c>
      <c r="G30" s="1"/>
      <c r="H30" s="1">
        <f>SUM(OSRRefH22_0x_0)</f>
        <v>132673.13508075377</v>
      </c>
      <c r="I30" s="1"/>
      <c r="J30" s="5">
        <f t="shared" si="14"/>
        <v>0.22890938922260945</v>
      </c>
      <c r="K30" s="1"/>
      <c r="L30" s="1">
        <f t="shared" si="15"/>
        <v>-22763.545080753771</v>
      </c>
      <c r="M30" s="1"/>
      <c r="N30" s="5">
        <f t="shared" si="16"/>
        <v>-0.17157614513969502</v>
      </c>
      <c r="O30" s="14"/>
      <c r="P30" s="1">
        <f>SUM(OSRRefP22_0x_0)</f>
        <v>398867.56</v>
      </c>
      <c r="Q30" s="1"/>
      <c r="R30" s="5">
        <f t="shared" si="17"/>
        <v>0.79526312410503186</v>
      </c>
      <c r="S30" s="1"/>
      <c r="T30" s="1">
        <f>SUM(OSRRefT22_0x_0)</f>
        <v>481011.8218654638</v>
      </c>
      <c r="U30" s="1"/>
      <c r="V30" s="5">
        <f t="shared" si="18"/>
        <v>0.39688590170959048</v>
      </c>
      <c r="W30" s="1"/>
      <c r="X30" s="1">
        <f t="shared" si="19"/>
        <v>-82144.261865463806</v>
      </c>
      <c r="Y30" s="1"/>
      <c r="Z30" s="5">
        <f t="shared" si="20"/>
        <v>-0.17077389396978079</v>
      </c>
    </row>
    <row r="31" spans="1:26" s="24" customFormat="1" hidden="1" outlineLevel="2" x14ac:dyDescent="0.25">
      <c r="A31" s="28"/>
      <c r="B31" s="11" t="str">
        <f>CONCATENATE("          ", "6111", " - ", "F.I.C.A.")</f>
        <v xml:space="preserve">          6111 - F.I.C.A.</v>
      </c>
      <c r="C31" s="11"/>
      <c r="D31" s="7">
        <v>17524.48</v>
      </c>
      <c r="E31" s="2"/>
      <c r="F31" s="6">
        <f t="shared" si="13"/>
        <v>8.9560617139768595E-2</v>
      </c>
      <c r="G31" s="2"/>
      <c r="H31" s="7">
        <v>14401.885088157689</v>
      </c>
      <c r="I31" s="2"/>
      <c r="J31" s="6">
        <f t="shared" si="14"/>
        <v>2.4848487353357367E-2</v>
      </c>
      <c r="K31" s="2"/>
      <c r="L31" s="7">
        <f t="shared" si="15"/>
        <v>3122.5949118423105</v>
      </c>
      <c r="M31" s="2"/>
      <c r="N31" s="6">
        <f t="shared" si="16"/>
        <v>0.21681848540854853</v>
      </c>
      <c r="O31" s="11"/>
      <c r="P31" s="7">
        <v>46530.55</v>
      </c>
      <c r="Q31" s="2"/>
      <c r="R31" s="6">
        <f t="shared" si="17"/>
        <v>9.2772725260799341E-2</v>
      </c>
      <c r="S31" s="2"/>
      <c r="T31" s="7">
        <v>51656.609267367683</v>
      </c>
      <c r="U31" s="2"/>
      <c r="V31" s="6">
        <f t="shared" si="18"/>
        <v>4.2622195581033848E-2</v>
      </c>
      <c r="W31" s="2"/>
      <c r="X31" s="7">
        <f t="shared" si="19"/>
        <v>-5126.0592673676801</v>
      </c>
      <c r="Y31" s="2"/>
      <c r="Z31" s="6">
        <f t="shared" si="20"/>
        <v>-9.9233367038008335E-2</v>
      </c>
    </row>
    <row r="32" spans="1:26" s="24" customFormat="1" hidden="1" outlineLevel="2" x14ac:dyDescent="0.25">
      <c r="A32" s="28"/>
      <c r="B32" s="11" t="str">
        <f>CONCATENATE("          ", "6112", " - ", "COMPENSATION INSURANCE")</f>
        <v xml:space="preserve">          6112 - COMPENSATION INSURANCE</v>
      </c>
      <c r="C32" s="11"/>
      <c r="D32" s="7">
        <v>5487.9</v>
      </c>
      <c r="E32" s="2"/>
      <c r="F32" s="6">
        <f t="shared" si="13"/>
        <v>2.8046464762511415E-2</v>
      </c>
      <c r="G32" s="2"/>
      <c r="H32" s="7">
        <v>10054.027074173076</v>
      </c>
      <c r="I32" s="2"/>
      <c r="J32" s="6">
        <f t="shared" si="14"/>
        <v>1.7346851684598503E-2</v>
      </c>
      <c r="K32" s="2"/>
      <c r="L32" s="7">
        <f t="shared" si="15"/>
        <v>-4566.1270741730768</v>
      </c>
      <c r="M32" s="2"/>
      <c r="N32" s="6">
        <f t="shared" si="16"/>
        <v>-0.45415901911609202</v>
      </c>
      <c r="O32" s="11"/>
      <c r="P32" s="7">
        <v>20204.73</v>
      </c>
      <c r="Q32" s="2"/>
      <c r="R32" s="6">
        <f t="shared" si="17"/>
        <v>4.0284240466932582E-2</v>
      </c>
      <c r="S32" s="2"/>
      <c r="T32" s="7">
        <v>32003.771263073078</v>
      </c>
      <c r="U32" s="2"/>
      <c r="V32" s="6">
        <f t="shared" si="18"/>
        <v>2.6406514431582661E-2</v>
      </c>
      <c r="W32" s="2"/>
      <c r="X32" s="7">
        <f t="shared" si="19"/>
        <v>-11799.041263073079</v>
      </c>
      <c r="Y32" s="2"/>
      <c r="Z32" s="6">
        <f t="shared" si="20"/>
        <v>-0.3686765902082037</v>
      </c>
    </row>
    <row r="33" spans="1:26" s="24" customFormat="1" hidden="1" outlineLevel="2" x14ac:dyDescent="0.25">
      <c r="A33" s="28"/>
      <c r="B33" s="11" t="str">
        <f>CONCATENATE("          ", "6113", " - ", "GROUP INSURANCE")</f>
        <v xml:space="preserve">          6113 - GROUP INSURANCE</v>
      </c>
      <c r="C33" s="11"/>
      <c r="D33" s="7">
        <v>54369.270000000004</v>
      </c>
      <c r="E33" s="2"/>
      <c r="F33" s="6">
        <f t="shared" si="13"/>
        <v>0.2778596212063757</v>
      </c>
      <c r="G33" s="2"/>
      <c r="H33" s="7">
        <v>77729.230769230693</v>
      </c>
      <c r="I33" s="2"/>
      <c r="J33" s="6">
        <f t="shared" si="14"/>
        <v>0.13411118030261271</v>
      </c>
      <c r="K33" s="2"/>
      <c r="L33" s="7">
        <f t="shared" si="15"/>
        <v>-23359.960769230689</v>
      </c>
      <c r="M33" s="2"/>
      <c r="N33" s="6">
        <f t="shared" si="16"/>
        <v>-0.30052993626791152</v>
      </c>
      <c r="O33" s="11"/>
      <c r="P33" s="7">
        <v>219785.22</v>
      </c>
      <c r="Q33" s="2"/>
      <c r="R33" s="6">
        <f t="shared" si="17"/>
        <v>0.43820831327900356</v>
      </c>
      <c r="S33" s="2"/>
      <c r="T33" s="7">
        <v>289169.23076923069</v>
      </c>
      <c r="U33" s="2"/>
      <c r="V33" s="6">
        <f t="shared" si="18"/>
        <v>0.2385953643621975</v>
      </c>
      <c r="W33" s="2"/>
      <c r="X33" s="7">
        <f t="shared" si="19"/>
        <v>-69384.010769230692</v>
      </c>
      <c r="Y33" s="2"/>
      <c r="Z33" s="6">
        <f t="shared" si="20"/>
        <v>-0.2399425782081292</v>
      </c>
    </row>
    <row r="34" spans="1:26" s="24" customFormat="1" hidden="1" outlineLevel="2" x14ac:dyDescent="0.25">
      <c r="A34" s="28"/>
      <c r="B34" s="11" t="str">
        <f>CONCATENATE("          ", "6114", " - ", "STATE UNEMPLOYMENT INSURANCE")</f>
        <v xml:space="preserve">          6114 - STATE UNEMPLOYMENT INSURANCE</v>
      </c>
      <c r="C34" s="11"/>
      <c r="D34" s="7">
        <v>373.89</v>
      </c>
      <c r="E34" s="2"/>
      <c r="F34" s="6">
        <f t="shared" si="13"/>
        <v>1.9108024399233576E-3</v>
      </c>
      <c r="G34" s="2"/>
      <c r="H34" s="7">
        <v>642.5426665</v>
      </c>
      <c r="I34" s="2"/>
      <c r="J34" s="6">
        <f t="shared" si="14"/>
        <v>1.1086196858803149E-3</v>
      </c>
      <c r="K34" s="2"/>
      <c r="L34" s="7">
        <f t="shared" si="15"/>
        <v>-268.65266650000001</v>
      </c>
      <c r="M34" s="2"/>
      <c r="N34" s="6">
        <f t="shared" si="16"/>
        <v>-0.41810868056961942</v>
      </c>
      <c r="O34" s="11"/>
      <c r="P34" s="7">
        <v>1482.88</v>
      </c>
      <c r="Q34" s="2"/>
      <c r="R34" s="6">
        <f t="shared" si="17"/>
        <v>2.9565697984385336E-3</v>
      </c>
      <c r="S34" s="2"/>
      <c r="T34" s="7">
        <v>2059.1701931000002</v>
      </c>
      <c r="U34" s="2"/>
      <c r="V34" s="6">
        <f t="shared" si="18"/>
        <v>1.6990343723622384E-3</v>
      </c>
      <c r="W34" s="2"/>
      <c r="X34" s="7">
        <f t="shared" si="19"/>
        <v>-576.29019310000012</v>
      </c>
      <c r="Y34" s="2"/>
      <c r="Z34" s="6">
        <f t="shared" si="20"/>
        <v>-0.27986525593225386</v>
      </c>
    </row>
    <row r="35" spans="1:26" s="24" customFormat="1" hidden="1" outlineLevel="2" x14ac:dyDescent="0.25">
      <c r="A35" s="28"/>
      <c r="B35" s="11" t="str">
        <f>CONCATENATE("          ", "6115", " - ", "P.E.R.S.")</f>
        <v xml:space="preserve">          6115 - P.E.R.S.</v>
      </c>
      <c r="C35" s="11"/>
      <c r="D35" s="7">
        <v>6014.35</v>
      </c>
      <c r="E35" s="2"/>
      <c r="F35" s="6">
        <f t="shared" si="13"/>
        <v>3.07369404224586E-2</v>
      </c>
      <c r="G35" s="2"/>
      <c r="H35" s="7">
        <v>7486.5938884615507</v>
      </c>
      <c r="I35" s="2"/>
      <c r="J35" s="6">
        <f t="shared" si="14"/>
        <v>1.2917096089742284E-2</v>
      </c>
      <c r="K35" s="2"/>
      <c r="L35" s="7">
        <f t="shared" si="15"/>
        <v>-1472.2438884615503</v>
      </c>
      <c r="M35" s="2"/>
      <c r="N35" s="6">
        <f t="shared" si="16"/>
        <v>-0.19665069461435519</v>
      </c>
      <c r="O35" s="11"/>
      <c r="P35" s="7">
        <v>28707.969999999998</v>
      </c>
      <c r="Q35" s="2"/>
      <c r="R35" s="6">
        <f t="shared" si="17"/>
        <v>5.7238021334483885E-2</v>
      </c>
      <c r="S35" s="2"/>
      <c r="T35" s="7">
        <v>26951.737998461576</v>
      </c>
      <c r="U35" s="2"/>
      <c r="V35" s="6">
        <f t="shared" si="18"/>
        <v>2.2238049777395862E-2</v>
      </c>
      <c r="W35" s="2"/>
      <c r="X35" s="7">
        <f t="shared" si="19"/>
        <v>1756.2320015384212</v>
      </c>
      <c r="Y35" s="2"/>
      <c r="Z35" s="6">
        <f t="shared" si="20"/>
        <v>6.5162105747639282E-2</v>
      </c>
    </row>
    <row r="36" spans="1:26" s="24" customFormat="1" hidden="1" outlineLevel="2" x14ac:dyDescent="0.25">
      <c r="A36" s="28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13"/>
        <v>0</v>
      </c>
      <c r="G36" s="2"/>
      <c r="H36" s="7">
        <v>0</v>
      </c>
      <c r="I36" s="2"/>
      <c r="J36" s="6">
        <f t="shared" si="14"/>
        <v>0</v>
      </c>
      <c r="K36" s="2"/>
      <c r="L36" s="7">
        <f t="shared" si="15"/>
        <v>0</v>
      </c>
      <c r="M36" s="2"/>
      <c r="N36" s="6">
        <f t="shared" si="16"/>
        <v>0</v>
      </c>
      <c r="O36" s="11"/>
      <c r="P36" s="7"/>
      <c r="Q36" s="2"/>
      <c r="R36" s="6">
        <f t="shared" si="17"/>
        <v>0</v>
      </c>
      <c r="S36" s="2"/>
      <c r="T36" s="7">
        <v>0</v>
      </c>
      <c r="U36" s="2"/>
      <c r="V36" s="6">
        <f t="shared" si="18"/>
        <v>0</v>
      </c>
      <c r="W36" s="2"/>
      <c r="X36" s="7">
        <f t="shared" si="19"/>
        <v>0</v>
      </c>
      <c r="Y36" s="2"/>
      <c r="Z36" s="6">
        <f t="shared" si="20"/>
        <v>0</v>
      </c>
    </row>
    <row r="37" spans="1:26" s="24" customFormat="1" hidden="1" outlineLevel="2" x14ac:dyDescent="0.25">
      <c r="A37" s="28"/>
      <c r="B37" s="11" t="str">
        <f>CONCATENATE("          ", "6117", " - ", "RETIREMENT STAFF HOURLY")</f>
        <v xml:space="preserve">          6117 - RETIREMENT STAFF HOURLY</v>
      </c>
      <c r="C37" s="11"/>
      <c r="D37" s="7">
        <v>1396.69</v>
      </c>
      <c r="E37" s="2"/>
      <c r="F37" s="6">
        <f t="shared" si="13"/>
        <v>7.1379246832398687E-3</v>
      </c>
      <c r="G37" s="2"/>
      <c r="H37" s="7"/>
      <c r="I37" s="2"/>
      <c r="J37" s="6">
        <f t="shared" si="14"/>
        <v>0</v>
      </c>
      <c r="K37" s="2"/>
      <c r="L37" s="7">
        <f t="shared" si="15"/>
        <v>1396.69</v>
      </c>
      <c r="M37" s="2"/>
      <c r="N37" s="6">
        <f t="shared" si="16"/>
        <v>0</v>
      </c>
      <c r="O37" s="11"/>
      <c r="P37" s="7">
        <v>6266.31</v>
      </c>
      <c r="Q37" s="2"/>
      <c r="R37" s="6">
        <f t="shared" si="17"/>
        <v>1.2493784320817172E-2</v>
      </c>
      <c r="S37" s="2"/>
      <c r="T37" s="7"/>
      <c r="U37" s="2"/>
      <c r="V37" s="6">
        <f t="shared" si="18"/>
        <v>0</v>
      </c>
      <c r="W37" s="2"/>
      <c r="X37" s="7">
        <f t="shared" si="19"/>
        <v>6266.31</v>
      </c>
      <c r="Y37" s="2"/>
      <c r="Z37" s="6">
        <f t="shared" si="20"/>
        <v>0</v>
      </c>
    </row>
    <row r="38" spans="1:26" s="24" customFormat="1" hidden="1" outlineLevel="2" x14ac:dyDescent="0.25">
      <c r="A38" s="28"/>
      <c r="B38" s="11" t="str">
        <f>CONCATENATE("          ", "6118", " - ", "VACATION")</f>
        <v xml:space="preserve">          6118 - VACATION</v>
      </c>
      <c r="C38" s="11"/>
      <c r="D38" s="7">
        <v>12908.82</v>
      </c>
      <c r="E38" s="2"/>
      <c r="F38" s="6">
        <f t="shared" si="13"/>
        <v>6.5971822601651381E-2</v>
      </c>
      <c r="G38" s="2"/>
      <c r="H38" s="7">
        <v>10350.299942307689</v>
      </c>
      <c r="I38" s="2"/>
      <c r="J38" s="6">
        <f t="shared" si="14"/>
        <v>1.7858030087420183E-2</v>
      </c>
      <c r="K38" s="2"/>
      <c r="L38" s="7">
        <f t="shared" si="15"/>
        <v>2558.5200576923107</v>
      </c>
      <c r="M38" s="2"/>
      <c r="N38" s="6">
        <f t="shared" si="16"/>
        <v>0.24719284194211152</v>
      </c>
      <c r="O38" s="11"/>
      <c r="P38" s="7">
        <v>38330.199999999997</v>
      </c>
      <c r="Q38" s="2"/>
      <c r="R38" s="6">
        <f t="shared" si="17"/>
        <v>7.6422847221696066E-2</v>
      </c>
      <c r="S38" s="2"/>
      <c r="T38" s="7">
        <v>37261.079792307697</v>
      </c>
      <c r="U38" s="2"/>
      <c r="V38" s="6">
        <f t="shared" si="18"/>
        <v>3.0744353007147646E-2</v>
      </c>
      <c r="W38" s="2"/>
      <c r="X38" s="7">
        <f t="shared" si="19"/>
        <v>1069.1202076923</v>
      </c>
      <c r="Y38" s="2"/>
      <c r="Z38" s="6">
        <f t="shared" si="20"/>
        <v>2.8692679161515144E-2</v>
      </c>
    </row>
    <row r="39" spans="1:26" s="24" customFormat="1" hidden="1" outlineLevel="2" x14ac:dyDescent="0.25">
      <c r="A39" s="28"/>
      <c r="B39" s="11" t="str">
        <f>CONCATENATE("          ", "6119", " - ", "SICK LEAVE")</f>
        <v xml:space="preserve">          6119 - SICK LEAVE</v>
      </c>
      <c r="C39" s="11"/>
      <c r="D39" s="7">
        <v>8065.14</v>
      </c>
      <c r="E39" s="2"/>
      <c r="F39" s="6">
        <f t="shared" si="13"/>
        <v>4.1217708925950065E-2</v>
      </c>
      <c r="G39" s="2"/>
      <c r="H39" s="7">
        <v>7983.5556519230704</v>
      </c>
      <c r="I39" s="2"/>
      <c r="J39" s="6">
        <f t="shared" si="14"/>
        <v>1.3774535794259147E-2</v>
      </c>
      <c r="K39" s="2"/>
      <c r="L39" s="7">
        <f t="shared" si="15"/>
        <v>81.584348076929928</v>
      </c>
      <c r="M39" s="2"/>
      <c r="N39" s="6">
        <f t="shared" si="16"/>
        <v>1.0219049209894087E-2</v>
      </c>
      <c r="O39" s="11"/>
      <c r="P39" s="7">
        <v>24872.030000000002</v>
      </c>
      <c r="Q39" s="2"/>
      <c r="R39" s="6">
        <f t="shared" si="17"/>
        <v>4.958991470911818E-2</v>
      </c>
      <c r="S39" s="2"/>
      <c r="T39" s="7">
        <v>25810.222581923059</v>
      </c>
      <c r="U39" s="2"/>
      <c r="V39" s="6">
        <f t="shared" si="18"/>
        <v>2.1296178175048832E-2</v>
      </c>
      <c r="W39" s="2"/>
      <c r="X39" s="7">
        <f t="shared" si="19"/>
        <v>-938.19258192305642</v>
      </c>
      <c r="Y39" s="2"/>
      <c r="Z39" s="6">
        <f t="shared" si="20"/>
        <v>-3.6349650954972661E-2</v>
      </c>
    </row>
    <row r="40" spans="1:26" s="24" customFormat="1" hidden="1" outlineLevel="2" x14ac:dyDescent="0.25">
      <c r="A40" s="28"/>
      <c r="B40" s="11" t="str">
        <f>CONCATENATE("          ", "6156", " - ", "EMPLOYEE MEALS")</f>
        <v xml:space="preserve">          6156 - EMPLOYEE MEALS</v>
      </c>
      <c r="C40" s="11"/>
      <c r="D40" s="7">
        <v>3769.05</v>
      </c>
      <c r="E40" s="2"/>
      <c r="F40" s="6">
        <f t="shared" si="13"/>
        <v>1.9262109005838968E-2</v>
      </c>
      <c r="G40" s="2"/>
      <c r="H40" s="7">
        <v>4025</v>
      </c>
      <c r="I40" s="2"/>
      <c r="J40" s="6">
        <f t="shared" si="14"/>
        <v>6.9445882247389521E-3</v>
      </c>
      <c r="K40" s="2"/>
      <c r="L40" s="7">
        <f t="shared" si="15"/>
        <v>-255.94999999999982</v>
      </c>
      <c r="M40" s="2"/>
      <c r="N40" s="6">
        <f t="shared" si="16"/>
        <v>-6.3590062111801196E-2</v>
      </c>
      <c r="O40" s="11"/>
      <c r="P40" s="7">
        <v>12687.67</v>
      </c>
      <c r="Q40" s="2"/>
      <c r="R40" s="6">
        <f t="shared" si="17"/>
        <v>2.5296707713742601E-2</v>
      </c>
      <c r="S40" s="2"/>
      <c r="T40" s="7">
        <v>16100</v>
      </c>
      <c r="U40" s="2"/>
      <c r="V40" s="6">
        <f t="shared" si="18"/>
        <v>1.3284212002821864E-2</v>
      </c>
      <c r="W40" s="2"/>
      <c r="X40" s="7">
        <f t="shared" si="19"/>
        <v>-3412.33</v>
      </c>
      <c r="Y40" s="2"/>
      <c r="Z40" s="6">
        <f t="shared" si="20"/>
        <v>-0.21194596273291924</v>
      </c>
    </row>
    <row r="41" spans="1:26" s="27" customFormat="1" outlineLevel="1" collapsed="1" x14ac:dyDescent="0.25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175455.66999999995</v>
      </c>
      <c r="E41" s="1"/>
      <c r="F41" s="5">
        <f t="shared" ref="F41:F51" si="21">IF(D$12=0,0,D41/D$12)</f>
        <v>0.89668384373582433</v>
      </c>
      <c r="G41" s="1"/>
      <c r="H41" s="1">
        <f>SUM(OSRRefH22_1x_0)</f>
        <v>229635.53921346148</v>
      </c>
      <c r="I41" s="1"/>
      <c r="J41" s="5">
        <f t="shared" ref="J41:J51" si="22">IF(H$12=0,0,H41/H$12)</f>
        <v>0.3962047854915241</v>
      </c>
      <c r="K41" s="1"/>
      <c r="L41" s="1">
        <f t="shared" ref="L41:L51" si="23">+D41-H41</f>
        <v>-54179.869213461527</v>
      </c>
      <c r="M41" s="1"/>
      <c r="N41" s="5">
        <f t="shared" ref="N41:N51" si="24">IF(H41=0,0,L41/H41)</f>
        <v>-0.23593851979112754</v>
      </c>
      <c r="O41" s="14"/>
      <c r="P41" s="1">
        <f>SUM(OSRRefP22_1x_0)</f>
        <v>567257.19999999995</v>
      </c>
      <c r="Q41" s="1"/>
      <c r="R41" s="5">
        <f t="shared" ref="R41:R51" si="25">IF(P$12=0,0,P41/P$12)</f>
        <v>1.1309988033197607</v>
      </c>
      <c r="S41" s="1"/>
      <c r="T41" s="1">
        <f>SUM(OSRRefT22_1x_0)</f>
        <v>730618.7134334615</v>
      </c>
      <c r="U41" s="1"/>
      <c r="V41" s="5">
        <f t="shared" ref="V41:V51" si="26">IF(T$12=0,0,T41/T$12)</f>
        <v>0.60283812934652525</v>
      </c>
      <c r="W41" s="1"/>
      <c r="X41" s="1">
        <f t="shared" ref="X41:X51" si="27">+P41-T41</f>
        <v>-163361.51343346154</v>
      </c>
      <c r="Y41" s="1"/>
      <c r="Z41" s="5">
        <f t="shared" ref="Z41:Z51" si="28">IF(T41=0,0,X41/T41)</f>
        <v>-0.2235933879461727</v>
      </c>
    </row>
    <row r="42" spans="1:26" s="24" customFormat="1" hidden="1" outlineLevel="2" x14ac:dyDescent="0.25">
      <c r="A42" s="28"/>
      <c r="B42" s="11" t="str">
        <f>CONCATENATE("          ", "6001", " - ", "ADMINISTRATIVE SALARIES")</f>
        <v xml:space="preserve">          6001 - ADMINISTRATIVE SALARIES</v>
      </c>
      <c r="C42" s="11"/>
      <c r="D42" s="7">
        <v>21715.449999999997</v>
      </c>
      <c r="E42" s="2"/>
      <c r="F42" s="6">
        <f t="shared" si="21"/>
        <v>0.11097899072998388</v>
      </c>
      <c r="G42" s="2"/>
      <c r="H42" s="7">
        <v>12452.884615384599</v>
      </c>
      <c r="I42" s="2"/>
      <c r="J42" s="6">
        <f t="shared" si="22"/>
        <v>2.1485753009697576E-2</v>
      </c>
      <c r="K42" s="2"/>
      <c r="L42" s="7">
        <f t="shared" si="23"/>
        <v>9262.5653846153982</v>
      </c>
      <c r="M42" s="2"/>
      <c r="N42" s="6">
        <f t="shared" si="24"/>
        <v>0.74380881785190545</v>
      </c>
      <c r="O42" s="11"/>
      <c r="P42" s="7">
        <v>80596.14</v>
      </c>
      <c r="Q42" s="2"/>
      <c r="R42" s="6">
        <f t="shared" si="25"/>
        <v>0.16069278255470695</v>
      </c>
      <c r="S42" s="2"/>
      <c r="T42" s="7">
        <v>44830.384615384581</v>
      </c>
      <c r="U42" s="2"/>
      <c r="V42" s="6">
        <f t="shared" si="26"/>
        <v>3.698983437259705E-2</v>
      </c>
      <c r="W42" s="2"/>
      <c r="X42" s="7">
        <f t="shared" si="27"/>
        <v>35765.755384615419</v>
      </c>
      <c r="Y42" s="2"/>
      <c r="Z42" s="6">
        <f t="shared" si="28"/>
        <v>0.79780166267727215</v>
      </c>
    </row>
    <row r="43" spans="1:26" s="24" customFormat="1" hidden="1" outlineLevel="2" x14ac:dyDescent="0.25">
      <c r="A43" s="28"/>
      <c r="B43" s="11" t="str">
        <f>CONCATENATE("          ", "6002", " - ", "STAFF SALARIES")</f>
        <v xml:space="preserve">          6002 - STAFF SALARIES</v>
      </c>
      <c r="C43" s="11"/>
      <c r="D43" s="7">
        <v>48280</v>
      </c>
      <c r="E43" s="2"/>
      <c r="F43" s="6">
        <f t="shared" si="21"/>
        <v>0.24673979459065423</v>
      </c>
      <c r="G43" s="2"/>
      <c r="H43" s="7">
        <v>66034.304423076901</v>
      </c>
      <c r="I43" s="2"/>
      <c r="J43" s="6">
        <f t="shared" si="22"/>
        <v>0.11393318085101296</v>
      </c>
      <c r="K43" s="2"/>
      <c r="L43" s="7">
        <f t="shared" si="23"/>
        <v>-17754.304423076901</v>
      </c>
      <c r="M43" s="2"/>
      <c r="N43" s="6">
        <f t="shared" si="24"/>
        <v>-0.26886486619630889</v>
      </c>
      <c r="O43" s="11"/>
      <c r="P43" s="7">
        <v>189094.45</v>
      </c>
      <c r="Q43" s="2"/>
      <c r="R43" s="6">
        <f t="shared" si="25"/>
        <v>0.37701698041806847</v>
      </c>
      <c r="S43" s="2"/>
      <c r="T43" s="7">
        <v>237723.49592307687</v>
      </c>
      <c r="U43" s="2"/>
      <c r="V43" s="6">
        <f t="shared" si="26"/>
        <v>0.19614716260211876</v>
      </c>
      <c r="W43" s="2"/>
      <c r="X43" s="7">
        <f t="shared" si="27"/>
        <v>-48629.045923076861</v>
      </c>
      <c r="Y43" s="2"/>
      <c r="Z43" s="6">
        <f t="shared" si="28"/>
        <v>-0.20456137805920691</v>
      </c>
    </row>
    <row r="44" spans="1:26" s="24" customFormat="1" hidden="1" outlineLevel="2" x14ac:dyDescent="0.25">
      <c r="A44" s="28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8"/>
      <c r="B45" s="11" t="str">
        <f>CONCATENATE("          ", "6004", " - ", "STAFF HOURLY")</f>
        <v xml:space="preserve">          6004 - STAFF HOURLY</v>
      </c>
      <c r="C45" s="11"/>
      <c r="D45" s="7">
        <v>72343.87999999999</v>
      </c>
      <c r="E45" s="2"/>
      <c r="F45" s="6">
        <f t="shared" si="21"/>
        <v>0.36972067297205746</v>
      </c>
      <c r="G45" s="2"/>
      <c r="H45" s="7">
        <v>93551.062399999995</v>
      </c>
      <c r="I45" s="2"/>
      <c r="J45" s="6">
        <f t="shared" si="22"/>
        <v>0.16140959164095875</v>
      </c>
      <c r="K45" s="2"/>
      <c r="L45" s="7">
        <f t="shared" si="23"/>
        <v>-21207.182400000005</v>
      </c>
      <c r="M45" s="2"/>
      <c r="N45" s="6">
        <f t="shared" si="24"/>
        <v>-0.2266909841100854</v>
      </c>
      <c r="O45" s="11"/>
      <c r="P45" s="7">
        <v>206694.99</v>
      </c>
      <c r="Q45" s="2"/>
      <c r="R45" s="6">
        <f t="shared" si="25"/>
        <v>0.41210898044518418</v>
      </c>
      <c r="S45" s="2"/>
      <c r="T45" s="7">
        <v>317487.82464000001</v>
      </c>
      <c r="U45" s="2"/>
      <c r="V45" s="6">
        <f t="shared" si="26"/>
        <v>0.26196121557965785</v>
      </c>
      <c r="W45" s="2"/>
      <c r="X45" s="7">
        <f t="shared" si="27"/>
        <v>-110792.83464000002</v>
      </c>
      <c r="Y45" s="2"/>
      <c r="Z45" s="6">
        <f t="shared" si="28"/>
        <v>-0.34896719194075615</v>
      </c>
    </row>
    <row r="46" spans="1:26" s="24" customFormat="1" hidden="1" outlineLevel="2" x14ac:dyDescent="0.25">
      <c r="A46" s="28"/>
      <c r="B46" s="11" t="str">
        <f>CONCATENATE("          ", "6005", " - ", "TEMPORARY WAGES-HOURLY")</f>
        <v xml:space="preserve">          6005 - TEMPORARY WAGES-HOURLY</v>
      </c>
      <c r="C46" s="11"/>
      <c r="D46" s="7">
        <v>23908.929999999997</v>
      </c>
      <c r="E46" s="2"/>
      <c r="F46" s="6">
        <f t="shared" si="21"/>
        <v>0.12218899082606316</v>
      </c>
      <c r="G46" s="2"/>
      <c r="H46" s="7">
        <v>11169.217774999999</v>
      </c>
      <c r="I46" s="2"/>
      <c r="J46" s="6">
        <f t="shared" si="22"/>
        <v>1.9270961053368944E-2</v>
      </c>
      <c r="K46" s="2"/>
      <c r="L46" s="7">
        <f t="shared" si="23"/>
        <v>12739.712224999997</v>
      </c>
      <c r="M46" s="2"/>
      <c r="N46" s="6">
        <f t="shared" si="24"/>
        <v>1.1406091708154555</v>
      </c>
      <c r="O46" s="11"/>
      <c r="P46" s="7">
        <v>39850.44</v>
      </c>
      <c r="Q46" s="2"/>
      <c r="R46" s="6">
        <f t="shared" si="25"/>
        <v>7.9453905480205339E-2</v>
      </c>
      <c r="S46" s="2"/>
      <c r="T46" s="7">
        <v>33116.228255000002</v>
      </c>
      <c r="U46" s="2"/>
      <c r="V46" s="6">
        <f t="shared" si="26"/>
        <v>2.7324409743680719E-2</v>
      </c>
      <c r="W46" s="2"/>
      <c r="X46" s="7">
        <f t="shared" si="27"/>
        <v>6734.2117450000005</v>
      </c>
      <c r="Y46" s="2"/>
      <c r="Z46" s="6">
        <f t="shared" si="28"/>
        <v>0.20335080713738124</v>
      </c>
    </row>
    <row r="47" spans="1:26" s="24" customFormat="1" hidden="1" outlineLevel="2" x14ac:dyDescent="0.25">
      <c r="A47" s="28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4" customFormat="1" hidden="1" outlineLevel="2" x14ac:dyDescent="0.25">
      <c r="A48" s="28"/>
      <c r="B48" s="11" t="str">
        <f>CONCATENATE("          ", "6007", " - ", "STUDENT HOURLY")</f>
        <v xml:space="preserve">          6007 - STUDENT HOURLY</v>
      </c>
      <c r="C48" s="11"/>
      <c r="D48" s="7">
        <v>5215.1099999999997</v>
      </c>
      <c r="E48" s="2"/>
      <c r="F48" s="6">
        <f t="shared" si="21"/>
        <v>2.6652344038269816E-2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5215.1099999999997</v>
      </c>
      <c r="M48" s="2"/>
      <c r="N48" s="6">
        <f t="shared" si="24"/>
        <v>0</v>
      </c>
      <c r="O48" s="11"/>
      <c r="P48" s="7">
        <v>43326.22</v>
      </c>
      <c r="Q48" s="2"/>
      <c r="R48" s="6">
        <f t="shared" si="25"/>
        <v>8.6383924209985682E-2</v>
      </c>
      <c r="S48" s="2"/>
      <c r="T48" s="7">
        <v>16306.670000000002</v>
      </c>
      <c r="U48" s="2"/>
      <c r="V48" s="6">
        <f t="shared" si="26"/>
        <v>1.3454736729195976E-2</v>
      </c>
      <c r="W48" s="2"/>
      <c r="X48" s="7">
        <f t="shared" si="27"/>
        <v>27019.55</v>
      </c>
      <c r="Y48" s="2"/>
      <c r="Z48" s="6">
        <f t="shared" si="28"/>
        <v>1.6569630709396828</v>
      </c>
    </row>
    <row r="49" spans="1:26" s="24" customFormat="1" hidden="1" outlineLevel="2" x14ac:dyDescent="0.25">
      <c r="A49" s="28"/>
      <c r="B49" s="11" t="str">
        <f>CONCATENATE("          ", "6008", " - ", "STUDENT HOURLY-FICA EXEMPT")</f>
        <v xml:space="preserve">          6008 - STUDENT HOURLY-FICA EXEMPT</v>
      </c>
      <c r="C49" s="11"/>
      <c r="D49" s="7">
        <v>3992.3</v>
      </c>
      <c r="E49" s="2"/>
      <c r="F49" s="6">
        <f t="shared" si="21"/>
        <v>2.0403050578795958E-2</v>
      </c>
      <c r="G49" s="2"/>
      <c r="H49" s="7">
        <v>46428.07</v>
      </c>
      <c r="I49" s="2"/>
      <c r="J49" s="6">
        <f t="shared" si="22"/>
        <v>8.0105298936485922E-2</v>
      </c>
      <c r="K49" s="2"/>
      <c r="L49" s="7">
        <f t="shared" si="23"/>
        <v>-42435.77</v>
      </c>
      <c r="M49" s="2"/>
      <c r="N49" s="6">
        <f t="shared" si="24"/>
        <v>-0.91401107131957016</v>
      </c>
      <c r="O49" s="11"/>
      <c r="P49" s="7">
        <v>7694.96</v>
      </c>
      <c r="Q49" s="2"/>
      <c r="R49" s="6">
        <f t="shared" si="25"/>
        <v>1.5342230211610231E-2</v>
      </c>
      <c r="S49" s="2"/>
      <c r="T49" s="7">
        <v>81154.11</v>
      </c>
      <c r="U49" s="2"/>
      <c r="V49" s="6">
        <f t="shared" si="26"/>
        <v>6.6960770319274901E-2</v>
      </c>
      <c r="W49" s="2"/>
      <c r="X49" s="7">
        <f t="shared" si="27"/>
        <v>-73459.149999999994</v>
      </c>
      <c r="Y49" s="2"/>
      <c r="Z49" s="6">
        <f t="shared" si="28"/>
        <v>-0.90518089595215812</v>
      </c>
    </row>
    <row r="50" spans="1:26" s="24" customFormat="1" hidden="1" outlineLevel="2" x14ac:dyDescent="0.25">
      <c r="A50" s="28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25">
      <c r="A51" s="28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21"/>
        <v>0</v>
      </c>
      <c r="G51" s="2"/>
      <c r="H51" s="7">
        <v>0</v>
      </c>
      <c r="I51" s="2"/>
      <c r="J51" s="6">
        <f t="shared" si="22"/>
        <v>0</v>
      </c>
      <c r="K51" s="2"/>
      <c r="L51" s="7">
        <f t="shared" si="23"/>
        <v>0</v>
      </c>
      <c r="M51" s="2"/>
      <c r="N51" s="6">
        <f t="shared" si="24"/>
        <v>0</v>
      </c>
      <c r="O51" s="11"/>
      <c r="P51" s="7"/>
      <c r="Q51" s="2"/>
      <c r="R51" s="6">
        <f t="shared" si="25"/>
        <v>0</v>
      </c>
      <c r="S51" s="2"/>
      <c r="T51" s="7">
        <v>0</v>
      </c>
      <c r="U51" s="2"/>
      <c r="V51" s="6">
        <f t="shared" si="26"/>
        <v>0</v>
      </c>
      <c r="W51" s="2"/>
      <c r="X51" s="7">
        <f t="shared" si="27"/>
        <v>0</v>
      </c>
      <c r="Y51" s="2"/>
      <c r="Z51" s="6">
        <f t="shared" si="28"/>
        <v>0</v>
      </c>
    </row>
    <row r="52" spans="1:26" s="27" customFormat="1" outlineLevel="1" collapsed="1" x14ac:dyDescent="0.25">
      <c r="A52" s="29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15.05</v>
      </c>
      <c r="E52" s="1"/>
      <c r="F52" s="5">
        <f t="shared" ref="F52:F61" si="29">IF(D$12=0,0,D52/D$12)</f>
        <v>7.6914538288925982E-5</v>
      </c>
      <c r="G52" s="1"/>
      <c r="H52" s="1">
        <f>SUM(OSRRefH22_2x_0)</f>
        <v>1744</v>
      </c>
      <c r="I52" s="1"/>
      <c r="J52" s="5">
        <f t="shared" ref="J52:J61" si="30">IF(H$12=0,0,H52/H$12)</f>
        <v>3.0090340034645302E-3</v>
      </c>
      <c r="K52" s="1"/>
      <c r="L52" s="1">
        <f t="shared" ref="L52:L61" si="31">+D52-H52</f>
        <v>-1728.95</v>
      </c>
      <c r="M52" s="1"/>
      <c r="N52" s="5">
        <f t="shared" ref="N52:N61" si="32">IF(H52=0,0,L52/H52)</f>
        <v>-0.99137041284403671</v>
      </c>
      <c r="O52" s="14"/>
      <c r="P52" s="1">
        <f>SUM(OSRRefP22_2x_0)</f>
        <v>1539.63</v>
      </c>
      <c r="Q52" s="1"/>
      <c r="R52" s="5">
        <f t="shared" ref="R52:R61" si="33">IF(P$12=0,0,P52/P$12)</f>
        <v>3.0697180882943462E-3</v>
      </c>
      <c r="S52" s="1"/>
      <c r="T52" s="1">
        <f>SUM(OSRRefT22_2x_0)</f>
        <v>7264</v>
      </c>
      <c r="U52" s="1"/>
      <c r="V52" s="5">
        <f t="shared" ref="V52:V61" si="34">IF(T$12=0,0,T52/T$12)</f>
        <v>5.9935724216458397E-3</v>
      </c>
      <c r="W52" s="1"/>
      <c r="X52" s="1">
        <f t="shared" ref="X52:X61" si="35">+P52-T52</f>
        <v>-5724.37</v>
      </c>
      <c r="Y52" s="1"/>
      <c r="Z52" s="5">
        <f t="shared" ref="Z52:Z61" si="36">IF(T52=0,0,X52/T52)</f>
        <v>-0.78804653083700438</v>
      </c>
    </row>
    <row r="53" spans="1:26" s="24" customFormat="1" hidden="1" outlineLevel="2" x14ac:dyDescent="0.25">
      <c r="A53" s="28"/>
      <c r="B53" s="11" t="str">
        <f>CONCATENATE("          ", "6362", " - ", "ADVERTISING EXPENSE")</f>
        <v xml:space="preserve">          6362 - ADVERTISING EXPENSE</v>
      </c>
      <c r="C53" s="11"/>
      <c r="D53" s="7">
        <v>15.05</v>
      </c>
      <c r="E53" s="2"/>
      <c r="F53" s="6">
        <f t="shared" si="29"/>
        <v>7.6914538288925982E-5</v>
      </c>
      <c r="G53" s="2"/>
      <c r="H53" s="7">
        <v>1744</v>
      </c>
      <c r="I53" s="2"/>
      <c r="J53" s="6">
        <f t="shared" si="30"/>
        <v>3.0090340034645302E-3</v>
      </c>
      <c r="K53" s="2"/>
      <c r="L53" s="7">
        <f t="shared" si="31"/>
        <v>-1728.95</v>
      </c>
      <c r="M53" s="2"/>
      <c r="N53" s="6">
        <f t="shared" si="32"/>
        <v>-0.99137041284403671</v>
      </c>
      <c r="O53" s="11"/>
      <c r="P53" s="7">
        <v>1539.63</v>
      </c>
      <c r="Q53" s="2"/>
      <c r="R53" s="6">
        <f t="shared" si="33"/>
        <v>3.0697180882943462E-3</v>
      </c>
      <c r="S53" s="2"/>
      <c r="T53" s="7">
        <v>7264</v>
      </c>
      <c r="U53" s="2"/>
      <c r="V53" s="6">
        <f t="shared" si="34"/>
        <v>5.9935724216458397E-3</v>
      </c>
      <c r="W53" s="2"/>
      <c r="X53" s="7">
        <f t="shared" si="35"/>
        <v>-5724.37</v>
      </c>
      <c r="Y53" s="2"/>
      <c r="Z53" s="6">
        <f t="shared" si="36"/>
        <v>-0.78804653083700438</v>
      </c>
    </row>
    <row r="54" spans="1:26" s="27" customFormat="1" outlineLevel="1" collapsed="1" x14ac:dyDescent="0.25">
      <c r="A54" s="29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1539.8</v>
      </c>
      <c r="E54" s="1"/>
      <c r="F54" s="5">
        <f t="shared" si="29"/>
        <v>7.8693027280590175E-3</v>
      </c>
      <c r="G54" s="1"/>
      <c r="H54" s="1">
        <f>SUM(OSRRefH22_3x_0)</f>
        <v>51</v>
      </c>
      <c r="I54" s="1"/>
      <c r="J54" s="5">
        <f t="shared" si="30"/>
        <v>8.7993540238928336E-5</v>
      </c>
      <c r="K54" s="1"/>
      <c r="L54" s="1">
        <f t="shared" si="31"/>
        <v>1488.8</v>
      </c>
      <c r="M54" s="1"/>
      <c r="N54" s="5">
        <f t="shared" si="32"/>
        <v>29.192156862745097</v>
      </c>
      <c r="O54" s="14"/>
      <c r="P54" s="1">
        <f>SUM(OSRRefP22_3x_0)</f>
        <v>1408.02</v>
      </c>
      <c r="Q54" s="1"/>
      <c r="R54" s="5">
        <f t="shared" si="33"/>
        <v>2.8073137459520823E-3</v>
      </c>
      <c r="S54" s="1"/>
      <c r="T54" s="1">
        <f>SUM(OSRRefT22_3x_0)</f>
        <v>153</v>
      </c>
      <c r="U54" s="1"/>
      <c r="V54" s="5">
        <f t="shared" si="34"/>
        <v>1.2624126934358666E-4</v>
      </c>
      <c r="W54" s="1"/>
      <c r="X54" s="1">
        <f t="shared" si="35"/>
        <v>1255.02</v>
      </c>
      <c r="Y54" s="1"/>
      <c r="Z54" s="5">
        <f t="shared" si="36"/>
        <v>8.202745098039216</v>
      </c>
    </row>
    <row r="55" spans="1:26" s="24" customFormat="1" hidden="1" outlineLevel="2" x14ac:dyDescent="0.25">
      <c r="A55" s="28"/>
      <c r="B55" s="11" t="str">
        <f>CONCATENATE("          ", "6272", " - ", "CASH (OVER/SHORT)")</f>
        <v xml:space="preserve">          6272 - CASH (OVER/SHORT)</v>
      </c>
      <c r="C55" s="11"/>
      <c r="D55" s="7">
        <v>1539.8</v>
      </c>
      <c r="E55" s="2"/>
      <c r="F55" s="6">
        <f t="shared" si="29"/>
        <v>7.8693027280590175E-3</v>
      </c>
      <c r="G55" s="2"/>
      <c r="H55" s="7">
        <v>51</v>
      </c>
      <c r="I55" s="2"/>
      <c r="J55" s="6">
        <f t="shared" si="30"/>
        <v>8.7993540238928336E-5</v>
      </c>
      <c r="K55" s="2"/>
      <c r="L55" s="7">
        <f t="shared" si="31"/>
        <v>1488.8</v>
      </c>
      <c r="M55" s="2"/>
      <c r="N55" s="6">
        <f t="shared" si="32"/>
        <v>29.192156862745097</v>
      </c>
      <c r="O55" s="11"/>
      <c r="P55" s="7">
        <v>1408.02</v>
      </c>
      <c r="Q55" s="2"/>
      <c r="R55" s="6">
        <f t="shared" si="33"/>
        <v>2.8073137459520823E-3</v>
      </c>
      <c r="S55" s="2"/>
      <c r="T55" s="7">
        <v>153</v>
      </c>
      <c r="U55" s="2"/>
      <c r="V55" s="6">
        <f t="shared" si="34"/>
        <v>1.2624126934358666E-4</v>
      </c>
      <c r="W55" s="2"/>
      <c r="X55" s="7">
        <f t="shared" si="35"/>
        <v>1255.02</v>
      </c>
      <c r="Y55" s="2"/>
      <c r="Z55" s="6">
        <f t="shared" si="36"/>
        <v>8.202745098039216</v>
      </c>
    </row>
    <row r="56" spans="1:26" s="27" customFormat="1" outlineLevel="1" collapsed="1" x14ac:dyDescent="0.25">
      <c r="A56" s="29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758.49</v>
      </c>
      <c r="E56" s="1"/>
      <c r="F56" s="5">
        <f t="shared" si="29"/>
        <v>3.8763394117453465E-3</v>
      </c>
      <c r="G56" s="1"/>
      <c r="H56" s="1">
        <f>SUM(OSRRefH22_4x_0)</f>
        <v>5983</v>
      </c>
      <c r="I56" s="1"/>
      <c r="J56" s="5">
        <f t="shared" si="30"/>
        <v>1.0322850024500162E-2</v>
      </c>
      <c r="K56" s="1"/>
      <c r="L56" s="1">
        <f t="shared" si="31"/>
        <v>-5224.51</v>
      </c>
      <c r="M56" s="1"/>
      <c r="N56" s="5">
        <f t="shared" si="32"/>
        <v>-0.87322580645161296</v>
      </c>
      <c r="O56" s="14"/>
      <c r="P56" s="1">
        <f>SUM(OSRRefP22_4x_0)</f>
        <v>1867.81</v>
      </c>
      <c r="Q56" s="1"/>
      <c r="R56" s="5">
        <f t="shared" si="33"/>
        <v>3.7240441810675695E-3</v>
      </c>
      <c r="S56" s="1"/>
      <c r="T56" s="1">
        <f>SUM(OSRRefT22_4x_0)</f>
        <v>13550</v>
      </c>
      <c r="U56" s="1"/>
      <c r="V56" s="5">
        <f t="shared" si="34"/>
        <v>1.1180190847095419E-2</v>
      </c>
      <c r="W56" s="1"/>
      <c r="X56" s="1">
        <f t="shared" si="35"/>
        <v>-11682.19</v>
      </c>
      <c r="Y56" s="1"/>
      <c r="Z56" s="5">
        <f t="shared" si="36"/>
        <v>-0.86215424354243542</v>
      </c>
    </row>
    <row r="57" spans="1:26" s="24" customFormat="1" hidden="1" outlineLevel="2" x14ac:dyDescent="0.25">
      <c r="A57" s="28"/>
      <c r="B57" s="11" t="str">
        <f>CONCATENATE("          ", "6381", " - ", "BANK/CREDIT CARD FEES")</f>
        <v xml:space="preserve">          6381 - BANK/CREDIT CARD FEES</v>
      </c>
      <c r="C57" s="11"/>
      <c r="D57" s="7">
        <v>758.49</v>
      </c>
      <c r="E57" s="2"/>
      <c r="F57" s="6">
        <f t="shared" si="29"/>
        <v>3.8763394117453465E-3</v>
      </c>
      <c r="G57" s="2"/>
      <c r="H57" s="7">
        <v>5983</v>
      </c>
      <c r="I57" s="2"/>
      <c r="J57" s="6">
        <f t="shared" si="30"/>
        <v>1.0322850024500162E-2</v>
      </c>
      <c r="K57" s="2"/>
      <c r="L57" s="7">
        <f t="shared" si="31"/>
        <v>-5224.51</v>
      </c>
      <c r="M57" s="2"/>
      <c r="N57" s="6">
        <f t="shared" si="32"/>
        <v>-0.87322580645161296</v>
      </c>
      <c r="O57" s="11"/>
      <c r="P57" s="7">
        <v>1867.81</v>
      </c>
      <c r="Q57" s="2"/>
      <c r="R57" s="6">
        <f t="shared" si="33"/>
        <v>3.7240441810675695E-3</v>
      </c>
      <c r="S57" s="2"/>
      <c r="T57" s="7">
        <v>13550</v>
      </c>
      <c r="U57" s="2"/>
      <c r="V57" s="6">
        <f t="shared" si="34"/>
        <v>1.1180190847095419E-2</v>
      </c>
      <c r="W57" s="2"/>
      <c r="X57" s="7">
        <f t="shared" si="35"/>
        <v>-11682.19</v>
      </c>
      <c r="Y57" s="2"/>
      <c r="Z57" s="6">
        <f t="shared" si="36"/>
        <v>-0.86215424354243542</v>
      </c>
    </row>
    <row r="58" spans="1:26" s="27" customFormat="1" outlineLevel="1" collapsed="1" x14ac:dyDescent="0.25">
      <c r="A58" s="29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SUM(OSRRefD22_5x_0)</f>
        <v>37536.629999999997</v>
      </c>
      <c r="E58" s="1"/>
      <c r="F58" s="5">
        <f t="shared" si="29"/>
        <v>0.19183472195164433</v>
      </c>
      <c r="G58" s="1"/>
      <c r="H58" s="1">
        <f>SUM(OSRRefH22_5x_0)</f>
        <v>37987</v>
      </c>
      <c r="I58" s="1"/>
      <c r="J58" s="5">
        <f t="shared" si="30"/>
        <v>6.5541384569728842E-2</v>
      </c>
      <c r="K58" s="1"/>
      <c r="L58" s="1">
        <f t="shared" si="31"/>
        <v>-450.37000000000262</v>
      </c>
      <c r="M58" s="1"/>
      <c r="N58" s="5">
        <f t="shared" si="32"/>
        <v>-1.1855898070392572E-2</v>
      </c>
      <c r="O58" s="14"/>
      <c r="P58" s="1">
        <f>SUM(OSRRefP22_5x_0)</f>
        <v>152212.12</v>
      </c>
      <c r="Q58" s="1"/>
      <c r="R58" s="5">
        <f t="shared" si="33"/>
        <v>0.30348089997053157</v>
      </c>
      <c r="S58" s="1"/>
      <c r="T58" s="1">
        <f>SUM(OSRRefT22_5x_0)</f>
        <v>154324</v>
      </c>
      <c r="U58" s="1"/>
      <c r="V58" s="5">
        <f t="shared" si="34"/>
        <v>0.12733371013189324</v>
      </c>
      <c r="W58" s="1"/>
      <c r="X58" s="1">
        <f t="shared" si="35"/>
        <v>-2111.8800000000047</v>
      </c>
      <c r="Y58" s="1"/>
      <c r="Z58" s="5">
        <f t="shared" si="36"/>
        <v>-1.3684715274357875E-2</v>
      </c>
    </row>
    <row r="59" spans="1:26" s="24" customFormat="1" hidden="1" outlineLevel="2" x14ac:dyDescent="0.25">
      <c r="A59" s="28"/>
      <c r="B59" s="11" t="str">
        <f>CONCATENATE("          ", "6321", " - ", "BUILDING DEPRECIATION")</f>
        <v xml:space="preserve">          6321 - BUILDING DEPRECIATION</v>
      </c>
      <c r="C59" s="11"/>
      <c r="D59" s="7">
        <v>23583.489999999998</v>
      </c>
      <c r="E59" s="2"/>
      <c r="F59" s="6">
        <f t="shared" si="29"/>
        <v>0.12052579698282409</v>
      </c>
      <c r="G59" s="2"/>
      <c r="H59" s="7"/>
      <c r="I59" s="2"/>
      <c r="J59" s="6">
        <f t="shared" si="30"/>
        <v>0</v>
      </c>
      <c r="K59" s="2"/>
      <c r="L59" s="7">
        <f t="shared" si="31"/>
        <v>23583.489999999998</v>
      </c>
      <c r="M59" s="2"/>
      <c r="N59" s="6">
        <f t="shared" si="32"/>
        <v>0</v>
      </c>
      <c r="O59" s="11"/>
      <c r="P59" s="7">
        <v>95118.150000000009</v>
      </c>
      <c r="Q59" s="2"/>
      <c r="R59" s="6">
        <f t="shared" si="33"/>
        <v>0.189646801881033</v>
      </c>
      <c r="S59" s="2"/>
      <c r="T59" s="7"/>
      <c r="U59" s="2"/>
      <c r="V59" s="6">
        <f t="shared" si="34"/>
        <v>0</v>
      </c>
      <c r="W59" s="2"/>
      <c r="X59" s="7">
        <f t="shared" si="35"/>
        <v>95118.150000000009</v>
      </c>
      <c r="Y59" s="2"/>
      <c r="Z59" s="6">
        <f t="shared" si="36"/>
        <v>0</v>
      </c>
    </row>
    <row r="60" spans="1:26" s="24" customFormat="1" hidden="1" outlineLevel="2" x14ac:dyDescent="0.25">
      <c r="A60" s="28"/>
      <c r="B60" s="11" t="str">
        <f>CONCATENATE("          ", "6322", " - ", "EQUIPMENT DEPRECIATION EXPENSE")</f>
        <v xml:space="preserve">          6322 - EQUIPMENT DEPRECIATION EXPENSE</v>
      </c>
      <c r="C60" s="11"/>
      <c r="D60" s="7">
        <v>13953.14</v>
      </c>
      <c r="E60" s="2"/>
      <c r="F60" s="6">
        <f t="shared" si="29"/>
        <v>7.1308924968820228E-2</v>
      </c>
      <c r="G60" s="2"/>
      <c r="H60" s="7">
        <v>37437</v>
      </c>
      <c r="I60" s="2"/>
      <c r="J60" s="6">
        <f t="shared" si="30"/>
        <v>6.4592434625975692E-2</v>
      </c>
      <c r="K60" s="2"/>
      <c r="L60" s="7">
        <f t="shared" si="31"/>
        <v>-23483.86</v>
      </c>
      <c r="M60" s="2"/>
      <c r="N60" s="6">
        <f t="shared" si="32"/>
        <v>-0.62729011405828461</v>
      </c>
      <c r="O60" s="11"/>
      <c r="P60" s="7">
        <v>57093.97</v>
      </c>
      <c r="Q60" s="2"/>
      <c r="R60" s="6">
        <f t="shared" si="33"/>
        <v>0.1138340980894986</v>
      </c>
      <c r="S60" s="2"/>
      <c r="T60" s="7">
        <v>152124</v>
      </c>
      <c r="U60" s="2"/>
      <c r="V60" s="6">
        <f t="shared" si="34"/>
        <v>0.12551847619361944</v>
      </c>
      <c r="W60" s="2"/>
      <c r="X60" s="7">
        <f t="shared" si="35"/>
        <v>-95030.03</v>
      </c>
      <c r="Y60" s="2"/>
      <c r="Z60" s="6">
        <f t="shared" si="36"/>
        <v>-0.62468795193394866</v>
      </c>
    </row>
    <row r="61" spans="1:26" s="24" customFormat="1" hidden="1" outlineLevel="2" x14ac:dyDescent="0.25">
      <c r="A61" s="28"/>
      <c r="B61" s="11" t="str">
        <f>CONCATENATE("          ", "6326", " - ", "VEHICLES DEPRECIATION EXPENSE")</f>
        <v xml:space="preserve">          6326 - VEHICLES DEPRECIATION EXPENSE</v>
      </c>
      <c r="C61" s="11"/>
      <c r="D61" s="7"/>
      <c r="E61" s="2"/>
      <c r="F61" s="6">
        <f t="shared" si="29"/>
        <v>0</v>
      </c>
      <c r="G61" s="2"/>
      <c r="H61" s="7">
        <v>550</v>
      </c>
      <c r="I61" s="2"/>
      <c r="J61" s="6">
        <f t="shared" si="30"/>
        <v>9.489499437531488E-4</v>
      </c>
      <c r="K61" s="2"/>
      <c r="L61" s="7">
        <f t="shared" si="31"/>
        <v>-550</v>
      </c>
      <c r="M61" s="2"/>
      <c r="N61" s="6">
        <f t="shared" si="32"/>
        <v>-1</v>
      </c>
      <c r="O61" s="11"/>
      <c r="P61" s="7"/>
      <c r="Q61" s="2"/>
      <c r="R61" s="6">
        <f t="shared" si="33"/>
        <v>0</v>
      </c>
      <c r="S61" s="2"/>
      <c r="T61" s="7">
        <v>2200</v>
      </c>
      <c r="U61" s="2"/>
      <c r="V61" s="6">
        <f t="shared" si="34"/>
        <v>1.8152339382737951E-3</v>
      </c>
      <c r="W61" s="2"/>
      <c r="X61" s="7">
        <f t="shared" si="35"/>
        <v>-2200</v>
      </c>
      <c r="Y61" s="2"/>
      <c r="Z61" s="6">
        <f t="shared" si="36"/>
        <v>-1</v>
      </c>
    </row>
    <row r="62" spans="1:26" s="27" customFormat="1" outlineLevel="1" collapsed="1" x14ac:dyDescent="0.25">
      <c r="A62" s="29"/>
      <c r="B62" s="14" t="str">
        <f>CONCATENATE("     ","Donations                                         ")</f>
        <v xml:space="preserve">     Donations                                         </v>
      </c>
      <c r="C62" s="14"/>
      <c r="D62" s="1">
        <f>SUM(OSRRefD22_6x_0)</f>
        <v>11110.09</v>
      </c>
      <c r="E62" s="1"/>
      <c r="F62" s="5">
        <f t="shared" ref="F62:F84" si="37">IF(D$12=0,0,D62/D$12)</f>
        <v>5.6779232072984291E-2</v>
      </c>
      <c r="G62" s="1"/>
      <c r="H62" s="1">
        <f>SUM(OSRRefH22_6x_0)</f>
        <v>14773</v>
      </c>
      <c r="I62" s="1"/>
      <c r="J62" s="5">
        <f t="shared" ref="J62:J84" si="38">IF(H$12=0,0,H62/H$12)</f>
        <v>2.5488795489209577E-2</v>
      </c>
      <c r="K62" s="1"/>
      <c r="L62" s="1">
        <f t="shared" ref="L62:L84" si="39">+D62-H62</f>
        <v>-3662.91</v>
      </c>
      <c r="M62" s="1"/>
      <c r="N62" s="5">
        <f t="shared" ref="N62:N84" si="40">IF(H62=0,0,L62/H62)</f>
        <v>-0.24794625329993908</v>
      </c>
      <c r="O62" s="14"/>
      <c r="P62" s="1">
        <f>SUM(OSRRefP22_6x_0)</f>
        <v>22220.18</v>
      </c>
      <c r="Q62" s="1"/>
      <c r="R62" s="5">
        <f t="shared" ref="R62:R84" si="41">IF(P$12=0,0,P62/P$12)</f>
        <v>4.4302649643847065E-2</v>
      </c>
      <c r="S62" s="1"/>
      <c r="T62" s="1">
        <f>SUM(OSRRefT22_6x_0)</f>
        <v>39319</v>
      </c>
      <c r="U62" s="1"/>
      <c r="V62" s="5">
        <f t="shared" ref="V62:V84" si="42">IF(T$12=0,0,T62/T$12)</f>
        <v>3.2442356008630616E-2</v>
      </c>
      <c r="W62" s="1"/>
      <c r="X62" s="1">
        <f t="shared" ref="X62:X84" si="43">+P62-T62</f>
        <v>-17098.82</v>
      </c>
      <c r="Y62" s="1"/>
      <c r="Z62" s="5">
        <f t="shared" ref="Z62:Z84" si="44">IF(T62=0,0,X62/T62)</f>
        <v>-0.43487423383097229</v>
      </c>
    </row>
    <row r="63" spans="1:26" s="24" customFormat="1" hidden="1" outlineLevel="2" x14ac:dyDescent="0.25">
      <c r="A63" s="28"/>
      <c r="B63" s="11" t="str">
        <f>CONCATENATE("          ", "6399", " - ", "DONATION-ON CAMPUS")</f>
        <v xml:space="preserve">          6399 - DONATION-ON CAMPUS</v>
      </c>
      <c r="C63" s="11"/>
      <c r="D63" s="7">
        <v>11110.09</v>
      </c>
      <c r="E63" s="2"/>
      <c r="F63" s="6">
        <f t="shared" si="37"/>
        <v>5.6779232072984291E-2</v>
      </c>
      <c r="G63" s="2"/>
      <c r="H63" s="7">
        <v>14773</v>
      </c>
      <c r="I63" s="2"/>
      <c r="J63" s="6">
        <f t="shared" si="38"/>
        <v>2.5488795489209577E-2</v>
      </c>
      <c r="K63" s="2"/>
      <c r="L63" s="7">
        <f t="shared" si="39"/>
        <v>-3662.91</v>
      </c>
      <c r="M63" s="2"/>
      <c r="N63" s="6">
        <f t="shared" si="40"/>
        <v>-0.24794625329993908</v>
      </c>
      <c r="O63" s="11"/>
      <c r="P63" s="7">
        <v>22220.18</v>
      </c>
      <c r="Q63" s="2"/>
      <c r="R63" s="6">
        <f t="shared" si="41"/>
        <v>4.4302649643847065E-2</v>
      </c>
      <c r="S63" s="2"/>
      <c r="T63" s="7">
        <v>39319</v>
      </c>
      <c r="U63" s="2"/>
      <c r="V63" s="6">
        <f t="shared" si="42"/>
        <v>3.2442356008630616E-2</v>
      </c>
      <c r="W63" s="2"/>
      <c r="X63" s="7">
        <f t="shared" si="43"/>
        <v>-17098.82</v>
      </c>
      <c r="Y63" s="2"/>
      <c r="Z63" s="6">
        <f t="shared" si="44"/>
        <v>-0.43487423383097229</v>
      </c>
    </row>
    <row r="64" spans="1:26" s="27" customFormat="1" outlineLevel="1" collapsed="1" x14ac:dyDescent="0.25">
      <c r="A64" s="29"/>
      <c r="B64" s="14" t="str">
        <f>CONCATENATE("     ","Employees' Appreciation                           ")</f>
        <v xml:space="preserve">     Employees' Appreciation                           </v>
      </c>
      <c r="C64" s="14"/>
      <c r="D64" s="1">
        <f>SUM(OSRRefD22_7x_0)</f>
        <v>0</v>
      </c>
      <c r="E64" s="1"/>
      <c r="F64" s="5">
        <f t="shared" si="37"/>
        <v>0</v>
      </c>
      <c r="G64" s="1"/>
      <c r="H64" s="1">
        <f>SUM(OSRRefH22_7x_0)</f>
        <v>300</v>
      </c>
      <c r="I64" s="1"/>
      <c r="J64" s="5">
        <f t="shared" si="38"/>
        <v>5.1760906022899024E-4</v>
      </c>
      <c r="K64" s="1"/>
      <c r="L64" s="1">
        <f t="shared" si="39"/>
        <v>-300</v>
      </c>
      <c r="M64" s="1"/>
      <c r="N64" s="5">
        <f t="shared" si="40"/>
        <v>-1</v>
      </c>
      <c r="O64" s="14"/>
      <c r="P64" s="1">
        <f>SUM(OSRRefP22_7x_0)</f>
        <v>0</v>
      </c>
      <c r="Q64" s="1"/>
      <c r="R64" s="5">
        <f t="shared" si="41"/>
        <v>0</v>
      </c>
      <c r="S64" s="1"/>
      <c r="T64" s="1">
        <f>SUM(OSRRefT22_7x_0)</f>
        <v>1000</v>
      </c>
      <c r="U64" s="1"/>
      <c r="V64" s="5">
        <f t="shared" si="42"/>
        <v>8.2510633557899779E-4</v>
      </c>
      <c r="W64" s="1"/>
      <c r="X64" s="1">
        <f t="shared" si="43"/>
        <v>-1000</v>
      </c>
      <c r="Y64" s="1"/>
      <c r="Z64" s="5">
        <f t="shared" si="44"/>
        <v>-1</v>
      </c>
    </row>
    <row r="65" spans="1:26" s="24" customFormat="1" hidden="1" outlineLevel="2" x14ac:dyDescent="0.25">
      <c r="A65" s="28"/>
      <c r="B65" s="11" t="str">
        <f>CONCATENATE("          ", "6277", " - ", "EMPLOYEE APPRECIATION")</f>
        <v xml:space="preserve">          6277 - EMPLOYEE APPRECIATION</v>
      </c>
      <c r="C65" s="11"/>
      <c r="D65" s="7"/>
      <c r="E65" s="2"/>
      <c r="F65" s="6">
        <f t="shared" si="37"/>
        <v>0</v>
      </c>
      <c r="G65" s="2"/>
      <c r="H65" s="7">
        <v>300</v>
      </c>
      <c r="I65" s="2"/>
      <c r="J65" s="6">
        <f t="shared" si="38"/>
        <v>5.1760906022899024E-4</v>
      </c>
      <c r="K65" s="2"/>
      <c r="L65" s="7">
        <f t="shared" si="39"/>
        <v>-300</v>
      </c>
      <c r="M65" s="2"/>
      <c r="N65" s="6">
        <f t="shared" si="40"/>
        <v>-1</v>
      </c>
      <c r="O65" s="11"/>
      <c r="P65" s="7"/>
      <c r="Q65" s="2"/>
      <c r="R65" s="6">
        <f t="shared" si="41"/>
        <v>0</v>
      </c>
      <c r="S65" s="2"/>
      <c r="T65" s="7">
        <v>1000</v>
      </c>
      <c r="U65" s="2"/>
      <c r="V65" s="6">
        <f t="shared" si="42"/>
        <v>8.2510633557899779E-4</v>
      </c>
      <c r="W65" s="2"/>
      <c r="X65" s="7">
        <f t="shared" si="43"/>
        <v>-1000</v>
      </c>
      <c r="Y65" s="2"/>
      <c r="Z65" s="6">
        <f t="shared" si="44"/>
        <v>-1</v>
      </c>
    </row>
    <row r="66" spans="1:26" s="27" customFormat="1" outlineLevel="1" collapsed="1" x14ac:dyDescent="0.25">
      <c r="A66" s="29"/>
      <c r="B66" s="14" t="str">
        <f>CONCATENATE("     ","Equipment Rental                                  ")</f>
        <v xml:space="preserve">     Equipment Rental                                  </v>
      </c>
      <c r="C66" s="14"/>
      <c r="D66" s="1">
        <f>SUM(OSRRefD22_8x_0)</f>
        <v>2597.85</v>
      </c>
      <c r="E66" s="1"/>
      <c r="F66" s="5">
        <f t="shared" si="37"/>
        <v>1.3276573640789789E-2</v>
      </c>
      <c r="G66" s="1"/>
      <c r="H66" s="1">
        <f>SUM(OSRRefH22_8x_0)</f>
        <v>1022.333333333333</v>
      </c>
      <c r="I66" s="1"/>
      <c r="J66" s="5">
        <f t="shared" si="38"/>
        <v>1.7638966530247918E-3</v>
      </c>
      <c r="K66" s="1"/>
      <c r="L66" s="1">
        <f t="shared" si="39"/>
        <v>1575.5166666666669</v>
      </c>
      <c r="M66" s="1"/>
      <c r="N66" s="5">
        <f t="shared" si="40"/>
        <v>1.5410987936093909</v>
      </c>
      <c r="O66" s="14"/>
      <c r="P66" s="1">
        <f>SUM(OSRRefP22_8x_0)</f>
        <v>5573.14</v>
      </c>
      <c r="Q66" s="1"/>
      <c r="R66" s="5">
        <f t="shared" si="41"/>
        <v>1.1111740266555439E-2</v>
      </c>
      <c r="S66" s="1"/>
      <c r="T66" s="1">
        <f>SUM(OSRRefT22_8x_0)</f>
        <v>4066.3333333333321</v>
      </c>
      <c r="U66" s="1"/>
      <c r="V66" s="5">
        <f t="shared" si="42"/>
        <v>3.355157395909397E-3</v>
      </c>
      <c r="W66" s="1"/>
      <c r="X66" s="1">
        <f t="shared" si="43"/>
        <v>1506.8066666666682</v>
      </c>
      <c r="Y66" s="1"/>
      <c r="Z66" s="5">
        <f t="shared" si="44"/>
        <v>0.3705566030002464</v>
      </c>
    </row>
    <row r="67" spans="1:26" s="24" customFormat="1" hidden="1" outlineLevel="2" x14ac:dyDescent="0.25">
      <c r="A67" s="28"/>
      <c r="B67" s="11" t="str">
        <f>CONCATENATE("          ", "6351", " - ", "EQUIPMENT RENTAL")</f>
        <v xml:space="preserve">          6351 - EQUIPMENT RENTAL</v>
      </c>
      <c r="C67" s="11"/>
      <c r="D67" s="7">
        <v>2597.85</v>
      </c>
      <c r="E67" s="2"/>
      <c r="F67" s="6">
        <f t="shared" si="37"/>
        <v>1.3276573640789789E-2</v>
      </c>
      <c r="G67" s="2"/>
      <c r="H67" s="7">
        <v>1022.333333333333</v>
      </c>
      <c r="I67" s="2"/>
      <c r="J67" s="6">
        <f t="shared" si="38"/>
        <v>1.7638966530247918E-3</v>
      </c>
      <c r="K67" s="2"/>
      <c r="L67" s="7">
        <f t="shared" si="39"/>
        <v>1575.5166666666669</v>
      </c>
      <c r="M67" s="2"/>
      <c r="N67" s="6">
        <f t="shared" si="40"/>
        <v>1.5410987936093909</v>
      </c>
      <c r="O67" s="11"/>
      <c r="P67" s="7">
        <v>5573.14</v>
      </c>
      <c r="Q67" s="2"/>
      <c r="R67" s="6">
        <f t="shared" si="41"/>
        <v>1.1111740266555439E-2</v>
      </c>
      <c r="S67" s="2"/>
      <c r="T67" s="7">
        <v>4066.3333333333321</v>
      </c>
      <c r="U67" s="2"/>
      <c r="V67" s="6">
        <f t="shared" si="42"/>
        <v>3.355157395909397E-3</v>
      </c>
      <c r="W67" s="2"/>
      <c r="X67" s="7">
        <f t="shared" si="43"/>
        <v>1506.8066666666682</v>
      </c>
      <c r="Y67" s="2"/>
      <c r="Z67" s="6">
        <f t="shared" si="44"/>
        <v>0.3705566030002464</v>
      </c>
    </row>
    <row r="68" spans="1:26" s="27" customFormat="1" outlineLevel="1" collapsed="1" x14ac:dyDescent="0.25">
      <c r="A68" s="29"/>
      <c r="B68" s="14" t="str">
        <f>CONCATENATE("     ","Freight out/Postage                               ")</f>
        <v xml:space="preserve">     Freight out/Postage                               </v>
      </c>
      <c r="C68" s="14"/>
      <c r="D68" s="1">
        <f>SUM(OSRRefD22_9x_0)</f>
        <v>0</v>
      </c>
      <c r="E68" s="1"/>
      <c r="F68" s="5">
        <f t="shared" si="37"/>
        <v>0</v>
      </c>
      <c r="G68" s="1"/>
      <c r="H68" s="1">
        <f>SUM(OSRRefH22_9x_0)</f>
        <v>0</v>
      </c>
      <c r="I68" s="1"/>
      <c r="J68" s="5">
        <f t="shared" si="38"/>
        <v>0</v>
      </c>
      <c r="K68" s="1"/>
      <c r="L68" s="1">
        <f t="shared" si="39"/>
        <v>0</v>
      </c>
      <c r="M68" s="1"/>
      <c r="N68" s="5">
        <f t="shared" si="40"/>
        <v>0</v>
      </c>
      <c r="O68" s="14"/>
      <c r="P68" s="1">
        <f>SUM(OSRRefP22_9x_0)</f>
        <v>-5.41</v>
      </c>
      <c r="Q68" s="1"/>
      <c r="R68" s="5">
        <f t="shared" si="41"/>
        <v>-1.0786471332510025E-5</v>
      </c>
      <c r="S68" s="1"/>
      <c r="T68" s="1">
        <f>SUM(OSRRefT22_9x_0)</f>
        <v>0</v>
      </c>
      <c r="U68" s="1"/>
      <c r="V68" s="5">
        <f t="shared" si="42"/>
        <v>0</v>
      </c>
      <c r="W68" s="1"/>
      <c r="X68" s="1">
        <f t="shared" si="43"/>
        <v>-5.41</v>
      </c>
      <c r="Y68" s="1"/>
      <c r="Z68" s="5">
        <f t="shared" si="44"/>
        <v>0</v>
      </c>
    </row>
    <row r="69" spans="1:26" s="24" customFormat="1" hidden="1" outlineLevel="2" x14ac:dyDescent="0.25">
      <c r="A69" s="28"/>
      <c r="B69" s="11" t="str">
        <f>CONCATENATE("          ", "6307", " - ", "POSTAGE")</f>
        <v xml:space="preserve">          6307 - POSTAGE</v>
      </c>
      <c r="C69" s="11"/>
      <c r="D69" s="7"/>
      <c r="E69" s="2"/>
      <c r="F69" s="6">
        <f t="shared" si="37"/>
        <v>0</v>
      </c>
      <c r="G69" s="2"/>
      <c r="H69" s="7"/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>
        <v>-5.41</v>
      </c>
      <c r="Q69" s="2"/>
      <c r="R69" s="6">
        <f t="shared" si="41"/>
        <v>-1.0786471332510025E-5</v>
      </c>
      <c r="S69" s="2"/>
      <c r="T69" s="7"/>
      <c r="U69" s="2"/>
      <c r="V69" s="6">
        <f t="shared" si="42"/>
        <v>0</v>
      </c>
      <c r="W69" s="2"/>
      <c r="X69" s="7">
        <f t="shared" si="43"/>
        <v>-5.41</v>
      </c>
      <c r="Y69" s="2"/>
      <c r="Z69" s="6">
        <f t="shared" si="44"/>
        <v>0</v>
      </c>
    </row>
    <row r="70" spans="1:26" s="27" customFormat="1" outlineLevel="1" collapsed="1" x14ac:dyDescent="0.25">
      <c r="A70" s="29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SUM(OSRRefD22_10x_0)</f>
        <v>0</v>
      </c>
      <c r="E70" s="1"/>
      <c r="F70" s="5">
        <f t="shared" si="37"/>
        <v>0</v>
      </c>
      <c r="G70" s="1"/>
      <c r="H70" s="1">
        <f>SUM(OSRRefH22_10x_0)</f>
        <v>430</v>
      </c>
      <c r="I70" s="1"/>
      <c r="J70" s="5">
        <f t="shared" si="38"/>
        <v>7.4190631966155273E-4</v>
      </c>
      <c r="K70" s="1"/>
      <c r="L70" s="1">
        <f t="shared" si="39"/>
        <v>-430</v>
      </c>
      <c r="M70" s="1"/>
      <c r="N70" s="5">
        <f t="shared" si="40"/>
        <v>-1</v>
      </c>
      <c r="O70" s="14"/>
      <c r="P70" s="1">
        <f>SUM(OSRRefP22_10x_0)</f>
        <v>10147.4</v>
      </c>
      <c r="Q70" s="1"/>
      <c r="R70" s="5">
        <f t="shared" si="41"/>
        <v>2.023191112745143E-2</v>
      </c>
      <c r="S70" s="1"/>
      <c r="T70" s="1">
        <f>SUM(OSRRefT22_10x_0)</f>
        <v>10495</v>
      </c>
      <c r="U70" s="1"/>
      <c r="V70" s="5">
        <f t="shared" si="42"/>
        <v>8.6594909919015806E-3</v>
      </c>
      <c r="W70" s="1"/>
      <c r="X70" s="1">
        <f t="shared" si="43"/>
        <v>-347.60000000000036</v>
      </c>
      <c r="Y70" s="1"/>
      <c r="Z70" s="5">
        <f t="shared" si="44"/>
        <v>-3.3120533587422618E-2</v>
      </c>
    </row>
    <row r="71" spans="1:26" s="24" customFormat="1" hidden="1" outlineLevel="2" x14ac:dyDescent="0.25">
      <c r="A71" s="28"/>
      <c r="B71" s="11" t="str">
        <f>CONCATENATE("          ", "6279", " - ", "GENERAL EXPENSE")</f>
        <v xml:space="preserve">          6279 - GENERAL EXPENSE</v>
      </c>
      <c r="C71" s="11"/>
      <c r="D71" s="7"/>
      <c r="E71" s="2"/>
      <c r="F71" s="6">
        <f t="shared" si="37"/>
        <v>0</v>
      </c>
      <c r="G71" s="2"/>
      <c r="H71" s="7">
        <v>430</v>
      </c>
      <c r="I71" s="2"/>
      <c r="J71" s="6">
        <f t="shared" si="38"/>
        <v>7.4190631966155273E-4</v>
      </c>
      <c r="K71" s="2"/>
      <c r="L71" s="7">
        <f t="shared" si="39"/>
        <v>-430</v>
      </c>
      <c r="M71" s="2"/>
      <c r="N71" s="6">
        <f t="shared" si="40"/>
        <v>-1</v>
      </c>
      <c r="O71" s="11"/>
      <c r="P71" s="7">
        <v>10147.4</v>
      </c>
      <c r="Q71" s="2"/>
      <c r="R71" s="6">
        <f t="shared" si="41"/>
        <v>2.023191112745143E-2</v>
      </c>
      <c r="S71" s="2"/>
      <c r="T71" s="7">
        <v>10495</v>
      </c>
      <c r="U71" s="2"/>
      <c r="V71" s="6">
        <f t="shared" si="42"/>
        <v>8.6594909919015806E-3</v>
      </c>
      <c r="W71" s="2"/>
      <c r="X71" s="7">
        <f t="shared" si="43"/>
        <v>-347.60000000000036</v>
      </c>
      <c r="Y71" s="2"/>
      <c r="Z71" s="6">
        <f t="shared" si="44"/>
        <v>-3.3120533587422618E-2</v>
      </c>
    </row>
    <row r="72" spans="1:26" s="27" customFormat="1" outlineLevel="1" collapsed="1" x14ac:dyDescent="0.25">
      <c r="A72" s="29"/>
      <c r="B72" s="14" t="str">
        <f>CONCATENATE("     ","Insurance                                         ")</f>
        <v xml:space="preserve">     Insurance                                         </v>
      </c>
      <c r="C72" s="14"/>
      <c r="D72" s="1">
        <f>SUM(OSRRefD22_11x_0)</f>
        <v>10358.030000000001</v>
      </c>
      <c r="E72" s="1"/>
      <c r="F72" s="5">
        <f t="shared" si="37"/>
        <v>5.2935753822780332E-2</v>
      </c>
      <c r="G72" s="1"/>
      <c r="H72" s="1">
        <f>SUM(OSRRefH22_11x_0)</f>
        <v>4572</v>
      </c>
      <c r="I72" s="1"/>
      <c r="J72" s="5">
        <f t="shared" si="38"/>
        <v>7.8883620778898121E-3</v>
      </c>
      <c r="K72" s="1"/>
      <c r="L72" s="1">
        <f t="shared" si="39"/>
        <v>5786.0300000000007</v>
      </c>
      <c r="M72" s="1"/>
      <c r="N72" s="5">
        <f t="shared" si="40"/>
        <v>1.2655358705161857</v>
      </c>
      <c r="O72" s="14"/>
      <c r="P72" s="1">
        <f>SUM(OSRRefP22_11x_0)</f>
        <v>23096.12</v>
      </c>
      <c r="Q72" s="1"/>
      <c r="R72" s="5">
        <f t="shared" si="41"/>
        <v>4.6049100974530764E-2</v>
      </c>
      <c r="S72" s="1"/>
      <c r="T72" s="1">
        <f>SUM(OSRRefT22_11x_0)</f>
        <v>18288</v>
      </c>
      <c r="U72" s="1"/>
      <c r="V72" s="5">
        <f t="shared" si="42"/>
        <v>1.508954466506871E-2</v>
      </c>
      <c r="W72" s="1"/>
      <c r="X72" s="1">
        <f t="shared" si="43"/>
        <v>4808.119999999999</v>
      </c>
      <c r="Y72" s="1"/>
      <c r="Z72" s="5">
        <f t="shared" si="44"/>
        <v>0.26291119860017492</v>
      </c>
    </row>
    <row r="73" spans="1:26" s="24" customFormat="1" hidden="1" outlineLevel="2" x14ac:dyDescent="0.25">
      <c r="A73" s="28"/>
      <c r="B73" s="11" t="str">
        <f>CONCATENATE("          ", "6314", " - ", "LIABILITY INSURANCE")</f>
        <v xml:space="preserve">          6314 - LIABILITY INSURANCE</v>
      </c>
      <c r="C73" s="11"/>
      <c r="D73" s="7">
        <v>10358.030000000001</v>
      </c>
      <c r="E73" s="2"/>
      <c r="F73" s="6">
        <f t="shared" si="37"/>
        <v>5.2935753822780332E-2</v>
      </c>
      <c r="G73" s="2"/>
      <c r="H73" s="7">
        <v>4572</v>
      </c>
      <c r="I73" s="2"/>
      <c r="J73" s="6">
        <f t="shared" si="38"/>
        <v>7.8883620778898121E-3</v>
      </c>
      <c r="K73" s="2"/>
      <c r="L73" s="7">
        <f t="shared" si="39"/>
        <v>5786.0300000000007</v>
      </c>
      <c r="M73" s="2"/>
      <c r="N73" s="6">
        <f t="shared" si="40"/>
        <v>1.2655358705161857</v>
      </c>
      <c r="O73" s="11"/>
      <c r="P73" s="7">
        <v>23096.12</v>
      </c>
      <c r="Q73" s="2"/>
      <c r="R73" s="6">
        <f t="shared" si="41"/>
        <v>4.6049100974530764E-2</v>
      </c>
      <c r="S73" s="2"/>
      <c r="T73" s="7">
        <v>18288</v>
      </c>
      <c r="U73" s="2"/>
      <c r="V73" s="6">
        <f t="shared" si="42"/>
        <v>1.508954466506871E-2</v>
      </c>
      <c r="W73" s="2"/>
      <c r="X73" s="7">
        <f t="shared" si="43"/>
        <v>4808.119999999999</v>
      </c>
      <c r="Y73" s="2"/>
      <c r="Z73" s="6">
        <f t="shared" si="44"/>
        <v>0.26291119860017492</v>
      </c>
    </row>
    <row r="74" spans="1:26" s="27" customFormat="1" outlineLevel="1" collapsed="1" x14ac:dyDescent="0.25">
      <c r="A74" s="29"/>
      <c r="B74" s="14" t="str">
        <f>CONCATENATE("     ","Interest                                          ")</f>
        <v xml:space="preserve">     Interest                                          </v>
      </c>
      <c r="C74" s="14"/>
      <c r="D74" s="1">
        <f>SUM(OSRRefD22_12x_0)</f>
        <v>7023.15</v>
      </c>
      <c r="E74" s="1"/>
      <c r="F74" s="5">
        <f t="shared" si="37"/>
        <v>3.589251425806448E-2</v>
      </c>
      <c r="G74" s="1"/>
      <c r="H74" s="1">
        <f>SUM(OSRRefH22_12x_0)</f>
        <v>7510</v>
      </c>
      <c r="I74" s="1"/>
      <c r="J74" s="5">
        <f t="shared" si="38"/>
        <v>1.2957480141065722E-2</v>
      </c>
      <c r="K74" s="1"/>
      <c r="L74" s="1">
        <f t="shared" si="39"/>
        <v>-486.85000000000036</v>
      </c>
      <c r="M74" s="1"/>
      <c r="N74" s="5">
        <f t="shared" si="40"/>
        <v>-6.4826897470040001E-2</v>
      </c>
      <c r="O74" s="14"/>
      <c r="P74" s="1">
        <f>SUM(OSRRefP22_12x_0)</f>
        <v>29553.15</v>
      </c>
      <c r="Q74" s="1"/>
      <c r="R74" s="5">
        <f t="shared" si="41"/>
        <v>5.8923143301362051E-2</v>
      </c>
      <c r="S74" s="1"/>
      <c r="T74" s="1">
        <f>SUM(OSRRefT22_12x_0)</f>
        <v>30040</v>
      </c>
      <c r="U74" s="1"/>
      <c r="V74" s="5">
        <f t="shared" si="42"/>
        <v>2.4786194320793091E-2</v>
      </c>
      <c r="W74" s="1"/>
      <c r="X74" s="1">
        <f t="shared" si="43"/>
        <v>-486.84999999999854</v>
      </c>
      <c r="Y74" s="1"/>
      <c r="Z74" s="5">
        <f t="shared" si="44"/>
        <v>-1.6206724367509938E-2</v>
      </c>
    </row>
    <row r="75" spans="1:26" s="24" customFormat="1" hidden="1" outlineLevel="2" x14ac:dyDescent="0.25">
      <c r="A75" s="28"/>
      <c r="B75" s="11" t="str">
        <f>CONCATENATE("          ", "6401", " - ", "INTEREST EXPENSE")</f>
        <v xml:space="preserve">          6401 - INTEREST EXPENSE</v>
      </c>
      <c r="C75" s="11"/>
      <c r="D75" s="7">
        <v>7023.15</v>
      </c>
      <c r="E75" s="2"/>
      <c r="F75" s="6">
        <f t="shared" si="37"/>
        <v>3.589251425806448E-2</v>
      </c>
      <c r="G75" s="2"/>
      <c r="H75" s="7">
        <v>7510</v>
      </c>
      <c r="I75" s="2"/>
      <c r="J75" s="6">
        <f t="shared" si="38"/>
        <v>1.2957480141065722E-2</v>
      </c>
      <c r="K75" s="2"/>
      <c r="L75" s="7">
        <f t="shared" si="39"/>
        <v>-486.85000000000036</v>
      </c>
      <c r="M75" s="2"/>
      <c r="N75" s="6">
        <f t="shared" si="40"/>
        <v>-6.4826897470040001E-2</v>
      </c>
      <c r="O75" s="11"/>
      <c r="P75" s="7">
        <v>29553.15</v>
      </c>
      <c r="Q75" s="2"/>
      <c r="R75" s="6">
        <f t="shared" si="41"/>
        <v>5.8923143301362051E-2</v>
      </c>
      <c r="S75" s="2"/>
      <c r="T75" s="7">
        <v>30040</v>
      </c>
      <c r="U75" s="2"/>
      <c r="V75" s="6">
        <f t="shared" si="42"/>
        <v>2.4786194320793091E-2</v>
      </c>
      <c r="W75" s="2"/>
      <c r="X75" s="7">
        <f t="shared" si="43"/>
        <v>-486.84999999999854</v>
      </c>
      <c r="Y75" s="2"/>
      <c r="Z75" s="6">
        <f t="shared" si="44"/>
        <v>-1.6206724367509938E-2</v>
      </c>
    </row>
    <row r="76" spans="1:26" s="27" customFormat="1" outlineLevel="1" collapsed="1" x14ac:dyDescent="0.25">
      <c r="A76" s="29"/>
      <c r="B76" s="14" t="str">
        <f>CONCATENATE("     ","R/H Commissions                                   ")</f>
        <v xml:space="preserve">     R/H Commissions                                   </v>
      </c>
      <c r="C76" s="14"/>
      <c r="D76" s="1">
        <f>SUM(OSRRefD22_13x_0)</f>
        <v>12242.68</v>
      </c>
      <c r="E76" s="1"/>
      <c r="F76" s="5">
        <f t="shared" si="37"/>
        <v>6.256744715076866E-2</v>
      </c>
      <c r="G76" s="1"/>
      <c r="H76" s="1">
        <f>SUM(OSRRefH22_13x_0)</f>
        <v>44159</v>
      </c>
      <c r="I76" s="1"/>
      <c r="J76" s="5">
        <f t="shared" si="38"/>
        <v>7.6190328302173274E-2</v>
      </c>
      <c r="K76" s="1"/>
      <c r="L76" s="1">
        <f t="shared" si="39"/>
        <v>-31916.32</v>
      </c>
      <c r="M76" s="1"/>
      <c r="N76" s="5">
        <f t="shared" si="40"/>
        <v>-0.72275912045109714</v>
      </c>
      <c r="O76" s="14"/>
      <c r="P76" s="1">
        <f>SUM(OSRRefP22_13x_0)</f>
        <v>28720.2</v>
      </c>
      <c r="Q76" s="1"/>
      <c r="R76" s="5">
        <f t="shared" si="41"/>
        <v>5.7262405538623745E-2</v>
      </c>
      <c r="S76" s="1"/>
      <c r="T76" s="1">
        <f>SUM(OSRRefT22_13x_0)</f>
        <v>92038</v>
      </c>
      <c r="U76" s="1"/>
      <c r="V76" s="5">
        <f t="shared" si="42"/>
        <v>7.5941136914019797E-2</v>
      </c>
      <c r="W76" s="1"/>
      <c r="X76" s="1">
        <f t="shared" si="43"/>
        <v>-63317.8</v>
      </c>
      <c r="Y76" s="1"/>
      <c r="Z76" s="5">
        <f t="shared" si="44"/>
        <v>-0.68795280210347898</v>
      </c>
    </row>
    <row r="77" spans="1:26" s="24" customFormat="1" hidden="1" outlineLevel="2" x14ac:dyDescent="0.25">
      <c r="A77" s="28"/>
      <c r="B77" s="11" t="str">
        <f>CONCATENATE("          ", "6387", " - ", "COMMISSION DUE HOUSING")</f>
        <v xml:space="preserve">          6387 - COMMISSION DUE HOUSING</v>
      </c>
      <c r="C77" s="11"/>
      <c r="D77" s="7">
        <v>12242.68</v>
      </c>
      <c r="E77" s="2"/>
      <c r="F77" s="6">
        <f t="shared" si="37"/>
        <v>6.256744715076866E-2</v>
      </c>
      <c r="G77" s="2"/>
      <c r="H77" s="7">
        <v>44159</v>
      </c>
      <c r="I77" s="2"/>
      <c r="J77" s="6">
        <f t="shared" si="38"/>
        <v>7.6190328302173274E-2</v>
      </c>
      <c r="K77" s="2"/>
      <c r="L77" s="7">
        <f t="shared" si="39"/>
        <v>-31916.32</v>
      </c>
      <c r="M77" s="2"/>
      <c r="N77" s="6">
        <f t="shared" si="40"/>
        <v>-0.72275912045109714</v>
      </c>
      <c r="O77" s="11"/>
      <c r="P77" s="7">
        <v>28720.2</v>
      </c>
      <c r="Q77" s="2"/>
      <c r="R77" s="6">
        <f t="shared" si="41"/>
        <v>5.7262405538623745E-2</v>
      </c>
      <c r="S77" s="2"/>
      <c r="T77" s="7">
        <v>92038</v>
      </c>
      <c r="U77" s="2"/>
      <c r="V77" s="6">
        <f t="shared" si="42"/>
        <v>7.5941136914019797E-2</v>
      </c>
      <c r="W77" s="2"/>
      <c r="X77" s="7">
        <f t="shared" si="43"/>
        <v>-63317.8</v>
      </c>
      <c r="Y77" s="2"/>
      <c r="Z77" s="6">
        <f t="shared" si="44"/>
        <v>-0.68795280210347898</v>
      </c>
    </row>
    <row r="78" spans="1:26" s="27" customFormat="1" outlineLevel="1" collapsed="1" x14ac:dyDescent="0.25">
      <c r="A78" s="29"/>
      <c r="B78" s="14" t="str">
        <f>CONCATENATE("     ","Rent                                              ")</f>
        <v xml:space="preserve">     Rent                                              </v>
      </c>
      <c r="C78" s="14"/>
      <c r="D78" s="1">
        <f>SUM(OSRRefD22_14x_0)</f>
        <v>0</v>
      </c>
      <c r="E78" s="1"/>
      <c r="F78" s="5">
        <f t="shared" si="37"/>
        <v>0</v>
      </c>
      <c r="G78" s="1"/>
      <c r="H78" s="1">
        <f>SUM(OSRRefH22_14x_0)</f>
        <v>1943</v>
      </c>
      <c r="I78" s="1"/>
      <c r="J78" s="5">
        <f t="shared" si="38"/>
        <v>3.3523813467497602E-3</v>
      </c>
      <c r="K78" s="1"/>
      <c r="L78" s="1">
        <f t="shared" si="39"/>
        <v>-1943</v>
      </c>
      <c r="M78" s="1"/>
      <c r="N78" s="5">
        <f t="shared" si="40"/>
        <v>-1</v>
      </c>
      <c r="O78" s="14"/>
      <c r="P78" s="1">
        <f>SUM(OSRRefP22_14x_0)</f>
        <v>5550</v>
      </c>
      <c r="Q78" s="1"/>
      <c r="R78" s="5">
        <f t="shared" si="41"/>
        <v>1.1065603677528769E-2</v>
      </c>
      <c r="S78" s="1"/>
      <c r="T78" s="1">
        <f>SUM(OSRRefT22_14x_0)</f>
        <v>7772</v>
      </c>
      <c r="U78" s="1"/>
      <c r="V78" s="5">
        <f t="shared" si="42"/>
        <v>6.4127264401199705E-3</v>
      </c>
      <c r="W78" s="1"/>
      <c r="X78" s="1">
        <f t="shared" si="43"/>
        <v>-2222</v>
      </c>
      <c r="Y78" s="1"/>
      <c r="Z78" s="5">
        <f t="shared" si="44"/>
        <v>-0.28589809572825525</v>
      </c>
    </row>
    <row r="79" spans="1:26" s="24" customFormat="1" hidden="1" outlineLevel="2" x14ac:dyDescent="0.25">
      <c r="A79" s="28"/>
      <c r="B79" s="11" t="str">
        <f>CONCATENATE("          ", "6273", " - ", "RENT")</f>
        <v xml:space="preserve">          6273 - RENT</v>
      </c>
      <c r="C79" s="11"/>
      <c r="D79" s="7"/>
      <c r="E79" s="2"/>
      <c r="F79" s="6">
        <f t="shared" si="37"/>
        <v>0</v>
      </c>
      <c r="G79" s="2"/>
      <c r="H79" s="7">
        <v>1943</v>
      </c>
      <c r="I79" s="2"/>
      <c r="J79" s="6">
        <f t="shared" si="38"/>
        <v>3.3523813467497602E-3</v>
      </c>
      <c r="K79" s="2"/>
      <c r="L79" s="7">
        <f t="shared" si="39"/>
        <v>-1943</v>
      </c>
      <c r="M79" s="2"/>
      <c r="N79" s="6">
        <f t="shared" si="40"/>
        <v>-1</v>
      </c>
      <c r="O79" s="11"/>
      <c r="P79" s="7">
        <v>5550</v>
      </c>
      <c r="Q79" s="2"/>
      <c r="R79" s="6">
        <f t="shared" si="41"/>
        <v>1.1065603677528769E-2</v>
      </c>
      <c r="S79" s="2"/>
      <c r="T79" s="7">
        <v>7772</v>
      </c>
      <c r="U79" s="2"/>
      <c r="V79" s="6">
        <f t="shared" si="42"/>
        <v>6.4127264401199705E-3</v>
      </c>
      <c r="W79" s="2"/>
      <c r="X79" s="7">
        <f t="shared" si="43"/>
        <v>-2222</v>
      </c>
      <c r="Y79" s="2"/>
      <c r="Z79" s="6">
        <f t="shared" si="44"/>
        <v>-0.28589809572825525</v>
      </c>
    </row>
    <row r="80" spans="1:26" s="27" customFormat="1" outlineLevel="1" collapsed="1" x14ac:dyDescent="0.25">
      <c r="A80" s="29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SUM(OSRRefD22_15x_0)</f>
        <v>4413.82</v>
      </c>
      <c r="E80" s="1"/>
      <c r="F80" s="5">
        <f t="shared" si="37"/>
        <v>2.2557270922951976E-2</v>
      </c>
      <c r="G80" s="1"/>
      <c r="H80" s="1">
        <f>SUM(OSRRefH22_15x_0)</f>
        <v>7840</v>
      </c>
      <c r="I80" s="1"/>
      <c r="J80" s="5">
        <f t="shared" si="38"/>
        <v>1.3526850107317611E-2</v>
      </c>
      <c r="K80" s="1"/>
      <c r="L80" s="1">
        <f t="shared" si="39"/>
        <v>-3426.1800000000003</v>
      </c>
      <c r="M80" s="1"/>
      <c r="N80" s="5">
        <f t="shared" si="40"/>
        <v>-0.43701275510204085</v>
      </c>
      <c r="O80" s="14"/>
      <c r="P80" s="1">
        <f>SUM(OSRRefP22_15x_0)</f>
        <v>18335.05</v>
      </c>
      <c r="Q80" s="1"/>
      <c r="R80" s="5">
        <f t="shared" si="41"/>
        <v>3.655646787525655E-2</v>
      </c>
      <c r="S80" s="1"/>
      <c r="T80" s="1">
        <f>SUM(OSRRefT22_15x_0)</f>
        <v>16077</v>
      </c>
      <c r="U80" s="1"/>
      <c r="V80" s="5">
        <f t="shared" si="42"/>
        <v>1.3265234557103546E-2</v>
      </c>
      <c r="W80" s="1"/>
      <c r="X80" s="1">
        <f t="shared" si="43"/>
        <v>2258.0499999999993</v>
      </c>
      <c r="Y80" s="1"/>
      <c r="Z80" s="5">
        <f t="shared" si="44"/>
        <v>0.14045219879330717</v>
      </c>
    </row>
    <row r="81" spans="1:26" s="24" customFormat="1" hidden="1" outlineLevel="2" x14ac:dyDescent="0.25">
      <c r="A81" s="28"/>
      <c r="B81" s="11" t="str">
        <f>CONCATENATE("          ", "6371", " - ", "COMPUTER SOFTWARE MAINTENANCE")</f>
        <v xml:space="preserve">          6371 - COMPUTER SOFTWARE MAINTENANCE</v>
      </c>
      <c r="C81" s="11"/>
      <c r="D81" s="7"/>
      <c r="E81" s="2"/>
      <c r="F81" s="6">
        <f t="shared" si="37"/>
        <v>0</v>
      </c>
      <c r="G81" s="2"/>
      <c r="H81" s="7"/>
      <c r="I81" s="2"/>
      <c r="J81" s="6">
        <f t="shared" si="38"/>
        <v>0</v>
      </c>
      <c r="K81" s="2"/>
      <c r="L81" s="7">
        <f t="shared" si="39"/>
        <v>0</v>
      </c>
      <c r="M81" s="2"/>
      <c r="N81" s="6">
        <f t="shared" si="40"/>
        <v>0</v>
      </c>
      <c r="O81" s="11"/>
      <c r="P81" s="7"/>
      <c r="Q81" s="2"/>
      <c r="R81" s="6">
        <f t="shared" si="41"/>
        <v>0</v>
      </c>
      <c r="S81" s="2"/>
      <c r="T81" s="7">
        <v>0</v>
      </c>
      <c r="U81" s="2"/>
      <c r="V81" s="6">
        <f t="shared" si="42"/>
        <v>0</v>
      </c>
      <c r="W81" s="2"/>
      <c r="X81" s="7">
        <f t="shared" si="43"/>
        <v>0</v>
      </c>
      <c r="Y81" s="2"/>
      <c r="Z81" s="6">
        <f t="shared" si="44"/>
        <v>0</v>
      </c>
    </row>
    <row r="82" spans="1:26" s="24" customFormat="1" hidden="1" outlineLevel="2" x14ac:dyDescent="0.25">
      <c r="A82" s="28"/>
      <c r="B82" s="11" t="str">
        <f>CONCATENATE("          ", "6372", " - ", "COMPUTER HARDWARE MAINTENANCE")</f>
        <v xml:space="preserve">          6372 - COMPUTER HARDWARE MAINTENANCE</v>
      </c>
      <c r="C82" s="11"/>
      <c r="D82" s="7"/>
      <c r="E82" s="2"/>
      <c r="F82" s="6">
        <f t="shared" si="37"/>
        <v>0</v>
      </c>
      <c r="G82" s="2"/>
      <c r="H82" s="7"/>
      <c r="I82" s="2"/>
      <c r="J82" s="6">
        <f t="shared" si="38"/>
        <v>0</v>
      </c>
      <c r="K82" s="2"/>
      <c r="L82" s="7">
        <f t="shared" si="39"/>
        <v>0</v>
      </c>
      <c r="M82" s="2"/>
      <c r="N82" s="6">
        <f t="shared" si="40"/>
        <v>0</v>
      </c>
      <c r="O82" s="11"/>
      <c r="P82" s="7"/>
      <c r="Q82" s="2"/>
      <c r="R82" s="6">
        <f t="shared" si="41"/>
        <v>0</v>
      </c>
      <c r="S82" s="2"/>
      <c r="T82" s="7">
        <v>3083</v>
      </c>
      <c r="U82" s="2"/>
      <c r="V82" s="6">
        <f t="shared" si="42"/>
        <v>2.5438028325900502E-3</v>
      </c>
      <c r="W82" s="2"/>
      <c r="X82" s="7">
        <f t="shared" si="43"/>
        <v>-3083</v>
      </c>
      <c r="Y82" s="2"/>
      <c r="Z82" s="6">
        <f t="shared" si="44"/>
        <v>-1</v>
      </c>
    </row>
    <row r="83" spans="1:26" s="24" customFormat="1" hidden="1" outlineLevel="2" x14ac:dyDescent="0.25">
      <c r="A83" s="28"/>
      <c r="B83" s="11" t="str">
        <f>CONCATENATE("          ", "6373", " - ", "MAINTENANCE CONTRACTS")</f>
        <v xml:space="preserve">          6373 - MAINTENANCE CONTRACTS</v>
      </c>
      <c r="C83" s="11"/>
      <c r="D83" s="7">
        <v>3197.29</v>
      </c>
      <c r="E83" s="2"/>
      <c r="F83" s="6">
        <f t="shared" si="37"/>
        <v>1.6340072034936884E-2</v>
      </c>
      <c r="G83" s="2"/>
      <c r="H83" s="7">
        <v>161</v>
      </c>
      <c r="I83" s="2"/>
      <c r="J83" s="6">
        <f t="shared" si="38"/>
        <v>2.7778352898955808E-4</v>
      </c>
      <c r="K83" s="2"/>
      <c r="L83" s="7">
        <f t="shared" si="39"/>
        <v>3036.29</v>
      </c>
      <c r="M83" s="2"/>
      <c r="N83" s="6">
        <f t="shared" si="40"/>
        <v>18.858944099378881</v>
      </c>
      <c r="O83" s="11"/>
      <c r="P83" s="7">
        <v>11603.48</v>
      </c>
      <c r="Q83" s="2"/>
      <c r="R83" s="6">
        <f t="shared" si="41"/>
        <v>2.3135047019843518E-2</v>
      </c>
      <c r="S83" s="2"/>
      <c r="T83" s="7">
        <v>2135</v>
      </c>
      <c r="U83" s="2"/>
      <c r="V83" s="6">
        <f t="shared" si="42"/>
        <v>1.7616020264611602E-3</v>
      </c>
      <c r="W83" s="2"/>
      <c r="X83" s="7">
        <f t="shared" si="43"/>
        <v>9468.48</v>
      </c>
      <c r="Y83" s="2"/>
      <c r="Z83" s="6">
        <f t="shared" si="44"/>
        <v>4.434885245901639</v>
      </c>
    </row>
    <row r="84" spans="1:26" s="24" customFormat="1" hidden="1" outlineLevel="2" x14ac:dyDescent="0.25">
      <c r="A84" s="28"/>
      <c r="B84" s="11" t="str">
        <f>CONCATENATE("          ", "6375", " - ", "OUTSIDE REPAIRS &amp; MAINTENANCE")</f>
        <v xml:space="preserve">          6375 - OUTSIDE REPAIRS &amp; MAINTENANCE</v>
      </c>
      <c r="C84" s="11"/>
      <c r="D84" s="7">
        <v>1216.53</v>
      </c>
      <c r="E84" s="2"/>
      <c r="F84" s="6">
        <f t="shared" si="37"/>
        <v>6.2171988880150904E-3</v>
      </c>
      <c r="G84" s="2"/>
      <c r="H84" s="7">
        <v>7679</v>
      </c>
      <c r="I84" s="2"/>
      <c r="J84" s="6">
        <f t="shared" si="38"/>
        <v>1.3249066578328054E-2</v>
      </c>
      <c r="K84" s="2"/>
      <c r="L84" s="7">
        <f t="shared" si="39"/>
        <v>-6462.47</v>
      </c>
      <c r="M84" s="2"/>
      <c r="N84" s="6">
        <f t="shared" si="40"/>
        <v>-0.84157702825888792</v>
      </c>
      <c r="O84" s="11"/>
      <c r="P84" s="7">
        <v>6731.57</v>
      </c>
      <c r="Q84" s="2"/>
      <c r="R84" s="6">
        <f t="shared" si="41"/>
        <v>1.3421420855413034E-2</v>
      </c>
      <c r="S84" s="2"/>
      <c r="T84" s="7">
        <v>10859</v>
      </c>
      <c r="U84" s="2"/>
      <c r="V84" s="6">
        <f t="shared" si="42"/>
        <v>8.9598296980523372E-3</v>
      </c>
      <c r="W84" s="2"/>
      <c r="X84" s="7">
        <f t="shared" si="43"/>
        <v>-4127.43</v>
      </c>
      <c r="Y84" s="2"/>
      <c r="Z84" s="6">
        <f t="shared" si="44"/>
        <v>-0.38009301040611476</v>
      </c>
    </row>
    <row r="85" spans="1:26" s="27" customFormat="1" outlineLevel="1" collapsed="1" x14ac:dyDescent="0.25">
      <c r="A85" s="29"/>
      <c r="B85" s="14" t="str">
        <f>CONCATENATE("     ","Royalty &amp; Commissions                             ")</f>
        <v xml:space="preserve">     Royalty &amp; Commissions                             </v>
      </c>
      <c r="C85" s="14"/>
      <c r="D85" s="1">
        <f>SUM(OSRRefD22_16x_0)</f>
        <v>0</v>
      </c>
      <c r="E85" s="1"/>
      <c r="F85" s="5">
        <f t="shared" ref="F85:F87" si="45">IF(D$12=0,0,D85/D$12)</f>
        <v>0</v>
      </c>
      <c r="G85" s="1"/>
      <c r="H85" s="1">
        <f>SUM(OSRRefH22_16x_0)</f>
        <v>0</v>
      </c>
      <c r="I85" s="1"/>
      <c r="J85" s="5">
        <f t="shared" ref="J85:J87" si="46">IF(H$12=0,0,H85/H$12)</f>
        <v>0</v>
      </c>
      <c r="K85" s="1"/>
      <c r="L85" s="1">
        <f t="shared" ref="L85:L87" si="47">+D85-H85</f>
        <v>0</v>
      </c>
      <c r="M85" s="1"/>
      <c r="N85" s="5">
        <f t="shared" ref="N85:N87" si="48">IF(H85=0,0,L85/H85)</f>
        <v>0</v>
      </c>
      <c r="O85" s="14"/>
      <c r="P85" s="1">
        <f>SUM(OSRRefP22_16x_0)</f>
        <v>0</v>
      </c>
      <c r="Q85" s="1"/>
      <c r="R85" s="5">
        <f t="shared" ref="R85:R87" si="49">IF(P$12=0,0,P85/P$12)</f>
        <v>0</v>
      </c>
      <c r="S85" s="1"/>
      <c r="T85" s="1">
        <f>SUM(OSRRefT22_16x_0)</f>
        <v>0</v>
      </c>
      <c r="U85" s="1"/>
      <c r="V85" s="5">
        <f t="shared" ref="V85:V87" si="50">IF(T$12=0,0,T85/T$12)</f>
        <v>0</v>
      </c>
      <c r="W85" s="1"/>
      <c r="X85" s="1">
        <f t="shared" ref="X85:X87" si="51">+P85-T85</f>
        <v>0</v>
      </c>
      <c r="Y85" s="1"/>
      <c r="Z85" s="5">
        <f t="shared" ref="Z85:Z87" si="52">IF(T85=0,0,X85/T85)</f>
        <v>0</v>
      </c>
    </row>
    <row r="86" spans="1:26" s="24" customFormat="1" hidden="1" outlineLevel="2" x14ac:dyDescent="0.25">
      <c r="A86" s="28"/>
      <c r="B86" s="11" t="str">
        <f>CONCATENATE("          ", "6254", " - ", "ROYALTY &amp; COMMISSIONS")</f>
        <v xml:space="preserve">          6254 - ROYALTY &amp; COMMISSIONS</v>
      </c>
      <c r="C86" s="11"/>
      <c r="D86" s="7"/>
      <c r="E86" s="2"/>
      <c r="F86" s="6">
        <f t="shared" si="45"/>
        <v>0</v>
      </c>
      <c r="G86" s="2"/>
      <c r="H86" s="7">
        <v>0</v>
      </c>
      <c r="I86" s="2"/>
      <c r="J86" s="6">
        <f t="shared" si="46"/>
        <v>0</v>
      </c>
      <c r="K86" s="2"/>
      <c r="L86" s="7">
        <f t="shared" si="47"/>
        <v>0</v>
      </c>
      <c r="M86" s="2"/>
      <c r="N86" s="6">
        <f t="shared" si="48"/>
        <v>0</v>
      </c>
      <c r="O86" s="11"/>
      <c r="P86" s="7"/>
      <c r="Q86" s="2"/>
      <c r="R86" s="6">
        <f t="shared" si="49"/>
        <v>0</v>
      </c>
      <c r="S86" s="2"/>
      <c r="T86" s="7">
        <v>0</v>
      </c>
      <c r="U86" s="2"/>
      <c r="V86" s="6">
        <f t="shared" si="50"/>
        <v>0</v>
      </c>
      <c r="W86" s="2"/>
      <c r="X86" s="7">
        <f t="shared" si="51"/>
        <v>0</v>
      </c>
      <c r="Y86" s="2"/>
      <c r="Z86" s="6">
        <f t="shared" si="52"/>
        <v>0</v>
      </c>
    </row>
    <row r="87" spans="1:26" s="24" customFormat="1" hidden="1" outlineLevel="2" x14ac:dyDescent="0.25">
      <c r="A87" s="28"/>
      <c r="B87" s="11" t="str">
        <f>CONCATENATE("          ", "6259", " - ", "ROYALTY &amp; COMMISSIONS")</f>
        <v xml:space="preserve">          6259 - ROYALTY &amp; COMMISSIONS</v>
      </c>
      <c r="C87" s="11"/>
      <c r="D87" s="7"/>
      <c r="E87" s="2"/>
      <c r="F87" s="6">
        <f t="shared" si="45"/>
        <v>0</v>
      </c>
      <c r="G87" s="2"/>
      <c r="H87" s="7">
        <v>0</v>
      </c>
      <c r="I87" s="2"/>
      <c r="J87" s="6">
        <f t="shared" si="46"/>
        <v>0</v>
      </c>
      <c r="K87" s="2"/>
      <c r="L87" s="7">
        <f t="shared" si="47"/>
        <v>0</v>
      </c>
      <c r="M87" s="2"/>
      <c r="N87" s="6">
        <f t="shared" si="48"/>
        <v>0</v>
      </c>
      <c r="O87" s="11"/>
      <c r="P87" s="7"/>
      <c r="Q87" s="2"/>
      <c r="R87" s="6">
        <f t="shared" si="49"/>
        <v>0</v>
      </c>
      <c r="S87" s="2"/>
      <c r="T87" s="7">
        <v>0</v>
      </c>
      <c r="U87" s="2"/>
      <c r="V87" s="6">
        <f t="shared" si="50"/>
        <v>0</v>
      </c>
      <c r="W87" s="2"/>
      <c r="X87" s="7">
        <f t="shared" si="51"/>
        <v>0</v>
      </c>
      <c r="Y87" s="2"/>
      <c r="Z87" s="6">
        <f t="shared" si="52"/>
        <v>0</v>
      </c>
    </row>
    <row r="88" spans="1:26" s="27" customFormat="1" outlineLevel="1" collapsed="1" x14ac:dyDescent="0.25">
      <c r="A88" s="29"/>
      <c r="B88" s="14" t="str">
        <f>CONCATENATE("     ","Services                                          ")</f>
        <v xml:space="preserve">     Services                                          </v>
      </c>
      <c r="C88" s="14"/>
      <c r="D88" s="1">
        <f>SUM(OSRRefD22_17x_0)</f>
        <v>18350.830000000002</v>
      </c>
      <c r="E88" s="1"/>
      <c r="F88" s="5">
        <f t="shared" ref="F88:F93" si="53">IF(D$12=0,0,D88/D$12)</f>
        <v>9.3783761904888477E-2</v>
      </c>
      <c r="G88" s="1"/>
      <c r="H88" s="1">
        <f>SUM(OSRRefH22_17x_0)</f>
        <v>26494</v>
      </c>
      <c r="I88" s="1"/>
      <c r="J88" s="5">
        <f t="shared" ref="J88:J93" si="54">IF(H$12=0,0,H88/H$12)</f>
        <v>4.5711781472356224E-2</v>
      </c>
      <c r="K88" s="1"/>
      <c r="L88" s="1">
        <f t="shared" ref="L88:L93" si="55">+D88-H88</f>
        <v>-8143.1699999999983</v>
      </c>
      <c r="M88" s="1"/>
      <c r="N88" s="5">
        <f t="shared" ref="N88:N93" si="56">IF(H88=0,0,L88/H88)</f>
        <v>-0.30735902468483423</v>
      </c>
      <c r="O88" s="14"/>
      <c r="P88" s="1">
        <f>SUM(OSRRefP22_17x_0)</f>
        <v>60645.140000000007</v>
      </c>
      <c r="Q88" s="1"/>
      <c r="R88" s="5">
        <f t="shared" ref="R88:R93" si="57">IF(P$12=0,0,P88/P$12)</f>
        <v>0.12091442958707156</v>
      </c>
      <c r="S88" s="1"/>
      <c r="T88" s="1">
        <f>SUM(OSRRefT22_17x_0)</f>
        <v>102439</v>
      </c>
      <c r="U88" s="1"/>
      <c r="V88" s="5">
        <f t="shared" ref="V88:V93" si="58">IF(T$12=0,0,T88/T$12)</f>
        <v>8.4523067910376948E-2</v>
      </c>
      <c r="W88" s="1"/>
      <c r="X88" s="1">
        <f t="shared" ref="X88:X93" si="59">+P88-T88</f>
        <v>-41793.859999999993</v>
      </c>
      <c r="Y88" s="1"/>
      <c r="Z88" s="5">
        <f t="shared" ref="Z88:Z93" si="60">IF(T88=0,0,X88/T88)</f>
        <v>-0.40798777809232806</v>
      </c>
    </row>
    <row r="89" spans="1:26" s="24" customFormat="1" hidden="1" outlineLevel="2" x14ac:dyDescent="0.25">
      <c r="A89" s="28"/>
      <c r="B89" s="11" t="str">
        <f>CONCATENATE("          ", "6282", " - ", "JANITORIAL/EXTERMINATOR EXPENS")</f>
        <v xml:space="preserve">          6282 - JANITORIAL/EXTERMINATOR EXPENS</v>
      </c>
      <c r="C89" s="11"/>
      <c r="D89" s="7">
        <v>2597.6799999999998</v>
      </c>
      <c r="E89" s="2"/>
      <c r="F89" s="6">
        <f t="shared" si="53"/>
        <v>1.327570483869616E-2</v>
      </c>
      <c r="G89" s="2"/>
      <c r="H89" s="7">
        <v>2705</v>
      </c>
      <c r="I89" s="2"/>
      <c r="J89" s="6">
        <f t="shared" si="54"/>
        <v>4.6671083597313954E-3</v>
      </c>
      <c r="K89" s="2"/>
      <c r="L89" s="7">
        <f t="shared" si="55"/>
        <v>-107.32000000000016</v>
      </c>
      <c r="M89" s="2"/>
      <c r="N89" s="6">
        <f t="shared" si="56"/>
        <v>-3.967467652495385E-2</v>
      </c>
      <c r="O89" s="11"/>
      <c r="P89" s="7">
        <v>5510.66</v>
      </c>
      <c r="Q89" s="2"/>
      <c r="R89" s="6">
        <f t="shared" si="57"/>
        <v>1.0987167488578501E-2</v>
      </c>
      <c r="S89" s="2"/>
      <c r="T89" s="7">
        <v>10820</v>
      </c>
      <c r="U89" s="2"/>
      <c r="V89" s="6">
        <f t="shared" si="58"/>
        <v>8.9276505509647552E-3</v>
      </c>
      <c r="W89" s="2"/>
      <c r="X89" s="7">
        <f t="shared" si="59"/>
        <v>-5309.34</v>
      </c>
      <c r="Y89" s="2"/>
      <c r="Z89" s="6">
        <f t="shared" si="60"/>
        <v>-0.4906968576709797</v>
      </c>
    </row>
    <row r="90" spans="1:26" s="24" customFormat="1" hidden="1" outlineLevel="2" x14ac:dyDescent="0.25">
      <c r="A90" s="28"/>
      <c r="B90" s="11" t="str">
        <f>CONCATENATE("          ", "6283", " - ", "PLANT SERVICE")</f>
        <v xml:space="preserve">          6283 - PLANT SERVICE</v>
      </c>
      <c r="C90" s="11"/>
      <c r="D90" s="7"/>
      <c r="E90" s="2"/>
      <c r="F90" s="6">
        <f t="shared" si="53"/>
        <v>0</v>
      </c>
      <c r="G90" s="2"/>
      <c r="H90" s="7">
        <v>0</v>
      </c>
      <c r="I90" s="2"/>
      <c r="J90" s="6">
        <f t="shared" si="54"/>
        <v>0</v>
      </c>
      <c r="K90" s="2"/>
      <c r="L90" s="7">
        <f t="shared" si="55"/>
        <v>0</v>
      </c>
      <c r="M90" s="2"/>
      <c r="N90" s="6">
        <f t="shared" si="56"/>
        <v>0</v>
      </c>
      <c r="O90" s="11"/>
      <c r="P90" s="7"/>
      <c r="Q90" s="2"/>
      <c r="R90" s="6">
        <f t="shared" si="57"/>
        <v>0</v>
      </c>
      <c r="S90" s="2"/>
      <c r="T90" s="7">
        <v>186</v>
      </c>
      <c r="U90" s="2"/>
      <c r="V90" s="6">
        <f t="shared" si="58"/>
        <v>1.5346977841769357E-4</v>
      </c>
      <c r="W90" s="2"/>
      <c r="X90" s="7">
        <f t="shared" si="59"/>
        <v>-186</v>
      </c>
      <c r="Y90" s="2"/>
      <c r="Z90" s="6">
        <f t="shared" si="60"/>
        <v>-1</v>
      </c>
    </row>
    <row r="91" spans="1:26" s="24" customFormat="1" hidden="1" outlineLevel="2" x14ac:dyDescent="0.25">
      <c r="A91" s="28"/>
      <c r="B91" s="11" t="str">
        <f>CONCATENATE("          ", "6284", " - ", "TRASH REMOVAL EXPENSE")</f>
        <v xml:space="preserve">          6284 - TRASH REMOVAL EXPENSE</v>
      </c>
      <c r="C91" s="11"/>
      <c r="D91" s="7">
        <v>5369</v>
      </c>
      <c r="E91" s="2"/>
      <c r="F91" s="6">
        <f t="shared" si="53"/>
        <v>2.7438814357026151E-2</v>
      </c>
      <c r="G91" s="2"/>
      <c r="H91" s="7">
        <v>3623</v>
      </c>
      <c r="I91" s="2"/>
      <c r="J91" s="6">
        <f t="shared" si="54"/>
        <v>6.2509920840321054E-3</v>
      </c>
      <c r="K91" s="2"/>
      <c r="L91" s="7">
        <f t="shared" si="55"/>
        <v>1746</v>
      </c>
      <c r="M91" s="2"/>
      <c r="N91" s="6">
        <f t="shared" si="56"/>
        <v>0.48192105989511452</v>
      </c>
      <c r="O91" s="11"/>
      <c r="P91" s="7">
        <v>8130</v>
      </c>
      <c r="Q91" s="2"/>
      <c r="R91" s="6">
        <f t="shared" si="57"/>
        <v>1.6209614035731332E-2</v>
      </c>
      <c r="S91" s="2"/>
      <c r="T91" s="7">
        <v>11669</v>
      </c>
      <c r="U91" s="2"/>
      <c r="V91" s="6">
        <f t="shared" si="58"/>
        <v>9.6281658298713255E-3</v>
      </c>
      <c r="W91" s="2"/>
      <c r="X91" s="7">
        <f t="shared" si="59"/>
        <v>-3539</v>
      </c>
      <c r="Y91" s="2"/>
      <c r="Z91" s="6">
        <f t="shared" si="60"/>
        <v>-0.30328220070271661</v>
      </c>
    </row>
    <row r="92" spans="1:26" s="24" customFormat="1" hidden="1" outlineLevel="2" x14ac:dyDescent="0.25">
      <c r="A92" s="28"/>
      <c r="B92" s="11" t="str">
        <f>CONCATENATE("          ", "6285", " - ", "JANITORIAL SERVICES")</f>
        <v xml:space="preserve">          6285 - JANITORIAL SERVICES</v>
      </c>
      <c r="C92" s="11"/>
      <c r="D92" s="7">
        <v>8351.15</v>
      </c>
      <c r="E92" s="2"/>
      <c r="F92" s="6">
        <f t="shared" si="53"/>
        <v>4.26793917894727E-2</v>
      </c>
      <c r="G92" s="2"/>
      <c r="H92" s="7">
        <v>15666</v>
      </c>
      <c r="I92" s="2"/>
      <c r="J92" s="6">
        <f t="shared" si="54"/>
        <v>2.7029545125157872E-2</v>
      </c>
      <c r="K92" s="2"/>
      <c r="L92" s="7">
        <f t="shared" si="55"/>
        <v>-7314.85</v>
      </c>
      <c r="M92" s="2"/>
      <c r="N92" s="6">
        <f t="shared" si="56"/>
        <v>-0.46692518830588536</v>
      </c>
      <c r="O92" s="11"/>
      <c r="P92" s="7">
        <v>39011.61</v>
      </c>
      <c r="Q92" s="2"/>
      <c r="R92" s="6">
        <f t="shared" si="57"/>
        <v>7.778144415897624E-2</v>
      </c>
      <c r="S92" s="2"/>
      <c r="T92" s="7">
        <v>61764</v>
      </c>
      <c r="U92" s="2"/>
      <c r="V92" s="6">
        <f t="shared" si="58"/>
        <v>5.0961867710701214E-2</v>
      </c>
      <c r="W92" s="2"/>
      <c r="X92" s="7">
        <f t="shared" si="59"/>
        <v>-22752.39</v>
      </c>
      <c r="Y92" s="2"/>
      <c r="Z92" s="6">
        <f t="shared" si="60"/>
        <v>-0.36837623858558383</v>
      </c>
    </row>
    <row r="93" spans="1:26" s="24" customFormat="1" hidden="1" outlineLevel="2" x14ac:dyDescent="0.25">
      <c r="A93" s="28"/>
      <c r="B93" s="11" t="str">
        <f>CONCATENATE("          ", "6286", " - ", "LAUNDRY EXPENSE")</f>
        <v xml:space="preserve">          6286 - LAUNDRY EXPENSE</v>
      </c>
      <c r="C93" s="11"/>
      <c r="D93" s="7">
        <v>2033</v>
      </c>
      <c r="E93" s="2"/>
      <c r="F93" s="6">
        <f t="shared" si="53"/>
        <v>1.0389850919693456E-2</v>
      </c>
      <c r="G93" s="2"/>
      <c r="H93" s="7">
        <v>4500</v>
      </c>
      <c r="I93" s="2"/>
      <c r="J93" s="6">
        <f t="shared" si="54"/>
        <v>7.764135903434854E-3</v>
      </c>
      <c r="K93" s="2"/>
      <c r="L93" s="7">
        <f t="shared" si="55"/>
        <v>-2467</v>
      </c>
      <c r="M93" s="2"/>
      <c r="N93" s="6">
        <f t="shared" si="56"/>
        <v>-0.54822222222222228</v>
      </c>
      <c r="O93" s="11"/>
      <c r="P93" s="7">
        <v>7992.87</v>
      </c>
      <c r="Q93" s="2"/>
      <c r="R93" s="6">
        <f t="shared" si="57"/>
        <v>1.5936203903785473E-2</v>
      </c>
      <c r="S93" s="2"/>
      <c r="T93" s="7">
        <v>18000</v>
      </c>
      <c r="U93" s="2"/>
      <c r="V93" s="6">
        <f t="shared" si="58"/>
        <v>1.485191404042196E-2</v>
      </c>
      <c r="W93" s="2"/>
      <c r="X93" s="7">
        <f t="shared" si="59"/>
        <v>-10007.130000000001</v>
      </c>
      <c r="Y93" s="2"/>
      <c r="Z93" s="6">
        <f t="shared" si="60"/>
        <v>-0.55595166666666673</v>
      </c>
    </row>
    <row r="94" spans="1:26" s="27" customFormat="1" outlineLevel="1" collapsed="1" x14ac:dyDescent="0.25">
      <c r="A94" s="29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SUM(OSRRefD22_18x_0)</f>
        <v>130.66999999999999</v>
      </c>
      <c r="E94" s="1"/>
      <c r="F94" s="5">
        <f t="shared" ref="F94:F107" si="61">IF(D$12=0,0,D94/D$12)</f>
        <v>6.6780217396770472E-4</v>
      </c>
      <c r="G94" s="1"/>
      <c r="H94" s="1">
        <f>SUM(OSRRefH22_18x_0)</f>
        <v>197</v>
      </c>
      <c r="I94" s="1"/>
      <c r="J94" s="5">
        <f t="shared" ref="J94:J107" si="62">IF(H$12=0,0,H94/H$12)</f>
        <v>3.3989661621703694E-4</v>
      </c>
      <c r="K94" s="1"/>
      <c r="L94" s="1">
        <f t="shared" ref="L94:L107" si="63">+D94-H94</f>
        <v>-66.330000000000013</v>
      </c>
      <c r="M94" s="1"/>
      <c r="N94" s="5">
        <f t="shared" ref="N94:N107" si="64">IF(H94=0,0,L94/H94)</f>
        <v>-0.33670050761421327</v>
      </c>
      <c r="O94" s="14"/>
      <c r="P94" s="1">
        <f>SUM(OSRRefP22_18x_0)</f>
        <v>271.33</v>
      </c>
      <c r="Q94" s="1"/>
      <c r="R94" s="5">
        <f t="shared" ref="R94:R107" si="65">IF(P$12=0,0,P94/P$12)</f>
        <v>5.4097842267096952E-4</v>
      </c>
      <c r="S94" s="1"/>
      <c r="T94" s="1">
        <f>SUM(OSRRefT22_18x_0)</f>
        <v>788</v>
      </c>
      <c r="U94" s="1"/>
      <c r="V94" s="5">
        <f t="shared" ref="V94:V107" si="66">IF(T$12=0,0,T94/T$12)</f>
        <v>6.5018379243625022E-4</v>
      </c>
      <c r="W94" s="1"/>
      <c r="X94" s="1">
        <f t="shared" ref="X94:X107" si="67">+P94-T94</f>
        <v>-516.67000000000007</v>
      </c>
      <c r="Y94" s="1"/>
      <c r="Z94" s="5">
        <f t="shared" ref="Z94:Z107" si="68">IF(T94=0,0,X94/T94)</f>
        <v>-0.65567258883248736</v>
      </c>
    </row>
    <row r="95" spans="1:26" s="24" customFormat="1" hidden="1" outlineLevel="2" x14ac:dyDescent="0.25">
      <c r="A95" s="28"/>
      <c r="B95" s="11" t="str">
        <f>CONCATENATE("          ", "6275", " - ", "SUBSCRIPTIONS")</f>
        <v xml:space="preserve">          6275 - SUBSCRIPTIONS</v>
      </c>
      <c r="C95" s="11"/>
      <c r="D95" s="7">
        <v>130.66999999999999</v>
      </c>
      <c r="E95" s="2"/>
      <c r="F95" s="6">
        <f t="shared" si="61"/>
        <v>6.6780217396770472E-4</v>
      </c>
      <c r="G95" s="2"/>
      <c r="H95" s="7">
        <v>197</v>
      </c>
      <c r="I95" s="2"/>
      <c r="J95" s="6">
        <f t="shared" si="62"/>
        <v>3.3989661621703694E-4</v>
      </c>
      <c r="K95" s="2"/>
      <c r="L95" s="7">
        <f t="shared" si="63"/>
        <v>-66.330000000000013</v>
      </c>
      <c r="M95" s="2"/>
      <c r="N95" s="6">
        <f t="shared" si="64"/>
        <v>-0.33670050761421327</v>
      </c>
      <c r="O95" s="11"/>
      <c r="P95" s="7">
        <v>271.33</v>
      </c>
      <c r="Q95" s="2"/>
      <c r="R95" s="6">
        <f t="shared" si="65"/>
        <v>5.4097842267096952E-4</v>
      </c>
      <c r="S95" s="2"/>
      <c r="T95" s="7">
        <v>788</v>
      </c>
      <c r="U95" s="2"/>
      <c r="V95" s="6">
        <f t="shared" si="66"/>
        <v>6.5018379243625022E-4</v>
      </c>
      <c r="W95" s="2"/>
      <c r="X95" s="7">
        <f t="shared" si="67"/>
        <v>-516.67000000000007</v>
      </c>
      <c r="Y95" s="2"/>
      <c r="Z95" s="6">
        <f t="shared" si="68"/>
        <v>-0.65567258883248736</v>
      </c>
    </row>
    <row r="96" spans="1:26" s="27" customFormat="1" outlineLevel="1" collapsed="1" x14ac:dyDescent="0.25">
      <c r="A96" s="29"/>
      <c r="B96" s="14" t="str">
        <f>CONCATENATE("     ","Supplies                                          ")</f>
        <v xml:space="preserve">     Supplies                                          </v>
      </c>
      <c r="C96" s="14"/>
      <c r="D96" s="1">
        <f>SUM(OSRRefD22_19x_0)</f>
        <v>25971.45</v>
      </c>
      <c r="E96" s="1"/>
      <c r="F96" s="5">
        <f t="shared" si="61"/>
        <v>0.13272970667401504</v>
      </c>
      <c r="G96" s="1"/>
      <c r="H96" s="1">
        <f>SUM(OSRRefH22_19x_0)</f>
        <v>30191</v>
      </c>
      <c r="I96" s="1"/>
      <c r="J96" s="5">
        <f t="shared" si="62"/>
        <v>5.2090450457911483E-2</v>
      </c>
      <c r="K96" s="1"/>
      <c r="L96" s="1">
        <f t="shared" si="63"/>
        <v>-4219.5499999999993</v>
      </c>
      <c r="M96" s="1"/>
      <c r="N96" s="5">
        <f t="shared" si="64"/>
        <v>-0.13976184955781523</v>
      </c>
      <c r="O96" s="14"/>
      <c r="P96" s="1">
        <f>SUM(OSRRefP22_19x_0)</f>
        <v>32970.230000000003</v>
      </c>
      <c r="Q96" s="1"/>
      <c r="R96" s="5">
        <f t="shared" si="65"/>
        <v>6.5736125826480973E-2</v>
      </c>
      <c r="S96" s="1"/>
      <c r="T96" s="1">
        <f>SUM(OSRRefT22_19x_0)</f>
        <v>108365</v>
      </c>
      <c r="U96" s="1"/>
      <c r="V96" s="5">
        <f t="shared" si="66"/>
        <v>8.9412648055018085E-2</v>
      </c>
      <c r="W96" s="1"/>
      <c r="X96" s="1">
        <f t="shared" si="67"/>
        <v>-75394.76999999999</v>
      </c>
      <c r="Y96" s="1"/>
      <c r="Z96" s="5">
        <f t="shared" si="68"/>
        <v>-0.69574835048216666</v>
      </c>
    </row>
    <row r="97" spans="1:26" s="24" customFormat="1" hidden="1" outlineLevel="2" x14ac:dyDescent="0.25">
      <c r="A97" s="28"/>
      <c r="B97" s="11" t="str">
        <f>CONCATENATE("          ", "6234", " - ", "EXPENDABLE SUPPLIES &amp; EQUIPMEN")</f>
        <v xml:space="preserve">          6234 - EXPENDABLE SUPPLIES &amp; EQUIPMEN</v>
      </c>
      <c r="C97" s="11"/>
      <c r="D97" s="7">
        <v>55.13</v>
      </c>
      <c r="E97" s="2"/>
      <c r="F97" s="6">
        <f t="shared" si="61"/>
        <v>2.8174740836335474E-4</v>
      </c>
      <c r="G97" s="2"/>
      <c r="H97" s="7">
        <v>100</v>
      </c>
      <c r="I97" s="2"/>
      <c r="J97" s="6">
        <f t="shared" si="62"/>
        <v>1.7253635340966342E-4</v>
      </c>
      <c r="K97" s="2"/>
      <c r="L97" s="7">
        <f t="shared" si="63"/>
        <v>-44.87</v>
      </c>
      <c r="M97" s="2"/>
      <c r="N97" s="6">
        <f t="shared" si="64"/>
        <v>-0.44869999999999999</v>
      </c>
      <c r="O97" s="11"/>
      <c r="P97" s="7">
        <v>310.91000000000003</v>
      </c>
      <c r="Q97" s="2"/>
      <c r="R97" s="6">
        <f t="shared" si="65"/>
        <v>6.1989312421269725E-4</v>
      </c>
      <c r="S97" s="2"/>
      <c r="T97" s="7">
        <v>400</v>
      </c>
      <c r="U97" s="2"/>
      <c r="V97" s="6">
        <f t="shared" si="66"/>
        <v>3.3004253423159907E-4</v>
      </c>
      <c r="W97" s="2"/>
      <c r="X97" s="7">
        <f t="shared" si="67"/>
        <v>-89.089999999999975</v>
      </c>
      <c r="Y97" s="2"/>
      <c r="Z97" s="6">
        <f t="shared" si="68"/>
        <v>-0.22272499999999995</v>
      </c>
    </row>
    <row r="98" spans="1:26" s="24" customFormat="1" hidden="1" outlineLevel="2" x14ac:dyDescent="0.25">
      <c r="A98" s="28"/>
      <c r="B98" s="11" t="str">
        <f>CONCATENATE("          ", "6235", " - ", "COVID-19 EXPENSES")</f>
        <v xml:space="preserve">          6235 - COVID-19 EXPENSES</v>
      </c>
      <c r="C98" s="11"/>
      <c r="D98" s="7">
        <v>19427.550000000003</v>
      </c>
      <c r="E98" s="2"/>
      <c r="F98" s="6">
        <f t="shared" si="61"/>
        <v>9.928644772990193E-2</v>
      </c>
      <c r="G98" s="2"/>
      <c r="H98" s="7">
        <v>12200</v>
      </c>
      <c r="I98" s="2"/>
      <c r="J98" s="6">
        <f t="shared" si="62"/>
        <v>2.1049435115978937E-2</v>
      </c>
      <c r="K98" s="2"/>
      <c r="L98" s="7">
        <f t="shared" si="63"/>
        <v>7227.5500000000029</v>
      </c>
      <c r="M98" s="2"/>
      <c r="N98" s="6">
        <f t="shared" si="64"/>
        <v>0.59242213114754128</v>
      </c>
      <c r="O98" s="11"/>
      <c r="P98" s="7">
        <v>37968.51</v>
      </c>
      <c r="Q98" s="2"/>
      <c r="R98" s="6">
        <f t="shared" si="65"/>
        <v>7.5701708808340151E-2</v>
      </c>
      <c r="S98" s="2"/>
      <c r="T98" s="7">
        <v>41800</v>
      </c>
      <c r="U98" s="2"/>
      <c r="V98" s="6">
        <f t="shared" si="66"/>
        <v>3.4489444827202106E-2</v>
      </c>
      <c r="W98" s="2"/>
      <c r="X98" s="7">
        <f t="shared" si="67"/>
        <v>-3831.489999999998</v>
      </c>
      <c r="Y98" s="2"/>
      <c r="Z98" s="6">
        <f t="shared" si="68"/>
        <v>-9.1662440191387515E-2</v>
      </c>
    </row>
    <row r="99" spans="1:26" s="24" customFormat="1" hidden="1" outlineLevel="2" x14ac:dyDescent="0.25">
      <c r="A99" s="28"/>
      <c r="B99" s="11" t="str">
        <f>CONCATENATE("          ", "6237", " - ", "JANITORIAL SUPPLIES")</f>
        <v xml:space="preserve">          6237 - JANITORIAL SUPPLIES</v>
      </c>
      <c r="C99" s="11"/>
      <c r="D99" s="7">
        <v>2066.5</v>
      </c>
      <c r="E99" s="2"/>
      <c r="F99" s="6">
        <f t="shared" si="61"/>
        <v>1.0561056038143888E-2</v>
      </c>
      <c r="G99" s="2"/>
      <c r="H99" s="7">
        <v>10305</v>
      </c>
      <c r="I99" s="2"/>
      <c r="J99" s="6">
        <f t="shared" si="62"/>
        <v>1.7779871218865814E-2</v>
      </c>
      <c r="K99" s="2"/>
      <c r="L99" s="7">
        <f t="shared" si="63"/>
        <v>-8238.5</v>
      </c>
      <c r="M99" s="2"/>
      <c r="N99" s="6">
        <f t="shared" si="64"/>
        <v>-0.79946627850557983</v>
      </c>
      <c r="O99" s="11"/>
      <c r="P99" s="7">
        <v>8160.21</v>
      </c>
      <c r="Q99" s="2"/>
      <c r="R99" s="6">
        <f t="shared" si="65"/>
        <v>1.626984680818145E-2</v>
      </c>
      <c r="S99" s="2"/>
      <c r="T99" s="7">
        <v>34808</v>
      </c>
      <c r="U99" s="2"/>
      <c r="V99" s="6">
        <f t="shared" si="66"/>
        <v>2.8720301328833752E-2</v>
      </c>
      <c r="W99" s="2"/>
      <c r="X99" s="7">
        <f t="shared" si="67"/>
        <v>-26647.79</v>
      </c>
      <c r="Y99" s="2"/>
      <c r="Z99" s="6">
        <f t="shared" si="68"/>
        <v>-0.76556509997701683</v>
      </c>
    </row>
    <row r="100" spans="1:26" s="24" customFormat="1" hidden="1" outlineLevel="2" x14ac:dyDescent="0.25">
      <c r="A100" s="28"/>
      <c r="B100" s="11" t="str">
        <f>CONCATENATE("          ", "6239", " - ", "KITCHEN SUPPLIES")</f>
        <v xml:space="preserve">          6239 - KITCHEN SUPPLIES</v>
      </c>
      <c r="C100" s="11"/>
      <c r="D100" s="7">
        <v>1264.19</v>
      </c>
      <c r="E100" s="2"/>
      <c r="F100" s="6">
        <f t="shared" si="61"/>
        <v>6.4607701102642745E-3</v>
      </c>
      <c r="G100" s="2"/>
      <c r="H100" s="7">
        <v>2343</v>
      </c>
      <c r="I100" s="2"/>
      <c r="J100" s="6">
        <f t="shared" si="62"/>
        <v>4.042526760388414E-3</v>
      </c>
      <c r="K100" s="2"/>
      <c r="L100" s="7">
        <f t="shared" si="63"/>
        <v>-1078.81</v>
      </c>
      <c r="M100" s="2"/>
      <c r="N100" s="6">
        <f t="shared" si="64"/>
        <v>-0.46043960734101574</v>
      </c>
      <c r="O100" s="11"/>
      <c r="P100" s="7">
        <v>4191.51</v>
      </c>
      <c r="Q100" s="2"/>
      <c r="R100" s="6">
        <f t="shared" si="65"/>
        <v>8.3570429676393908E-3</v>
      </c>
      <c r="S100" s="2"/>
      <c r="T100" s="7">
        <v>8592</v>
      </c>
      <c r="U100" s="2"/>
      <c r="V100" s="6">
        <f t="shared" si="66"/>
        <v>7.089313635294749E-3</v>
      </c>
      <c r="W100" s="2"/>
      <c r="X100" s="7">
        <f t="shared" si="67"/>
        <v>-4400.49</v>
      </c>
      <c r="Y100" s="2"/>
      <c r="Z100" s="6">
        <f t="shared" si="68"/>
        <v>-0.512161312849162</v>
      </c>
    </row>
    <row r="101" spans="1:26" s="24" customFormat="1" hidden="1" outlineLevel="2" x14ac:dyDescent="0.25">
      <c r="A101" s="28"/>
      <c r="B101" s="11" t="str">
        <f>CONCATENATE("          ", "6241", " - ", "OFFICE EXPENSE")</f>
        <v xml:space="preserve">          6241 - OFFICE EXPENSE</v>
      </c>
      <c r="C101" s="11"/>
      <c r="D101" s="7">
        <v>525.44000000000005</v>
      </c>
      <c r="E101" s="2"/>
      <c r="F101" s="6">
        <f t="shared" si="61"/>
        <v>2.6853139533909148E-3</v>
      </c>
      <c r="G101" s="2"/>
      <c r="H101" s="7">
        <v>1220</v>
      </c>
      <c r="I101" s="2"/>
      <c r="J101" s="6">
        <f t="shared" si="62"/>
        <v>2.1049435115978936E-3</v>
      </c>
      <c r="K101" s="2"/>
      <c r="L101" s="7">
        <f t="shared" si="63"/>
        <v>-694.56</v>
      </c>
      <c r="M101" s="2"/>
      <c r="N101" s="6">
        <f t="shared" si="64"/>
        <v>-0.56931147540983607</v>
      </c>
      <c r="O101" s="11"/>
      <c r="P101" s="7">
        <v>-27768.400000000001</v>
      </c>
      <c r="Q101" s="2"/>
      <c r="R101" s="6">
        <f t="shared" si="65"/>
        <v>-5.5364704352989173E-2</v>
      </c>
      <c r="S101" s="2"/>
      <c r="T101" s="7">
        <v>9112</v>
      </c>
      <c r="U101" s="2"/>
      <c r="V101" s="6">
        <f t="shared" si="66"/>
        <v>7.5183689297958272E-3</v>
      </c>
      <c r="W101" s="2"/>
      <c r="X101" s="7">
        <f t="shared" si="67"/>
        <v>-36880.400000000001</v>
      </c>
      <c r="Y101" s="2"/>
      <c r="Z101" s="6">
        <f t="shared" si="68"/>
        <v>-4.0474539069359086</v>
      </c>
    </row>
    <row r="102" spans="1:26" s="24" customFormat="1" hidden="1" outlineLevel="2" x14ac:dyDescent="0.25">
      <c r="A102" s="28"/>
      <c r="B102" s="11" t="str">
        <f>CONCATENATE("          ", "6243", " - ", "PAPER SUPPLIES")</f>
        <v xml:space="preserve">          6243 - PAPER SUPPLIES</v>
      </c>
      <c r="C102" s="11"/>
      <c r="D102" s="7">
        <v>2632.64</v>
      </c>
      <c r="E102" s="2"/>
      <c r="F102" s="6">
        <f t="shared" si="61"/>
        <v>1.3454371433950701E-2</v>
      </c>
      <c r="G102" s="2"/>
      <c r="H102" s="7">
        <v>1675</v>
      </c>
      <c r="I102" s="2"/>
      <c r="J102" s="6">
        <f t="shared" si="62"/>
        <v>2.8899839196118624E-3</v>
      </c>
      <c r="K102" s="2"/>
      <c r="L102" s="7">
        <f t="shared" si="63"/>
        <v>957.63999999999987</v>
      </c>
      <c r="M102" s="2"/>
      <c r="N102" s="6">
        <f t="shared" si="64"/>
        <v>0.57172537313432825</v>
      </c>
      <c r="O102" s="11"/>
      <c r="P102" s="7">
        <v>6292.81</v>
      </c>
      <c r="Q102" s="2"/>
      <c r="R102" s="6">
        <f t="shared" si="65"/>
        <v>1.2546620086124291E-2</v>
      </c>
      <c r="S102" s="2"/>
      <c r="T102" s="7">
        <v>4658</v>
      </c>
      <c r="U102" s="2"/>
      <c r="V102" s="6">
        <f t="shared" si="66"/>
        <v>3.8433453111269716E-3</v>
      </c>
      <c r="W102" s="2"/>
      <c r="X102" s="7">
        <f t="shared" si="67"/>
        <v>1634.8100000000004</v>
      </c>
      <c r="Y102" s="2"/>
      <c r="Z102" s="6">
        <f t="shared" si="68"/>
        <v>0.35096822670674116</v>
      </c>
    </row>
    <row r="103" spans="1:26" s="24" customFormat="1" hidden="1" outlineLevel="2" x14ac:dyDescent="0.25">
      <c r="A103" s="28"/>
      <c r="B103" s="11" t="str">
        <f>CONCATENATE("          ", "6244", " - ", "SAFETY SUPPLY EXPENSE")</f>
        <v xml:space="preserve">          6244 - SAFETY SUPPLY EXPENSE</v>
      </c>
      <c r="C103" s="11"/>
      <c r="D103" s="7"/>
      <c r="E103" s="2"/>
      <c r="F103" s="6">
        <f t="shared" si="61"/>
        <v>0</v>
      </c>
      <c r="G103" s="2"/>
      <c r="H103" s="7">
        <v>180</v>
      </c>
      <c r="I103" s="2"/>
      <c r="J103" s="6">
        <f t="shared" si="62"/>
        <v>3.1056543613739416E-4</v>
      </c>
      <c r="K103" s="2"/>
      <c r="L103" s="7">
        <f t="shared" si="63"/>
        <v>-180</v>
      </c>
      <c r="M103" s="2"/>
      <c r="N103" s="6">
        <f t="shared" si="64"/>
        <v>-1</v>
      </c>
      <c r="O103" s="11"/>
      <c r="P103" s="7"/>
      <c r="Q103" s="2"/>
      <c r="R103" s="6">
        <f t="shared" si="65"/>
        <v>0</v>
      </c>
      <c r="S103" s="2"/>
      <c r="T103" s="7">
        <v>580</v>
      </c>
      <c r="U103" s="2"/>
      <c r="V103" s="6">
        <f t="shared" si="66"/>
        <v>4.7856167463581869E-4</v>
      </c>
      <c r="W103" s="2"/>
      <c r="X103" s="7">
        <f t="shared" si="67"/>
        <v>-580</v>
      </c>
      <c r="Y103" s="2"/>
      <c r="Z103" s="6">
        <f t="shared" si="68"/>
        <v>-1</v>
      </c>
    </row>
    <row r="104" spans="1:26" s="24" customFormat="1" hidden="1" outlineLevel="2" x14ac:dyDescent="0.25">
      <c r="A104" s="28"/>
      <c r="B104" s="11" t="str">
        <f>CONCATENATE("          ", "6245", " - ", "PRINTING")</f>
        <v xml:space="preserve">          6245 - PRINTING</v>
      </c>
      <c r="C104" s="11"/>
      <c r="D104" s="7"/>
      <c r="E104" s="2"/>
      <c r="F104" s="6">
        <f t="shared" si="61"/>
        <v>0</v>
      </c>
      <c r="G104" s="2"/>
      <c r="H104" s="7">
        <v>150</v>
      </c>
      <c r="I104" s="2"/>
      <c r="J104" s="6">
        <f t="shared" si="62"/>
        <v>2.5880453011449512E-4</v>
      </c>
      <c r="K104" s="2"/>
      <c r="L104" s="7">
        <f t="shared" si="63"/>
        <v>-150</v>
      </c>
      <c r="M104" s="2"/>
      <c r="N104" s="6">
        <f t="shared" si="64"/>
        <v>-1</v>
      </c>
      <c r="O104" s="11"/>
      <c r="P104" s="7"/>
      <c r="Q104" s="2"/>
      <c r="R104" s="6">
        <f t="shared" si="65"/>
        <v>0</v>
      </c>
      <c r="S104" s="2"/>
      <c r="T104" s="7">
        <v>1600</v>
      </c>
      <c r="U104" s="2"/>
      <c r="V104" s="6">
        <f t="shared" si="66"/>
        <v>1.3201701369263963E-3</v>
      </c>
      <c r="W104" s="2"/>
      <c r="X104" s="7">
        <f t="shared" si="67"/>
        <v>-1600</v>
      </c>
      <c r="Y104" s="2"/>
      <c r="Z104" s="6">
        <f t="shared" si="68"/>
        <v>-1</v>
      </c>
    </row>
    <row r="105" spans="1:26" s="24" customFormat="1" hidden="1" outlineLevel="2" x14ac:dyDescent="0.25">
      <c r="A105" s="28"/>
      <c r="B105" s="11" t="str">
        <f>CONCATENATE("          ", "6246", " - ", "REPLACEMENTS")</f>
        <v xml:space="preserve">          6246 - REPLACEMENTS</v>
      </c>
      <c r="C105" s="11"/>
      <c r="D105" s="7"/>
      <c r="E105" s="2"/>
      <c r="F105" s="6">
        <f t="shared" si="61"/>
        <v>0</v>
      </c>
      <c r="G105" s="2"/>
      <c r="H105" s="7">
        <v>0</v>
      </c>
      <c r="I105" s="2"/>
      <c r="J105" s="6">
        <f t="shared" si="62"/>
        <v>0</v>
      </c>
      <c r="K105" s="2"/>
      <c r="L105" s="7">
        <f t="shared" si="63"/>
        <v>0</v>
      </c>
      <c r="M105" s="2"/>
      <c r="N105" s="6">
        <f t="shared" si="64"/>
        <v>0</v>
      </c>
      <c r="O105" s="11"/>
      <c r="P105" s="7"/>
      <c r="Q105" s="2"/>
      <c r="R105" s="6">
        <f t="shared" si="65"/>
        <v>0</v>
      </c>
      <c r="S105" s="2"/>
      <c r="T105" s="7">
        <v>0</v>
      </c>
      <c r="U105" s="2"/>
      <c r="V105" s="6">
        <f t="shared" si="66"/>
        <v>0</v>
      </c>
      <c r="W105" s="2"/>
      <c r="X105" s="7">
        <f t="shared" si="67"/>
        <v>0</v>
      </c>
      <c r="Y105" s="2"/>
      <c r="Z105" s="6">
        <f t="shared" si="68"/>
        <v>0</v>
      </c>
    </row>
    <row r="106" spans="1:26" s="24" customFormat="1" hidden="1" outlineLevel="2" x14ac:dyDescent="0.25">
      <c r="A106" s="28"/>
      <c r="B106" s="11" t="str">
        <f>CONCATENATE("          ", "6247", " - ", "STORE SUPPLIES")</f>
        <v xml:space="preserve">          6247 - STORE SUPPLIES</v>
      </c>
      <c r="C106" s="11"/>
      <c r="D106" s="7"/>
      <c r="E106" s="2"/>
      <c r="F106" s="6">
        <f t="shared" si="61"/>
        <v>0</v>
      </c>
      <c r="G106" s="2"/>
      <c r="H106" s="7">
        <v>18</v>
      </c>
      <c r="I106" s="2"/>
      <c r="J106" s="6">
        <f t="shared" si="62"/>
        <v>3.1056543613739414E-5</v>
      </c>
      <c r="K106" s="2"/>
      <c r="L106" s="7">
        <f t="shared" si="63"/>
        <v>-18</v>
      </c>
      <c r="M106" s="2"/>
      <c r="N106" s="6">
        <f t="shared" si="64"/>
        <v>-1</v>
      </c>
      <c r="O106" s="11"/>
      <c r="P106" s="7"/>
      <c r="Q106" s="2"/>
      <c r="R106" s="6">
        <f t="shared" si="65"/>
        <v>0</v>
      </c>
      <c r="S106" s="2"/>
      <c r="T106" s="7">
        <v>465</v>
      </c>
      <c r="U106" s="2"/>
      <c r="V106" s="6">
        <f t="shared" si="66"/>
        <v>3.8367444604423396E-4</v>
      </c>
      <c r="W106" s="2"/>
      <c r="X106" s="7">
        <f t="shared" si="67"/>
        <v>-465</v>
      </c>
      <c r="Y106" s="2"/>
      <c r="Z106" s="6">
        <f t="shared" si="68"/>
        <v>-1</v>
      </c>
    </row>
    <row r="107" spans="1:26" s="24" customFormat="1" hidden="1" outlineLevel="2" x14ac:dyDescent="0.25">
      <c r="A107" s="28"/>
      <c r="B107" s="11" t="str">
        <f>CONCATENATE("          ", "6248", " - ", "UNIFORMS")</f>
        <v xml:space="preserve">          6248 - UNIFORMS</v>
      </c>
      <c r="C107" s="11"/>
      <c r="D107" s="7"/>
      <c r="E107" s="2"/>
      <c r="F107" s="6">
        <f t="shared" si="61"/>
        <v>0</v>
      </c>
      <c r="G107" s="2"/>
      <c r="H107" s="7">
        <v>2000</v>
      </c>
      <c r="I107" s="2"/>
      <c r="J107" s="6">
        <f t="shared" si="62"/>
        <v>3.4507270681932685E-3</v>
      </c>
      <c r="K107" s="2"/>
      <c r="L107" s="7">
        <f t="shared" si="63"/>
        <v>-2000</v>
      </c>
      <c r="M107" s="2"/>
      <c r="N107" s="6">
        <f t="shared" si="64"/>
        <v>-1</v>
      </c>
      <c r="O107" s="11"/>
      <c r="P107" s="7">
        <v>3814.68</v>
      </c>
      <c r="Q107" s="2"/>
      <c r="R107" s="6">
        <f t="shared" si="65"/>
        <v>7.6057183849721523E-3</v>
      </c>
      <c r="S107" s="2"/>
      <c r="T107" s="7">
        <v>6350</v>
      </c>
      <c r="U107" s="2"/>
      <c r="V107" s="6">
        <f t="shared" si="66"/>
        <v>5.2394252309266353E-3</v>
      </c>
      <c r="W107" s="2"/>
      <c r="X107" s="7">
        <f t="shared" si="67"/>
        <v>-2535.3200000000002</v>
      </c>
      <c r="Y107" s="2"/>
      <c r="Z107" s="6">
        <f t="shared" si="68"/>
        <v>-0.39926299212598426</v>
      </c>
    </row>
    <row r="108" spans="1:26" s="27" customFormat="1" outlineLevel="1" collapsed="1" x14ac:dyDescent="0.25">
      <c r="A108" s="29"/>
      <c r="B108" s="14" t="str">
        <f>CONCATENATE("     ","Telephone/Data Lines                              ")</f>
        <v xml:space="preserve">     Telephone/Data Lines                              </v>
      </c>
      <c r="C108" s="14"/>
      <c r="D108" s="1">
        <f>SUM(OSRRefD22_20x_0)</f>
        <v>911.98</v>
      </c>
      <c r="E108" s="1"/>
      <c r="F108" s="5">
        <f t="shared" ref="F108:F110" si="69">IF(D$12=0,0,D108/D$12)</f>
        <v>4.6607654902813761E-3</v>
      </c>
      <c r="G108" s="1"/>
      <c r="H108" s="1">
        <f>SUM(OSRRefH22_20x_0)</f>
        <v>1113</v>
      </c>
      <c r="I108" s="1"/>
      <c r="J108" s="5">
        <f t="shared" ref="J108:J110" si="70">IF(H$12=0,0,H108/H$12)</f>
        <v>1.9203296134495539E-3</v>
      </c>
      <c r="K108" s="1"/>
      <c r="L108" s="1">
        <f t="shared" ref="L108:L110" si="71">+D108-H108</f>
        <v>-201.01999999999998</v>
      </c>
      <c r="M108" s="1"/>
      <c r="N108" s="5">
        <f t="shared" ref="N108:N110" si="72">IF(H108=0,0,L108/H108)</f>
        <v>-0.18061096136567834</v>
      </c>
      <c r="O108" s="14"/>
      <c r="P108" s="1">
        <f>SUM(OSRRefP22_20x_0)</f>
        <v>6223.39</v>
      </c>
      <c r="Q108" s="1"/>
      <c r="R108" s="5">
        <f t="shared" ref="R108:R110" si="73">IF(P$12=0,0,P108/P$12)</f>
        <v>1.2408210319044283E-2</v>
      </c>
      <c r="S108" s="1"/>
      <c r="T108" s="1">
        <f>SUM(OSRRefT22_20x_0)</f>
        <v>4330</v>
      </c>
      <c r="U108" s="1"/>
      <c r="V108" s="5">
        <f t="shared" ref="V108:V110" si="74">IF(T$12=0,0,T108/T$12)</f>
        <v>3.57271043305706E-3</v>
      </c>
      <c r="W108" s="1"/>
      <c r="X108" s="1">
        <f t="shared" ref="X108:X110" si="75">+P108-T108</f>
        <v>1893.3900000000003</v>
      </c>
      <c r="Y108" s="1"/>
      <c r="Z108" s="5">
        <f t="shared" ref="Z108:Z110" si="76">IF(T108=0,0,X108/T108)</f>
        <v>0.43727251732101624</v>
      </c>
    </row>
    <row r="109" spans="1:26" s="24" customFormat="1" hidden="1" outlineLevel="2" x14ac:dyDescent="0.25">
      <c r="A109" s="28"/>
      <c r="B109" s="11" t="str">
        <f>CONCATENATE("          ", "6303", " - ", "DATA PHONE LINES")</f>
        <v xml:space="preserve">          6303 - DATA PHONE LINES</v>
      </c>
      <c r="C109" s="11"/>
      <c r="D109" s="7"/>
      <c r="E109" s="2"/>
      <c r="F109" s="6">
        <f t="shared" si="69"/>
        <v>0</v>
      </c>
      <c r="G109" s="2"/>
      <c r="H109" s="7">
        <v>638</v>
      </c>
      <c r="I109" s="2"/>
      <c r="J109" s="6">
        <f t="shared" si="70"/>
        <v>1.1007819347536526E-3</v>
      </c>
      <c r="K109" s="2"/>
      <c r="L109" s="7">
        <f t="shared" si="71"/>
        <v>-638</v>
      </c>
      <c r="M109" s="2"/>
      <c r="N109" s="6">
        <f t="shared" si="72"/>
        <v>-1</v>
      </c>
      <c r="O109" s="11"/>
      <c r="P109" s="7"/>
      <c r="Q109" s="2"/>
      <c r="R109" s="6">
        <f t="shared" si="73"/>
        <v>0</v>
      </c>
      <c r="S109" s="2"/>
      <c r="T109" s="7">
        <v>2580</v>
      </c>
      <c r="U109" s="2"/>
      <c r="V109" s="6">
        <f t="shared" si="74"/>
        <v>2.1287743457938141E-3</v>
      </c>
      <c r="W109" s="2"/>
      <c r="X109" s="7">
        <f t="shared" si="75"/>
        <v>-2580</v>
      </c>
      <c r="Y109" s="2"/>
      <c r="Z109" s="6">
        <f t="shared" si="76"/>
        <v>-1</v>
      </c>
    </row>
    <row r="110" spans="1:26" s="24" customFormat="1" hidden="1" outlineLevel="2" x14ac:dyDescent="0.25">
      <c r="A110" s="28"/>
      <c r="B110" s="11" t="str">
        <f>CONCATENATE("          ", "6309", " - ", "TELEPHONE")</f>
        <v xml:space="preserve">          6309 - TELEPHONE</v>
      </c>
      <c r="C110" s="11"/>
      <c r="D110" s="7">
        <v>911.98</v>
      </c>
      <c r="E110" s="2"/>
      <c r="F110" s="6">
        <f t="shared" si="69"/>
        <v>4.6607654902813761E-3</v>
      </c>
      <c r="G110" s="2"/>
      <c r="H110" s="7">
        <v>475</v>
      </c>
      <c r="I110" s="2"/>
      <c r="J110" s="6">
        <f t="shared" si="70"/>
        <v>8.1954767869590124E-4</v>
      </c>
      <c r="K110" s="2"/>
      <c r="L110" s="7">
        <f t="shared" si="71"/>
        <v>436.98</v>
      </c>
      <c r="M110" s="2"/>
      <c r="N110" s="6">
        <f t="shared" si="72"/>
        <v>0.9199578947368422</v>
      </c>
      <c r="O110" s="11"/>
      <c r="P110" s="7">
        <v>6223.39</v>
      </c>
      <c r="Q110" s="2"/>
      <c r="R110" s="6">
        <f t="shared" si="73"/>
        <v>1.2408210319044283E-2</v>
      </c>
      <c r="S110" s="2"/>
      <c r="T110" s="7">
        <v>1750</v>
      </c>
      <c r="U110" s="2"/>
      <c r="V110" s="6">
        <f t="shared" si="74"/>
        <v>1.4439360872632462E-3</v>
      </c>
      <c r="W110" s="2"/>
      <c r="X110" s="7">
        <f t="shared" si="75"/>
        <v>4473.3900000000003</v>
      </c>
      <c r="Y110" s="2"/>
      <c r="Z110" s="6">
        <f t="shared" si="76"/>
        <v>2.5562228571428571</v>
      </c>
    </row>
    <row r="111" spans="1:26" s="27" customFormat="1" outlineLevel="1" collapsed="1" x14ac:dyDescent="0.25">
      <c r="A111" s="29"/>
      <c r="B111" s="14" t="str">
        <f>CONCATENATE("     ","Training                                          ")</f>
        <v xml:space="preserve">     Training                                          </v>
      </c>
      <c r="C111" s="14"/>
      <c r="D111" s="1">
        <f>SUM(OSRRefD22_21x_0)</f>
        <v>385</v>
      </c>
      <c r="E111" s="1"/>
      <c r="F111" s="5">
        <f t="shared" ref="F111:F116" si="77">IF(D$12=0,0,D111/D$12)</f>
        <v>1.9675812120422925E-3</v>
      </c>
      <c r="G111" s="1"/>
      <c r="H111" s="1">
        <f>SUM(OSRRefH22_21x_0)</f>
        <v>750</v>
      </c>
      <c r="I111" s="1"/>
      <c r="J111" s="5">
        <f t="shared" ref="J111:J116" si="78">IF(H$12=0,0,H111/H$12)</f>
        <v>1.2940226505724756E-3</v>
      </c>
      <c r="K111" s="1"/>
      <c r="L111" s="1">
        <f t="shared" ref="L111:L116" si="79">+D111-H111</f>
        <v>-365</v>
      </c>
      <c r="M111" s="1"/>
      <c r="N111" s="5">
        <f t="shared" ref="N111:N116" si="80">IF(H111=0,0,L111/H111)</f>
        <v>-0.48666666666666669</v>
      </c>
      <c r="O111" s="14"/>
      <c r="P111" s="1">
        <f>SUM(OSRRefP22_21x_0)</f>
        <v>735</v>
      </c>
      <c r="Q111" s="1"/>
      <c r="R111" s="5">
        <f t="shared" ref="R111:R116" si="81">IF(P$12=0,0,P111/P$12)</f>
        <v>1.4654448113484047E-3</v>
      </c>
      <c r="S111" s="1"/>
      <c r="T111" s="1">
        <f>SUM(OSRRefT22_21x_0)</f>
        <v>2650</v>
      </c>
      <c r="U111" s="1"/>
      <c r="V111" s="5">
        <f t="shared" ref="V111:V116" si="82">IF(T$12=0,0,T111/T$12)</f>
        <v>2.1865317892843439E-3</v>
      </c>
      <c r="W111" s="1"/>
      <c r="X111" s="1">
        <f t="shared" ref="X111:X116" si="83">+P111-T111</f>
        <v>-1915</v>
      </c>
      <c r="Y111" s="1"/>
      <c r="Z111" s="5">
        <f t="shared" ref="Z111:Z116" si="84">IF(T111=0,0,X111/T111)</f>
        <v>-0.72264150943396221</v>
      </c>
    </row>
    <row r="112" spans="1:26" s="24" customFormat="1" hidden="1" outlineLevel="2" x14ac:dyDescent="0.25">
      <c r="A112" s="28"/>
      <c r="B112" s="11" t="str">
        <f>CONCATENATE("          ", "6376", " - ", "TRAINING")</f>
        <v xml:space="preserve">          6376 - TRAINING</v>
      </c>
      <c r="C112" s="11"/>
      <c r="D112" s="7">
        <v>385</v>
      </c>
      <c r="E112" s="2"/>
      <c r="F112" s="6">
        <f t="shared" si="77"/>
        <v>1.9675812120422925E-3</v>
      </c>
      <c r="G112" s="2"/>
      <c r="H112" s="7">
        <v>750</v>
      </c>
      <c r="I112" s="2"/>
      <c r="J112" s="6">
        <f t="shared" si="78"/>
        <v>1.2940226505724756E-3</v>
      </c>
      <c r="K112" s="2"/>
      <c r="L112" s="7">
        <f t="shared" si="79"/>
        <v>-365</v>
      </c>
      <c r="M112" s="2"/>
      <c r="N112" s="6">
        <f t="shared" si="80"/>
        <v>-0.48666666666666669</v>
      </c>
      <c r="O112" s="11"/>
      <c r="P112" s="7">
        <v>735</v>
      </c>
      <c r="Q112" s="2"/>
      <c r="R112" s="6">
        <f t="shared" si="81"/>
        <v>1.4654448113484047E-3</v>
      </c>
      <c r="S112" s="2"/>
      <c r="T112" s="7">
        <v>2650</v>
      </c>
      <c r="U112" s="2"/>
      <c r="V112" s="6">
        <f t="shared" si="82"/>
        <v>2.1865317892843439E-3</v>
      </c>
      <c r="W112" s="2"/>
      <c r="X112" s="7">
        <f t="shared" si="83"/>
        <v>-1915</v>
      </c>
      <c r="Y112" s="2"/>
      <c r="Z112" s="6">
        <f t="shared" si="84"/>
        <v>-0.72264150943396221</v>
      </c>
    </row>
    <row r="113" spans="1:26" s="27" customFormat="1" outlineLevel="1" collapsed="1" x14ac:dyDescent="0.25">
      <c r="A113" s="29"/>
      <c r="B113" s="14" t="str">
        <f>CONCATENATE("     ","Travel                                            ")</f>
        <v xml:space="preserve">     Travel                                            </v>
      </c>
      <c r="C113" s="14"/>
      <c r="D113" s="1">
        <f>SUM(OSRRefD22_22x_0)</f>
        <v>0</v>
      </c>
      <c r="E113" s="1"/>
      <c r="F113" s="5">
        <f t="shared" si="77"/>
        <v>0</v>
      </c>
      <c r="G113" s="1"/>
      <c r="H113" s="1">
        <f>SUM(OSRRefH22_22x_0)</f>
        <v>300</v>
      </c>
      <c r="I113" s="1"/>
      <c r="J113" s="5">
        <f t="shared" si="78"/>
        <v>5.1760906022899024E-4</v>
      </c>
      <c r="K113" s="1"/>
      <c r="L113" s="1">
        <f t="shared" si="79"/>
        <v>-300</v>
      </c>
      <c r="M113" s="1"/>
      <c r="N113" s="5">
        <f t="shared" si="80"/>
        <v>-1</v>
      </c>
      <c r="O113" s="14"/>
      <c r="P113" s="1">
        <f>SUM(OSRRefP22_22x_0)</f>
        <v>332.21</v>
      </c>
      <c r="Q113" s="1"/>
      <c r="R113" s="5">
        <f t="shared" si="81"/>
        <v>6.6236111670483469E-4</v>
      </c>
      <c r="S113" s="1"/>
      <c r="T113" s="1">
        <f>SUM(OSRRefT22_22x_0)</f>
        <v>1200</v>
      </c>
      <c r="U113" s="1"/>
      <c r="V113" s="5">
        <f t="shared" si="82"/>
        <v>9.9012760269479722E-4</v>
      </c>
      <c r="W113" s="1"/>
      <c r="X113" s="1">
        <f t="shared" si="83"/>
        <v>-867.79</v>
      </c>
      <c r="Y113" s="1"/>
      <c r="Z113" s="5">
        <f t="shared" si="84"/>
        <v>-0.72315833333333335</v>
      </c>
    </row>
    <row r="114" spans="1:26" s="24" customFormat="1" hidden="1" outlineLevel="2" x14ac:dyDescent="0.25">
      <c r="A114" s="28"/>
      <c r="B114" s="11" t="str">
        <f>CONCATENATE("          ", "6292", " - ", "TRAVEL/CONFERENCE")</f>
        <v xml:space="preserve">          6292 - TRAVEL/CONFERENCE</v>
      </c>
      <c r="C114" s="11"/>
      <c r="D114" s="7"/>
      <c r="E114" s="2"/>
      <c r="F114" s="6">
        <f t="shared" si="77"/>
        <v>0</v>
      </c>
      <c r="G114" s="2"/>
      <c r="H114" s="7">
        <v>300</v>
      </c>
      <c r="I114" s="2"/>
      <c r="J114" s="6">
        <f t="shared" si="78"/>
        <v>5.1760906022899024E-4</v>
      </c>
      <c r="K114" s="2"/>
      <c r="L114" s="7">
        <f t="shared" si="79"/>
        <v>-300</v>
      </c>
      <c r="M114" s="2"/>
      <c r="N114" s="6">
        <f t="shared" si="80"/>
        <v>-1</v>
      </c>
      <c r="O114" s="11"/>
      <c r="P114" s="7"/>
      <c r="Q114" s="2"/>
      <c r="R114" s="6">
        <f t="shared" si="81"/>
        <v>0</v>
      </c>
      <c r="S114" s="2"/>
      <c r="T114" s="7">
        <v>1200</v>
      </c>
      <c r="U114" s="2"/>
      <c r="V114" s="6">
        <f t="shared" si="82"/>
        <v>9.9012760269479722E-4</v>
      </c>
      <c r="W114" s="2"/>
      <c r="X114" s="7">
        <f t="shared" si="83"/>
        <v>-1200</v>
      </c>
      <c r="Y114" s="2"/>
      <c r="Z114" s="6">
        <f t="shared" si="84"/>
        <v>-1</v>
      </c>
    </row>
    <row r="115" spans="1:26" s="24" customFormat="1" hidden="1" outlineLevel="2" x14ac:dyDescent="0.25">
      <c r="A115" s="28"/>
      <c r="B115" s="11" t="str">
        <f>CONCATENATE("          ", "6294", " - ", "TRAVEL OPERATIONAL")</f>
        <v xml:space="preserve">          6294 - TRAVEL OPERATIONAL</v>
      </c>
      <c r="C115" s="11"/>
      <c r="D115" s="7"/>
      <c r="E115" s="2"/>
      <c r="F115" s="6">
        <f t="shared" si="77"/>
        <v>0</v>
      </c>
      <c r="G115" s="2"/>
      <c r="H115" s="7">
        <v>0</v>
      </c>
      <c r="I115" s="2"/>
      <c r="J115" s="6">
        <f t="shared" si="78"/>
        <v>0</v>
      </c>
      <c r="K115" s="2"/>
      <c r="L115" s="7">
        <f t="shared" si="79"/>
        <v>0</v>
      </c>
      <c r="M115" s="2"/>
      <c r="N115" s="6">
        <f t="shared" si="80"/>
        <v>0</v>
      </c>
      <c r="O115" s="11"/>
      <c r="P115" s="7"/>
      <c r="Q115" s="2"/>
      <c r="R115" s="6">
        <f t="shared" si="81"/>
        <v>0</v>
      </c>
      <c r="S115" s="2"/>
      <c r="T115" s="7">
        <v>0</v>
      </c>
      <c r="U115" s="2"/>
      <c r="V115" s="6">
        <f t="shared" si="82"/>
        <v>0</v>
      </c>
      <c r="W115" s="2"/>
      <c r="X115" s="7">
        <f t="shared" si="83"/>
        <v>0</v>
      </c>
      <c r="Y115" s="2"/>
      <c r="Z115" s="6">
        <f t="shared" si="84"/>
        <v>0</v>
      </c>
    </row>
    <row r="116" spans="1:26" s="24" customFormat="1" hidden="1" outlineLevel="2" x14ac:dyDescent="0.25">
      <c r="A116" s="28"/>
      <c r="B116" s="11" t="str">
        <f>CONCATENATE("          ", "6298", " - ", "VEHICLE MILEAGE")</f>
        <v xml:space="preserve">          6298 - VEHICLE MILEAGE</v>
      </c>
      <c r="C116" s="11"/>
      <c r="D116" s="7"/>
      <c r="E116" s="2"/>
      <c r="F116" s="6">
        <f t="shared" si="77"/>
        <v>0</v>
      </c>
      <c r="G116" s="2"/>
      <c r="H116" s="7"/>
      <c r="I116" s="2"/>
      <c r="J116" s="6">
        <f t="shared" si="78"/>
        <v>0</v>
      </c>
      <c r="K116" s="2"/>
      <c r="L116" s="7">
        <f t="shared" si="79"/>
        <v>0</v>
      </c>
      <c r="M116" s="2"/>
      <c r="N116" s="6">
        <f t="shared" si="80"/>
        <v>0</v>
      </c>
      <c r="O116" s="11"/>
      <c r="P116" s="7">
        <v>332.21</v>
      </c>
      <c r="Q116" s="2"/>
      <c r="R116" s="6">
        <f t="shared" si="81"/>
        <v>6.6236111670483469E-4</v>
      </c>
      <c r="S116" s="2"/>
      <c r="T116" s="7"/>
      <c r="U116" s="2"/>
      <c r="V116" s="6">
        <f t="shared" si="82"/>
        <v>0</v>
      </c>
      <c r="W116" s="2"/>
      <c r="X116" s="7">
        <f t="shared" si="83"/>
        <v>332.21</v>
      </c>
      <c r="Y116" s="2"/>
      <c r="Z116" s="6">
        <f t="shared" si="84"/>
        <v>0</v>
      </c>
    </row>
    <row r="117" spans="1:26" s="27" customFormat="1" outlineLevel="1" collapsed="1" x14ac:dyDescent="0.25">
      <c r="A117" s="29"/>
      <c r="B117" s="14" t="str">
        <f>CONCATENATE("     ","Utilities                                         ")</f>
        <v xml:space="preserve">     Utilities                                         </v>
      </c>
      <c r="C117" s="14"/>
      <c r="D117" s="1">
        <f>SUM(OSRRefD22_23x_0)</f>
        <v>-13228</v>
      </c>
      <c r="E117" s="1"/>
      <c r="F117" s="5">
        <f t="shared" ref="F117:F118" si="85">IF(D$12=0,0,D117/D$12)</f>
        <v>-6.7603024085442706E-2</v>
      </c>
      <c r="G117" s="1"/>
      <c r="H117" s="1">
        <f>SUM(OSRRefH22_23x_0)</f>
        <v>3300</v>
      </c>
      <c r="I117" s="1"/>
      <c r="J117" s="5">
        <f t="shared" ref="J117:J118" si="86">IF(H$12=0,0,H117/H$12)</f>
        <v>5.693699662518893E-3</v>
      </c>
      <c r="K117" s="1"/>
      <c r="L117" s="1">
        <f t="shared" ref="L117:L118" si="87">+D117-H117</f>
        <v>-16528</v>
      </c>
      <c r="M117" s="1"/>
      <c r="N117" s="5">
        <f t="shared" ref="N117:N118" si="88">IF(H117=0,0,L117/H117)</f>
        <v>-5.0084848484848488</v>
      </c>
      <c r="O117" s="14"/>
      <c r="P117" s="1">
        <f>SUM(OSRRefP22_23x_0)</f>
        <v>-6328</v>
      </c>
      <c r="Q117" s="1"/>
      <c r="R117" s="5">
        <f t="shared" ref="R117:R118" si="89">IF(P$12=0,0,P117/P$12)</f>
        <v>-1.2616781994847217E-2</v>
      </c>
      <c r="S117" s="1"/>
      <c r="T117" s="1">
        <f>SUM(OSRRefT22_23x_0)</f>
        <v>13200</v>
      </c>
      <c r="U117" s="1"/>
      <c r="V117" s="5">
        <f t="shared" ref="V117:V118" si="90">IF(T$12=0,0,T117/T$12)</f>
        <v>1.0891403629642769E-2</v>
      </c>
      <c r="W117" s="1"/>
      <c r="X117" s="1">
        <f t="shared" ref="X117:X118" si="91">+P117-T117</f>
        <v>-19528</v>
      </c>
      <c r="Y117" s="1"/>
      <c r="Z117" s="5">
        <f t="shared" ref="Z117:Z118" si="92">IF(T117=0,0,X117/T117)</f>
        <v>-1.4793939393939395</v>
      </c>
    </row>
    <row r="118" spans="1:26" s="24" customFormat="1" hidden="1" outlineLevel="2" x14ac:dyDescent="0.25">
      <c r="A118" s="28"/>
      <c r="B118" s="11" t="str">
        <f>CONCATENATE("          ", "6274", " - ", "UTILITIES")</f>
        <v xml:space="preserve">          6274 - UTILITIES</v>
      </c>
      <c r="C118" s="11"/>
      <c r="D118" s="7">
        <v>-13228</v>
      </c>
      <c r="E118" s="2"/>
      <c r="F118" s="6">
        <f t="shared" si="85"/>
        <v>-6.7603024085442706E-2</v>
      </c>
      <c r="G118" s="2"/>
      <c r="H118" s="7">
        <v>3300</v>
      </c>
      <c r="I118" s="2"/>
      <c r="J118" s="6">
        <f t="shared" si="86"/>
        <v>5.693699662518893E-3</v>
      </c>
      <c r="K118" s="2"/>
      <c r="L118" s="7">
        <f t="shared" si="87"/>
        <v>-16528</v>
      </c>
      <c r="M118" s="2"/>
      <c r="N118" s="6">
        <f t="shared" si="88"/>
        <v>-5.0084848484848488</v>
      </c>
      <c r="O118" s="11"/>
      <c r="P118" s="7">
        <v>-6328</v>
      </c>
      <c r="Q118" s="2"/>
      <c r="R118" s="6">
        <f t="shared" si="89"/>
        <v>-1.2616781994847217E-2</v>
      </c>
      <c r="S118" s="2"/>
      <c r="T118" s="7">
        <v>13200</v>
      </c>
      <c r="U118" s="2"/>
      <c r="V118" s="6">
        <f t="shared" si="90"/>
        <v>1.0891403629642769E-2</v>
      </c>
      <c r="W118" s="2"/>
      <c r="X118" s="7">
        <f t="shared" si="91"/>
        <v>-19528</v>
      </c>
      <c r="Y118" s="2"/>
      <c r="Z118" s="6">
        <f t="shared" si="92"/>
        <v>-1.4793939393939395</v>
      </c>
    </row>
    <row r="119" spans="1:26" s="63" customFormat="1" x14ac:dyDescent="0.25">
      <c r="A119" s="36"/>
      <c r="B119" s="36"/>
      <c r="C119" s="36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6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collapsed="1" x14ac:dyDescent="0.25">
      <c r="A120" s="10"/>
      <c r="B120" s="25" t="s">
        <v>0</v>
      </c>
      <c r="C120" s="10"/>
      <c r="D120" s="4">
        <f>SUM(OSRRefD25x_0)</f>
        <v>457.28</v>
      </c>
      <c r="E120" s="4"/>
      <c r="F120" s="12">
        <f t="shared" ref="F120:F124" si="93">IF(D$12=0,0,D120/D$12)</f>
        <v>2.3369754198511671E-3</v>
      </c>
      <c r="G120" s="4"/>
      <c r="H120" s="4">
        <f>SUM(OSRRefH25x_0)</f>
        <v>8737</v>
      </c>
      <c r="I120" s="4"/>
      <c r="J120" s="12">
        <f t="shared" ref="J120:J124" si="94">IF(H$12=0,0,H120/H$12)</f>
        <v>1.5074501197402293E-2</v>
      </c>
      <c r="K120" s="4"/>
      <c r="L120" s="4">
        <f t="shared" ref="L120:L124" si="95">+D120-H120</f>
        <v>-8279.7199999999993</v>
      </c>
      <c r="M120" s="4"/>
      <c r="N120" s="12">
        <f t="shared" ref="N120:N124" si="96">IF(H120=0,0,L120/H120)</f>
        <v>-0.94766166876502222</v>
      </c>
      <c r="O120" s="10"/>
      <c r="P120" s="4">
        <f>SUM(OSRRefP25x_0)</f>
        <v>4077.2</v>
      </c>
      <c r="Q120" s="4"/>
      <c r="R120" s="12">
        <f t="shared" ref="R120:R124" si="97">IF(P$12=0,0,P120/P$12)</f>
        <v>8.1291314079315856E-3</v>
      </c>
      <c r="S120" s="4"/>
      <c r="T120" s="4">
        <f>SUM(OSRRefT25x_0)</f>
        <v>12972</v>
      </c>
      <c r="U120" s="4"/>
      <c r="V120" s="12">
        <f t="shared" ref="V120:V124" si="98">IF(T$12=0,0,T120/T$12)</f>
        <v>1.0703279385130758E-2</v>
      </c>
      <c r="W120" s="4"/>
      <c r="X120" s="4">
        <f t="shared" ref="X120:X124" si="99">+P120-T120</f>
        <v>-8894.7999999999993</v>
      </c>
      <c r="Y120" s="4"/>
      <c r="Z120" s="12">
        <f t="shared" ref="Z120:Z124" si="100">IF(T120=0,0,X120/T120)</f>
        <v>-0.68569226025285224</v>
      </c>
    </row>
    <row r="121" spans="1:26" s="24" customFormat="1" hidden="1" outlineLevel="1" x14ac:dyDescent="0.25">
      <c r="A121" s="51"/>
      <c r="B121" s="11" t="str">
        <f>CONCATENATE("          ", "9150", " - ", "MISC. INCOME")</f>
        <v xml:space="preserve">          9150 - MISC. INCOME</v>
      </c>
      <c r="C121" s="11"/>
      <c r="D121" s="2">
        <f>--119.09</f>
        <v>119.09</v>
      </c>
      <c r="E121" s="2"/>
      <c r="F121" s="22">
        <f t="shared" si="93"/>
        <v>6.0862141958991321E-4</v>
      </c>
      <c r="G121" s="2"/>
      <c r="H121" s="2">
        <v>3370</v>
      </c>
      <c r="I121" s="2"/>
      <c r="J121" s="22">
        <f t="shared" si="94"/>
        <v>5.814475109905657E-3</v>
      </c>
      <c r="K121" s="2"/>
      <c r="L121" s="2">
        <f t="shared" si="95"/>
        <v>-3250.91</v>
      </c>
      <c r="M121" s="2"/>
      <c r="N121" s="22">
        <f t="shared" si="96"/>
        <v>-0.96466172106824921</v>
      </c>
      <c r="O121" s="11"/>
      <c r="P121" s="2">
        <f>--923.77</f>
        <v>923.77</v>
      </c>
      <c r="Q121" s="2"/>
      <c r="R121" s="22">
        <f t="shared" si="97"/>
        <v>1.8418149025568921E-3</v>
      </c>
      <c r="S121" s="2"/>
      <c r="T121" s="2">
        <v>5406</v>
      </c>
      <c r="U121" s="2"/>
      <c r="V121" s="22">
        <f t="shared" si="98"/>
        <v>4.4605248501400621E-3</v>
      </c>
      <c r="W121" s="2"/>
      <c r="X121" s="2">
        <f t="shared" si="99"/>
        <v>-4482.2299999999996</v>
      </c>
      <c r="Y121" s="2"/>
      <c r="Z121" s="22">
        <f t="shared" si="100"/>
        <v>-0.82912134665186821</v>
      </c>
    </row>
    <row r="122" spans="1:26" s="24" customFormat="1" hidden="1" outlineLevel="1" x14ac:dyDescent="0.25">
      <c r="A122" s="51"/>
      <c r="B122" s="11" t="str">
        <f>CONCATENATE("          ", "9151", " - ", "MISC. INCOME")</f>
        <v xml:space="preserve">          9151 - MISC. INCOME</v>
      </c>
      <c r="C122" s="11"/>
      <c r="D122" s="2">
        <f>0</f>
        <v>0</v>
      </c>
      <c r="E122" s="2"/>
      <c r="F122" s="22">
        <f t="shared" si="93"/>
        <v>0</v>
      </c>
      <c r="G122" s="2"/>
      <c r="H122" s="2">
        <v>4811</v>
      </c>
      <c r="I122" s="2"/>
      <c r="J122" s="22">
        <f t="shared" si="94"/>
        <v>8.3007239625389074E-3</v>
      </c>
      <c r="K122" s="2"/>
      <c r="L122" s="2">
        <f t="shared" si="95"/>
        <v>-4811</v>
      </c>
      <c r="M122" s="2"/>
      <c r="N122" s="22">
        <f t="shared" si="96"/>
        <v>-1</v>
      </c>
      <c r="O122" s="11"/>
      <c r="P122" s="2">
        <f>0</f>
        <v>0</v>
      </c>
      <c r="Q122" s="2"/>
      <c r="R122" s="22">
        <f t="shared" si="97"/>
        <v>0</v>
      </c>
      <c r="S122" s="2"/>
      <c r="T122" s="2">
        <v>7010</v>
      </c>
      <c r="U122" s="2"/>
      <c r="V122" s="22">
        <f t="shared" si="98"/>
        <v>5.7839954124087739E-3</v>
      </c>
      <c r="W122" s="2"/>
      <c r="X122" s="2">
        <f t="shared" si="99"/>
        <v>-7010</v>
      </c>
      <c r="Y122" s="2"/>
      <c r="Z122" s="22">
        <f t="shared" si="100"/>
        <v>-1</v>
      </c>
    </row>
    <row r="123" spans="1:26" s="24" customFormat="1" hidden="1" outlineLevel="1" x14ac:dyDescent="0.25">
      <c r="A123" s="51"/>
      <c r="B123" s="11" t="str">
        <f>CONCATENATE("          ", "9160", " - ", "MISC. INCOME")</f>
        <v xml:space="preserve">          9160 - MISC. INCOME</v>
      </c>
      <c r="C123" s="11"/>
      <c r="D123" s="2">
        <f>--338.19</f>
        <v>338.19</v>
      </c>
      <c r="E123" s="2"/>
      <c r="F123" s="22">
        <f t="shared" si="93"/>
        <v>1.7283540002612542E-3</v>
      </c>
      <c r="G123" s="2"/>
      <c r="H123" s="2">
        <v>556</v>
      </c>
      <c r="I123" s="2"/>
      <c r="J123" s="22">
        <f t="shared" si="94"/>
        <v>9.5930212495772861E-4</v>
      </c>
      <c r="K123" s="2"/>
      <c r="L123" s="2">
        <f t="shared" si="95"/>
        <v>-217.81</v>
      </c>
      <c r="M123" s="2"/>
      <c r="N123" s="22">
        <f t="shared" si="96"/>
        <v>-0.39174460431654679</v>
      </c>
      <c r="O123" s="11"/>
      <c r="P123" s="2">
        <f>--2328.25</f>
        <v>2328.25</v>
      </c>
      <c r="Q123" s="2"/>
      <c r="R123" s="22">
        <f t="shared" si="97"/>
        <v>4.6420705877849291E-3</v>
      </c>
      <c r="S123" s="2"/>
      <c r="T123" s="2">
        <v>556</v>
      </c>
      <c r="U123" s="2"/>
      <c r="V123" s="22">
        <f t="shared" si="98"/>
        <v>4.5875912258192274E-4</v>
      </c>
      <c r="W123" s="2"/>
      <c r="X123" s="2">
        <f t="shared" si="99"/>
        <v>1772.25</v>
      </c>
      <c r="Y123" s="2"/>
      <c r="Z123" s="22">
        <f t="shared" si="100"/>
        <v>3.1875</v>
      </c>
    </row>
    <row r="124" spans="1:26" s="24" customFormat="1" hidden="1" outlineLevel="1" x14ac:dyDescent="0.25">
      <c r="A124" s="51"/>
      <c r="B124" s="11" t="str">
        <f>CONCATENATE("          ", "9165", " - ", "OTHER INCOME")</f>
        <v xml:space="preserve">          9165 - OTHER INCOME</v>
      </c>
      <c r="C124" s="11"/>
      <c r="D124" s="2">
        <f>0</f>
        <v>0</v>
      </c>
      <c r="E124" s="2"/>
      <c r="F124" s="22">
        <f t="shared" si="93"/>
        <v>0</v>
      </c>
      <c r="G124" s="2"/>
      <c r="H124" s="2"/>
      <c r="I124" s="2"/>
      <c r="J124" s="22">
        <f t="shared" si="94"/>
        <v>0</v>
      </c>
      <c r="K124" s="2"/>
      <c r="L124" s="2">
        <f t="shared" si="95"/>
        <v>0</v>
      </c>
      <c r="M124" s="2"/>
      <c r="N124" s="22">
        <f t="shared" si="96"/>
        <v>0</v>
      </c>
      <c r="O124" s="11"/>
      <c r="P124" s="2">
        <f>--825.18</f>
        <v>825.18</v>
      </c>
      <c r="Q124" s="2"/>
      <c r="R124" s="22">
        <f t="shared" si="97"/>
        <v>1.6452459175897638E-3</v>
      </c>
      <c r="S124" s="2"/>
      <c r="T124" s="2"/>
      <c r="U124" s="2"/>
      <c r="V124" s="22">
        <f t="shared" si="98"/>
        <v>0</v>
      </c>
      <c r="W124" s="2"/>
      <c r="X124" s="2">
        <f t="shared" si="99"/>
        <v>825.18</v>
      </c>
      <c r="Y124" s="2"/>
      <c r="Z124" s="22">
        <f t="shared" si="100"/>
        <v>0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10"/>
      <c r="B126" s="26" t="s">
        <v>3</v>
      </c>
      <c r="C126" s="26"/>
      <c r="D126" s="20">
        <f>+D27-D29+D120</f>
        <v>-288735.77999999997</v>
      </c>
      <c r="E126" s="13"/>
      <c r="F126" s="19">
        <f>IF(D$12=0,0,D126/D$12)</f>
        <v>-1.4756132362918872</v>
      </c>
      <c r="G126" s="13"/>
      <c r="H126" s="20">
        <f>+H27-H29+H120</f>
        <v>-119086.00762754865</v>
      </c>
      <c r="I126" s="13"/>
      <c r="J126" s="19">
        <f>IF(H$12=0,0,H126/H$12)</f>
        <v>-0.20546665498172606</v>
      </c>
      <c r="K126" s="15"/>
      <c r="L126" s="20">
        <f>+D126-H126</f>
        <v>-169649.77237245132</v>
      </c>
      <c r="M126" s="15"/>
      <c r="N126" s="19">
        <f>IF(H126=0,0,L126/H126)</f>
        <v>1.4245987060297212</v>
      </c>
      <c r="O126" s="25"/>
      <c r="P126" s="20">
        <f>+P27-P29+P120</f>
        <v>-1042367.31</v>
      </c>
      <c r="Q126" s="13"/>
      <c r="R126" s="19">
        <f>IF(P$12=0,0,P126/P$12)</f>
        <v>-2.0782745115084271</v>
      </c>
      <c r="S126" s="13"/>
      <c r="T126" s="20">
        <f>+T27-T29+T120</f>
        <v>-953371.86863225838</v>
      </c>
      <c r="U126" s="13"/>
      <c r="V126" s="19">
        <f>IF(T$12=0,0,T126/T$12)</f>
        <v>-0.78663316897126434</v>
      </c>
      <c r="W126" s="15"/>
      <c r="X126" s="20">
        <f>+P126-T126</f>
        <v>-88995.441367741674</v>
      </c>
      <c r="Y126" s="15"/>
      <c r="Z126" s="19">
        <f>IF(T126=0,0,X126/T126)</f>
        <v>9.3348088291526521E-2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52"/>
      <c r="B128" s="10" t="s">
        <v>14</v>
      </c>
      <c r="C128" s="10"/>
      <c r="D128" s="4">
        <v>51981.18</v>
      </c>
      <c r="E128" s="4"/>
      <c r="F128" s="12">
        <f>IF(D$12=0,0,D128/D$12)</f>
        <v>0.26565504713711313</v>
      </c>
      <c r="G128" s="4"/>
      <c r="H128" s="4">
        <v>106999</v>
      </c>
      <c r="I128" s="4"/>
      <c r="J128" s="12">
        <f>IF(H$12=0,0,H128/H$12)</f>
        <v>0.18461217278480577</v>
      </c>
      <c r="K128" s="4"/>
      <c r="L128" s="4">
        <f>+D128-H128</f>
        <v>-55017.82</v>
      </c>
      <c r="M128" s="4"/>
      <c r="N128" s="12">
        <f>IF(H128=0,0,L128/H128)</f>
        <v>-0.51419003915924444</v>
      </c>
      <c r="O128" s="10"/>
      <c r="P128" s="4">
        <v>108647.44</v>
      </c>
      <c r="Q128" s="4"/>
      <c r="R128" s="12">
        <f>IF(P$12=0,0,P128/P$12)</f>
        <v>0.21662153362488043</v>
      </c>
      <c r="S128" s="4"/>
      <c r="T128" s="4">
        <v>198423</v>
      </c>
      <c r="U128" s="4"/>
      <c r="V128" s="12">
        <f>IF(T$12=0,0,T128/T$12)</f>
        <v>0.16372007442459147</v>
      </c>
      <c r="W128" s="4"/>
      <c r="X128" s="4">
        <f>+P128-T128</f>
        <v>-89775.56</v>
      </c>
      <c r="Y128" s="4"/>
      <c r="Z128" s="12">
        <f>IF(T128=0,0,X128/T128)</f>
        <v>-0.45244533143839172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6" t="s">
        <v>4</v>
      </c>
      <c r="C130" s="26"/>
      <c r="D130" s="34">
        <f>+D126-D128</f>
        <v>-340716.95999999996</v>
      </c>
      <c r="E130" s="13"/>
      <c r="F130" s="35">
        <f>IF(D$12=0,0,D130/D$12)</f>
        <v>-1.7412682834290005</v>
      </c>
      <c r="G130" s="13"/>
      <c r="H130" s="34">
        <f>+H126-H128</f>
        <v>-226085.00762754865</v>
      </c>
      <c r="I130" s="13"/>
      <c r="J130" s="35">
        <f>IF(H$12=0,0,H130/H$12)</f>
        <v>-0.39007882776653185</v>
      </c>
      <c r="K130" s="15"/>
      <c r="L130" s="34">
        <f>D130-H130</f>
        <v>-114631.95237245131</v>
      </c>
      <c r="M130" s="15"/>
      <c r="N130" s="35">
        <f>IF(H130=0,0,L130/H130)</f>
        <v>0.50703031384237307</v>
      </c>
      <c r="O130" s="25"/>
      <c r="P130" s="34">
        <f>+P126-P128</f>
        <v>-1151014.75</v>
      </c>
      <c r="Q130" s="13"/>
      <c r="R130" s="35">
        <f>IF(P$12=0,0,P130/P$12)</f>
        <v>-2.2948960451333074</v>
      </c>
      <c r="S130" s="13"/>
      <c r="T130" s="34">
        <f>+T126-T128</f>
        <v>-1151794.8686322584</v>
      </c>
      <c r="U130" s="13"/>
      <c r="V130" s="35">
        <f>IF(T$12=0,0,T130/T$12)</f>
        <v>-0.95035324339585581</v>
      </c>
      <c r="W130" s="15"/>
      <c r="X130" s="34">
        <f>P130-T130</f>
        <v>780.11863225838169</v>
      </c>
      <c r="Y130" s="15"/>
      <c r="Z130" s="35">
        <f>IF(T130=0,0,X130/T130)</f>
        <v>-6.7730691766734697E-4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6" t="s">
        <v>5</v>
      </c>
      <c r="C133" s="26"/>
      <c r="D133" s="30">
        <f>SUM(D130:D132)</f>
        <v>-340716.95999999996</v>
      </c>
      <c r="E133" s="13"/>
      <c r="F133" s="32">
        <f>IF(D$12=0,0,D133/D$12)</f>
        <v>-1.7412682834290005</v>
      </c>
      <c r="G133" s="13"/>
      <c r="H133" s="30">
        <f>SUM(H130:H132)</f>
        <v>-226085.00762754865</v>
      </c>
      <c r="I133" s="13"/>
      <c r="J133" s="32">
        <f>IF(H$12=0,0,H133/H$12)</f>
        <v>-0.39007882776653185</v>
      </c>
      <c r="K133" s="15"/>
      <c r="L133" s="30">
        <f>+D133-H133</f>
        <v>-114631.95237245131</v>
      </c>
      <c r="M133" s="15"/>
      <c r="N133" s="32">
        <f>IF(H133=0,0,L133/H133)</f>
        <v>0.50703031384237307</v>
      </c>
      <c r="O133" s="25"/>
      <c r="P133" s="30">
        <f>SUM(P130:P132)</f>
        <v>-1151014.75</v>
      </c>
      <c r="Q133" s="13"/>
      <c r="R133" s="32">
        <f>IF(P$12=0,0,P133/P$12)</f>
        <v>-2.2948960451333074</v>
      </c>
      <c r="S133" s="13"/>
      <c r="T133" s="30">
        <f>SUM(T130:T132)</f>
        <v>-1151794.8686322584</v>
      </c>
      <c r="U133" s="13"/>
      <c r="V133" s="32">
        <f>IF(T$12=0,0,T133/T$12)</f>
        <v>-0.95035324339585581</v>
      </c>
      <c r="W133" s="15"/>
      <c r="X133" s="30">
        <f>+P133-T133</f>
        <v>780.11863225838169</v>
      </c>
      <c r="Y133" s="15"/>
      <c r="Z133" s="32">
        <f>IF(T133=0,0,X133/T133)</f>
        <v>-6.7730691766734697E-4</v>
      </c>
    </row>
    <row r="134" spans="1:26" ht="15.75" thickTop="1" x14ac:dyDescent="0.25">
      <c r="A134" s="9"/>
      <c r="C134" s="9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60">
        <v>44151.567859953706</v>
      </c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A136" s="9"/>
      <c r="B136" s="58" t="s">
        <v>314</v>
      </c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A137" s="9"/>
      <c r="B137" s="53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313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43520.9</v>
      </c>
      <c r="E12" s="4"/>
      <c r="F12" s="12"/>
      <c r="G12" s="4"/>
      <c r="H12" s="4">
        <f>SUM(OSRRefH13x_0)</f>
        <v>94471</v>
      </c>
      <c r="I12" s="4"/>
      <c r="J12" s="12"/>
      <c r="K12" s="4"/>
      <c r="L12" s="4">
        <f t="shared" ref="L12:L21" si="0">+D12-H12</f>
        <v>-50950.1</v>
      </c>
      <c r="M12" s="4"/>
      <c r="N12" s="12">
        <f t="shared" ref="N12:N21" si="1">IF(H12=0,0,L12/H12)</f>
        <v>-0.5393200029638725</v>
      </c>
      <c r="O12" s="10"/>
      <c r="P12" s="4">
        <f>SUM(OSRRefP13x_0)</f>
        <v>60478.87</v>
      </c>
      <c r="Q12" s="4"/>
      <c r="R12" s="12"/>
      <c r="S12" s="4"/>
      <c r="T12" s="4">
        <f>SUM(OSRRefT13x_0)</f>
        <v>184038</v>
      </c>
      <c r="U12" s="4"/>
      <c r="V12" s="12"/>
      <c r="W12" s="4"/>
      <c r="X12" s="4">
        <f t="shared" ref="X12:X21" si="2">+P12-T12</f>
        <v>-123559.13</v>
      </c>
      <c r="Y12" s="4"/>
      <c r="Z12" s="12">
        <f t="shared" ref="Z12:Z21" si="3">IF(T12=0,0,X12/T12)</f>
        <v>-0.67137835664373668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14495</v>
      </c>
      <c r="I13" s="2"/>
      <c r="J13" s="22"/>
      <c r="K13" s="2"/>
      <c r="L13" s="2">
        <f t="shared" si="0"/>
        <v>-14495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29328</v>
      </c>
      <c r="U13" s="2"/>
      <c r="V13" s="22"/>
      <c r="W13" s="2"/>
      <c r="X13" s="2">
        <f t="shared" si="2"/>
        <v>-29328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"4051", " - ", "TAXABLE SALES-FOOD")</f>
        <v xml:space="preserve">          4051 - TAXABLE SALES-FOOD</v>
      </c>
      <c r="C15" s="11"/>
      <c r="D15" s="2">
        <f>--6097.26</f>
        <v>6097.26</v>
      </c>
      <c r="E15" s="2"/>
      <c r="F15" s="22"/>
      <c r="G15" s="2"/>
      <c r="H15" s="2"/>
      <c r="I15" s="2"/>
      <c r="J15" s="22"/>
      <c r="K15" s="2"/>
      <c r="L15" s="2">
        <f t="shared" si="0"/>
        <v>6097.26</v>
      </c>
      <c r="M15" s="2"/>
      <c r="N15" s="22">
        <f t="shared" si="1"/>
        <v>0</v>
      </c>
      <c r="O15" s="11"/>
      <c r="P15" s="2">
        <f>--12749.94</f>
        <v>12749.94</v>
      </c>
      <c r="Q15" s="2"/>
      <c r="R15" s="22"/>
      <c r="S15" s="2"/>
      <c r="T15" s="2"/>
      <c r="U15" s="2"/>
      <c r="V15" s="22"/>
      <c r="W15" s="2"/>
      <c r="X15" s="2">
        <f t="shared" si="2"/>
        <v>12749.94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"4052", " - ", "TAXABLE SALES-FOOD")</f>
        <v xml:space="preserve">          4052 - TAXABLE SALES-FOOD</v>
      </c>
      <c r="C16" s="11"/>
      <c r="D16" s="2">
        <f>--30231.29</f>
        <v>30231.29</v>
      </c>
      <c r="E16" s="2"/>
      <c r="F16" s="22"/>
      <c r="G16" s="2"/>
      <c r="H16" s="2"/>
      <c r="I16" s="2"/>
      <c r="J16" s="22"/>
      <c r="K16" s="2"/>
      <c r="L16" s="2">
        <f t="shared" si="0"/>
        <v>30231.29</v>
      </c>
      <c r="M16" s="2"/>
      <c r="N16" s="22">
        <f t="shared" si="1"/>
        <v>0</v>
      </c>
      <c r="O16" s="11"/>
      <c r="P16" s="2">
        <f>--30231.29</f>
        <v>30231.29</v>
      </c>
      <c r="Q16" s="2"/>
      <c r="R16" s="22"/>
      <c r="S16" s="2"/>
      <c r="T16" s="2"/>
      <c r="U16" s="2"/>
      <c r="V16" s="22"/>
      <c r="W16" s="2"/>
      <c r="X16" s="2">
        <f t="shared" si="2"/>
        <v>30231.29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19" si="5"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--974.91</f>
        <v>974.91</v>
      </c>
      <c r="Q17" s="2"/>
      <c r="R17" s="22"/>
      <c r="S17" s="2"/>
      <c r="T17" s="2"/>
      <c r="U17" s="2"/>
      <c r="V17" s="22"/>
      <c r="W17" s="2"/>
      <c r="X17" s="2">
        <f t="shared" si="2"/>
        <v>974.91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 t="shared" si="5"/>
        <v>0</v>
      </c>
      <c r="E18" s="2"/>
      <c r="F18" s="22"/>
      <c r="G18" s="2"/>
      <c r="H18" s="2">
        <v>79976</v>
      </c>
      <c r="I18" s="2"/>
      <c r="J18" s="22"/>
      <c r="K18" s="2"/>
      <c r="L18" s="2">
        <f t="shared" si="0"/>
        <v>-79976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154710</v>
      </c>
      <c r="U18" s="2"/>
      <c r="V18" s="22"/>
      <c r="W18" s="2"/>
      <c r="X18" s="2">
        <f t="shared" si="2"/>
        <v>-154710</v>
      </c>
      <c r="Y18" s="2"/>
      <c r="Z18" s="22">
        <f t="shared" si="3"/>
        <v>-1</v>
      </c>
    </row>
    <row r="19" spans="1:26" s="24" customFormat="1" hidden="1" outlineLevel="1" x14ac:dyDescent="0.25">
      <c r="A19" s="51"/>
      <c r="B19" s="11" t="str">
        <f>CONCATENATE("          ", "4132", " - ", "NON-TAXABLE SALES-JUICE")</f>
        <v xml:space="preserve">          4132 - NON-TAXABLE SALES-JUICE</v>
      </c>
      <c r="C19" s="11"/>
      <c r="D19" s="2">
        <f t="shared" si="5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--2031.88</f>
        <v>2031.88</v>
      </c>
      <c r="Q19" s="2"/>
      <c r="R19" s="22"/>
      <c r="S19" s="2"/>
      <c r="T19" s="2"/>
      <c r="U19" s="2"/>
      <c r="V19" s="22"/>
      <c r="W19" s="2"/>
      <c r="X19" s="2">
        <f t="shared" si="2"/>
        <v>2031.88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"4151", " - ", "NON-TAXABLE SALES-FOOD")</f>
        <v xml:space="preserve">          4151 - NON-TAXABLE SALES-FOOD</v>
      </c>
      <c r="C20" s="11"/>
      <c r="D20" s="2">
        <f>--7192.35</f>
        <v>7192.35</v>
      </c>
      <c r="E20" s="2"/>
      <c r="F20" s="22"/>
      <c r="G20" s="2"/>
      <c r="H20" s="2"/>
      <c r="I20" s="2"/>
      <c r="J20" s="22"/>
      <c r="K20" s="2"/>
      <c r="L20" s="2">
        <f t="shared" si="0"/>
        <v>7192.35</v>
      </c>
      <c r="M20" s="2"/>
      <c r="N20" s="22">
        <f t="shared" si="1"/>
        <v>0</v>
      </c>
      <c r="O20" s="11"/>
      <c r="P20" s="2">
        <f>--13936.26</f>
        <v>13936.26</v>
      </c>
      <c r="Q20" s="2"/>
      <c r="R20" s="22"/>
      <c r="S20" s="2"/>
      <c r="T20" s="2"/>
      <c r="U20" s="2"/>
      <c r="V20" s="22"/>
      <c r="W20" s="2"/>
      <c r="X20" s="2">
        <f t="shared" si="2"/>
        <v>13936.26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"4153", " - ", "NON-TAXABLE SALES-FOOD")</f>
        <v xml:space="preserve">          4153 - NON-TAXABLE SALES-FOOD</v>
      </c>
      <c r="C21" s="11"/>
      <c r="D21" s="2">
        <f>0</f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--110</f>
        <v>110</v>
      </c>
      <c r="Q21" s="2"/>
      <c r="R21" s="22"/>
      <c r="S21" s="2"/>
      <c r="T21" s="2"/>
      <c r="U21" s="2"/>
      <c r="V21" s="22"/>
      <c r="W21" s="2"/>
      <c r="X21" s="2">
        <f t="shared" si="2"/>
        <v>110</v>
      </c>
      <c r="Y21" s="2"/>
      <c r="Z21" s="22">
        <f t="shared" si="3"/>
        <v>0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5" t="s">
        <v>8</v>
      </c>
      <c r="C23" s="10"/>
      <c r="D23" s="4">
        <f>SUM(OSRRefD16x_0)</f>
        <v>16854.900000000001</v>
      </c>
      <c r="E23" s="4"/>
      <c r="F23" s="12">
        <f t="shared" ref="F23:F26" si="6">IF(D$12=0,0,D23/D$12)</f>
        <v>0.38728289166814106</v>
      </c>
      <c r="G23" s="4"/>
      <c r="H23" s="4">
        <f>SUM(OSRRefH16x_0)</f>
        <v>35668</v>
      </c>
      <c r="I23" s="4"/>
      <c r="J23" s="12">
        <f t="shared" ref="J23:J26" si="7">IF(H$12=0,0,H23/H$12)</f>
        <v>0.37755501688348808</v>
      </c>
      <c r="K23" s="4"/>
      <c r="L23" s="4">
        <f t="shared" ref="L23:L26" si="8">+D23-H23</f>
        <v>-18813.099999999999</v>
      </c>
      <c r="M23" s="4"/>
      <c r="N23" s="12">
        <f t="shared" ref="N23:N26" si="9">IF(H23=0,0,L23/H23)</f>
        <v>-0.52745037568689013</v>
      </c>
      <c r="O23" s="10"/>
      <c r="P23" s="4">
        <f>SUM(OSRRefP16x_0)</f>
        <v>20654.809999999998</v>
      </c>
      <c r="Q23" s="4"/>
      <c r="R23" s="12">
        <f t="shared" ref="R23:R26" si="10">IF(P$12=0,0,P23/P$12)</f>
        <v>0.34152109654165158</v>
      </c>
      <c r="S23" s="4"/>
      <c r="T23" s="4">
        <f>SUM(OSRRefT16x_0)</f>
        <v>71092</v>
      </c>
      <c r="U23" s="4"/>
      <c r="V23" s="12">
        <f t="shared" ref="V23:V26" si="11">IF(T$12=0,0,T23/T$12)</f>
        <v>0.38628978797856967</v>
      </c>
      <c r="W23" s="4"/>
      <c r="X23" s="4">
        <f t="shared" ref="X23:X26" si="12">+P23-T23</f>
        <v>-50437.19</v>
      </c>
      <c r="Y23" s="4"/>
      <c r="Z23" s="12">
        <f t="shared" ref="Z23:Z26" si="13">IF(T23=0,0,X23/T23)</f>
        <v>-0.70946365273167167</v>
      </c>
    </row>
    <row r="24" spans="1:26" s="24" customFormat="1" hidden="1" outlineLevel="1" x14ac:dyDescent="0.25">
      <c r="A24" s="51"/>
      <c r="B24" s="11" t="str">
        <f>CONCATENATE("          ", "5000", " - ", "PURCHASES @ COST")</f>
        <v xml:space="preserve">          5000 - PURCHASES @ COST</v>
      </c>
      <c r="C24" s="11"/>
      <c r="D24" s="2"/>
      <c r="E24" s="2"/>
      <c r="F24" s="22">
        <f t="shared" si="6"/>
        <v>0</v>
      </c>
      <c r="G24" s="2"/>
      <c r="H24" s="2">
        <v>35668</v>
      </c>
      <c r="I24" s="2"/>
      <c r="J24" s="22">
        <f t="shared" si="7"/>
        <v>0.37755501688348808</v>
      </c>
      <c r="K24" s="2"/>
      <c r="L24" s="2">
        <f t="shared" si="8"/>
        <v>-35668</v>
      </c>
      <c r="M24" s="2"/>
      <c r="N24" s="22">
        <f t="shared" si="9"/>
        <v>-1</v>
      </c>
      <c r="O24" s="11"/>
      <c r="P24" s="2"/>
      <c r="Q24" s="2"/>
      <c r="R24" s="22">
        <f t="shared" si="10"/>
        <v>0</v>
      </c>
      <c r="S24" s="2"/>
      <c r="T24" s="2">
        <v>71092</v>
      </c>
      <c r="U24" s="2"/>
      <c r="V24" s="22">
        <f t="shared" si="11"/>
        <v>0.38628978797856967</v>
      </c>
      <c r="W24" s="2"/>
      <c r="X24" s="2">
        <f t="shared" si="12"/>
        <v>-71092</v>
      </c>
      <c r="Y24" s="2"/>
      <c r="Z24" s="22">
        <f t="shared" si="13"/>
        <v>-1</v>
      </c>
    </row>
    <row r="25" spans="1:26" s="24" customFormat="1" hidden="1" outlineLevel="1" x14ac:dyDescent="0.25">
      <c r="A25" s="51"/>
      <c r="B25" s="11" t="str">
        <f>CONCATENATE("          ", "5053", " - ", "PURCHASES @ COST-FOOD")</f>
        <v xml:space="preserve">          5053 - PURCHASES @ COST-FOOD</v>
      </c>
      <c r="C25" s="11"/>
      <c r="D25" s="2">
        <v>3628.9</v>
      </c>
      <c r="E25" s="2"/>
      <c r="F25" s="22">
        <f t="shared" si="6"/>
        <v>8.3382926364114707E-2</v>
      </c>
      <c r="G25" s="2"/>
      <c r="H25" s="2"/>
      <c r="I25" s="2"/>
      <c r="J25" s="22">
        <f t="shared" si="7"/>
        <v>0</v>
      </c>
      <c r="K25" s="2"/>
      <c r="L25" s="2">
        <f t="shared" si="8"/>
        <v>3628.9</v>
      </c>
      <c r="M25" s="2"/>
      <c r="N25" s="22">
        <f t="shared" si="9"/>
        <v>0</v>
      </c>
      <c r="O25" s="11"/>
      <c r="P25" s="2">
        <v>6773.84</v>
      </c>
      <c r="Q25" s="2"/>
      <c r="R25" s="22">
        <f t="shared" si="10"/>
        <v>0.11200341540772835</v>
      </c>
      <c r="S25" s="2"/>
      <c r="T25" s="2"/>
      <c r="U25" s="2"/>
      <c r="V25" s="22">
        <f t="shared" si="11"/>
        <v>0</v>
      </c>
      <c r="W25" s="2"/>
      <c r="X25" s="2">
        <f t="shared" si="12"/>
        <v>6773.84</v>
      </c>
      <c r="Y25" s="2"/>
      <c r="Z25" s="22">
        <f t="shared" si="13"/>
        <v>0</v>
      </c>
    </row>
    <row r="26" spans="1:26" s="24" customFormat="1" hidden="1" outlineLevel="1" x14ac:dyDescent="0.25">
      <c r="A26" s="51"/>
      <c r="B26" s="11" t="str">
        <f>CONCATENATE("          ", "5059", " - ", "PURCHASES @ COST-FOOD")</f>
        <v xml:space="preserve">          5059 - PURCHASES @ COST-FOOD</v>
      </c>
      <c r="C26" s="11"/>
      <c r="D26" s="2">
        <v>13226</v>
      </c>
      <c r="E26" s="2"/>
      <c r="F26" s="22">
        <f t="shared" si="6"/>
        <v>0.30389996530402635</v>
      </c>
      <c r="G26" s="2"/>
      <c r="H26" s="2"/>
      <c r="I26" s="2"/>
      <c r="J26" s="22">
        <f t="shared" si="7"/>
        <v>0</v>
      </c>
      <c r="K26" s="2"/>
      <c r="L26" s="2">
        <f t="shared" si="8"/>
        <v>13226</v>
      </c>
      <c r="M26" s="2"/>
      <c r="N26" s="22">
        <f t="shared" si="9"/>
        <v>0</v>
      </c>
      <c r="O26" s="11"/>
      <c r="P26" s="2">
        <v>13880.97</v>
      </c>
      <c r="Q26" s="2"/>
      <c r="R26" s="22">
        <f t="shared" si="10"/>
        <v>0.22951768113392329</v>
      </c>
      <c r="S26" s="2"/>
      <c r="T26" s="2"/>
      <c r="U26" s="2"/>
      <c r="V26" s="22">
        <f t="shared" si="11"/>
        <v>0</v>
      </c>
      <c r="W26" s="2"/>
      <c r="X26" s="2">
        <f t="shared" si="12"/>
        <v>13880.97</v>
      </c>
      <c r="Y26" s="2"/>
      <c r="Z26" s="22">
        <f t="shared" si="13"/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6</v>
      </c>
      <c r="C28" s="26"/>
      <c r="D28" s="20">
        <f>D12-D23</f>
        <v>26666</v>
      </c>
      <c r="E28" s="13"/>
      <c r="F28" s="19">
        <f>IF(D$12=0,0,D28/D$12)</f>
        <v>0.61271710833185888</v>
      </c>
      <c r="G28" s="13"/>
      <c r="H28" s="20">
        <f>H12-H23</f>
        <v>58803</v>
      </c>
      <c r="I28" s="13"/>
      <c r="J28" s="19">
        <f>IF(H$12=0,0,H28/H$12)</f>
        <v>0.62244498311651197</v>
      </c>
      <c r="K28" s="15"/>
      <c r="L28" s="20">
        <f>+D28-H28</f>
        <v>-32137</v>
      </c>
      <c r="M28" s="15"/>
      <c r="N28" s="19">
        <f>IF(H28=0,0,L28/H28)</f>
        <v>-0.54651973538765031</v>
      </c>
      <c r="O28" s="25"/>
      <c r="P28" s="20">
        <f>P12-P23</f>
        <v>39824.060000000005</v>
      </c>
      <c r="Q28" s="13"/>
      <c r="R28" s="19">
        <f>IF(P$12=0,0,P28/P$12)</f>
        <v>0.65847890345834836</v>
      </c>
      <c r="S28" s="13"/>
      <c r="T28" s="20">
        <f>T12-T23</f>
        <v>112946</v>
      </c>
      <c r="U28" s="13"/>
      <c r="V28" s="19">
        <f>IF(T$12=0,0,T28/T$12)</f>
        <v>0.61371021202143039</v>
      </c>
      <c r="W28" s="15"/>
      <c r="X28" s="20">
        <f>+P28-T28</f>
        <v>-73121.94</v>
      </c>
      <c r="Y28" s="15"/>
      <c r="Z28" s="19">
        <f>IF(T28=0,0,X28/T28)</f>
        <v>-0.64740619411045985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9</v>
      </c>
      <c r="C30" s="10"/>
      <c r="D30" s="21">
        <f>SUM(OSRRefD22x_0)</f>
        <v>145968.51</v>
      </c>
      <c r="E30" s="21"/>
      <c r="F30" s="31">
        <f t="shared" ref="F30:F40" si="14">IF(D$12=0,0,D30/D$12)</f>
        <v>3.3539864754635129</v>
      </c>
      <c r="G30" s="21"/>
      <c r="H30" s="21">
        <f>SUM(OSRRefH22x_0)</f>
        <v>185688.46642589101</v>
      </c>
      <c r="I30" s="21"/>
      <c r="J30" s="31">
        <f t="shared" ref="J30:J40" si="15">IF(H$12=0,0,H30/H$12)</f>
        <v>1.9655605045558002</v>
      </c>
      <c r="K30" s="4"/>
      <c r="L30" s="21">
        <f t="shared" ref="L30:L40" si="16">+D30-H30</f>
        <v>-39719.956425890996</v>
      </c>
      <c r="M30" s="4"/>
      <c r="N30" s="31">
        <f t="shared" ref="N30:N40" si="17">IF(H30=0,0,L30/H30)</f>
        <v>-0.21390642720259304</v>
      </c>
      <c r="O30" s="10"/>
      <c r="P30" s="21">
        <f>SUM(OSRRefP22x_0)</f>
        <v>573191.00999999978</v>
      </c>
      <c r="Q30" s="21"/>
      <c r="R30" s="31">
        <f t="shared" ref="R30:R40" si="18">IF(P$12=0,0,P30/P$12)</f>
        <v>9.4775416604179235</v>
      </c>
      <c r="S30" s="21"/>
      <c r="T30" s="21">
        <f>SUM(OSRRefT22x_0)</f>
        <v>646682.28452824103</v>
      </c>
      <c r="U30" s="21"/>
      <c r="V30" s="31">
        <f t="shared" ref="V30:V40" si="19">IF(T$12=0,0,T30/T$12)</f>
        <v>3.5138519464906217</v>
      </c>
      <c r="W30" s="4"/>
      <c r="X30" s="21">
        <f t="shared" ref="X30:X40" si="20">+P30-T30</f>
        <v>-73491.274528241251</v>
      </c>
      <c r="Y30" s="4"/>
      <c r="Z30" s="31">
        <f t="shared" ref="Z30:Z40" si="21">IF(T30=0,0,X30/T30)</f>
        <v>-0.11364355617357544</v>
      </c>
    </row>
    <row r="31" spans="1:26" s="27" customFormat="1" outlineLevel="1" collapsed="1" x14ac:dyDescent="0.25">
      <c r="A31" s="29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29664.920000000002</v>
      </c>
      <c r="E31" s="1"/>
      <c r="F31" s="5">
        <f t="shared" si="14"/>
        <v>0.68162469066586395</v>
      </c>
      <c r="G31" s="1"/>
      <c r="H31" s="1">
        <f>SUM(OSRRefH22_0x_0)</f>
        <v>23668.730977173076</v>
      </c>
      <c r="I31" s="1"/>
      <c r="J31" s="5">
        <f t="shared" si="15"/>
        <v>0.25053964684583707</v>
      </c>
      <c r="K31" s="1"/>
      <c r="L31" s="1">
        <f t="shared" si="16"/>
        <v>5996.1890228269258</v>
      </c>
      <c r="M31" s="1"/>
      <c r="N31" s="5">
        <f t="shared" si="17"/>
        <v>0.25333800230396186</v>
      </c>
      <c r="O31" s="14"/>
      <c r="P31" s="1">
        <f>SUM(OSRRefP22_0x_0)</f>
        <v>119459.86999999998</v>
      </c>
      <c r="Q31" s="1"/>
      <c r="R31" s="5">
        <f t="shared" si="18"/>
        <v>1.9752331682123025</v>
      </c>
      <c r="S31" s="1"/>
      <c r="T31" s="1">
        <f>SUM(OSRRefT22_0x_0)</f>
        <v>87301.543579523102</v>
      </c>
      <c r="U31" s="1"/>
      <c r="V31" s="5">
        <f t="shared" si="19"/>
        <v>0.4743669436720846</v>
      </c>
      <c r="W31" s="1"/>
      <c r="X31" s="1">
        <f t="shared" si="20"/>
        <v>32158.326420476878</v>
      </c>
      <c r="Y31" s="1"/>
      <c r="Z31" s="5">
        <f t="shared" si="21"/>
        <v>0.36835919620577856</v>
      </c>
    </row>
    <row r="32" spans="1:26" s="24" customFormat="1" hidden="1" outlineLevel="2" x14ac:dyDescent="0.25">
      <c r="A32" s="28"/>
      <c r="B32" s="11" t="str">
        <f>CONCATENATE("          ", "6111", " - ", "F.I.C.A.")</f>
        <v xml:space="preserve">          6111 - F.I.C.A.</v>
      </c>
      <c r="C32" s="11"/>
      <c r="D32" s="7">
        <v>6149.64</v>
      </c>
      <c r="E32" s="2"/>
      <c r="F32" s="6">
        <f t="shared" si="14"/>
        <v>0.14130314400667265</v>
      </c>
      <c r="G32" s="2"/>
      <c r="H32" s="7">
        <v>3134.6086062115396</v>
      </c>
      <c r="I32" s="2"/>
      <c r="J32" s="6">
        <f t="shared" si="15"/>
        <v>3.318064386120121E-2</v>
      </c>
      <c r="K32" s="2"/>
      <c r="L32" s="7">
        <f t="shared" si="16"/>
        <v>3015.0313937884607</v>
      </c>
      <c r="M32" s="2"/>
      <c r="N32" s="6">
        <f t="shared" si="17"/>
        <v>0.96185258593812173</v>
      </c>
      <c r="O32" s="11"/>
      <c r="P32" s="7">
        <v>15919.510000000002</v>
      </c>
      <c r="Q32" s="2"/>
      <c r="R32" s="6">
        <f t="shared" si="18"/>
        <v>0.26322432942282159</v>
      </c>
      <c r="S32" s="2"/>
      <c r="T32" s="7">
        <v>11138.234245061542</v>
      </c>
      <c r="U32" s="2"/>
      <c r="V32" s="6">
        <f t="shared" si="19"/>
        <v>6.0521382785411387E-2</v>
      </c>
      <c r="W32" s="2"/>
      <c r="X32" s="7">
        <f t="shared" si="20"/>
        <v>4781.2757549384605</v>
      </c>
      <c r="Y32" s="2"/>
      <c r="Z32" s="6">
        <f t="shared" si="21"/>
        <v>0.42926694211502847</v>
      </c>
    </row>
    <row r="33" spans="1:26" s="24" customFormat="1" hidden="1" outlineLevel="2" x14ac:dyDescent="0.25">
      <c r="A33" s="28"/>
      <c r="B33" s="11" t="str">
        <f>CONCATENATE("          ", "6112", " - ", "COMPENSATION INSURANCE")</f>
        <v xml:space="preserve">          6112 - COMPENSATION INSURANCE</v>
      </c>
      <c r="C33" s="11"/>
      <c r="D33" s="7">
        <v>820.07</v>
      </c>
      <c r="E33" s="2"/>
      <c r="F33" s="6">
        <f t="shared" si="14"/>
        <v>1.8843130541877581E-2</v>
      </c>
      <c r="G33" s="2"/>
      <c r="H33" s="7">
        <v>1254.394704423077</v>
      </c>
      <c r="I33" s="2"/>
      <c r="J33" s="6">
        <f t="shared" si="15"/>
        <v>1.3278092794858497E-2</v>
      </c>
      <c r="K33" s="2"/>
      <c r="L33" s="7">
        <f t="shared" si="16"/>
        <v>-434.32470442307692</v>
      </c>
      <c r="M33" s="2"/>
      <c r="N33" s="6">
        <f t="shared" si="17"/>
        <v>-0.34624245693290945</v>
      </c>
      <c r="O33" s="11"/>
      <c r="P33" s="7">
        <v>3324.26</v>
      </c>
      <c r="Q33" s="2"/>
      <c r="R33" s="6">
        <f t="shared" si="18"/>
        <v>5.4965643372635764E-2</v>
      </c>
      <c r="S33" s="2"/>
      <c r="T33" s="7">
        <v>3967.3395209230771</v>
      </c>
      <c r="U33" s="2"/>
      <c r="V33" s="6">
        <f t="shared" si="19"/>
        <v>2.1557175805665553E-2</v>
      </c>
      <c r="W33" s="2"/>
      <c r="X33" s="7">
        <f t="shared" si="20"/>
        <v>-643.07952092307687</v>
      </c>
      <c r="Y33" s="2"/>
      <c r="Z33" s="6">
        <f t="shared" si="21"/>
        <v>-0.16209339219181629</v>
      </c>
    </row>
    <row r="34" spans="1:26" s="24" customFormat="1" hidden="1" outlineLevel="2" x14ac:dyDescent="0.25">
      <c r="A34" s="28"/>
      <c r="B34" s="11" t="str">
        <f>CONCATENATE("          ", "6113", " - ", "GROUP INSURANCE")</f>
        <v xml:space="preserve">          6113 - GROUP INSURANCE</v>
      </c>
      <c r="C34" s="11"/>
      <c r="D34" s="7">
        <v>11367.93</v>
      </c>
      <c r="E34" s="2"/>
      <c r="F34" s="6">
        <f t="shared" si="14"/>
        <v>0.26120622505508845</v>
      </c>
      <c r="G34" s="2"/>
      <c r="H34" s="7">
        <v>11997.692307692299</v>
      </c>
      <c r="I34" s="2"/>
      <c r="J34" s="6">
        <f t="shared" si="15"/>
        <v>0.12699868009963164</v>
      </c>
      <c r="K34" s="2"/>
      <c r="L34" s="7">
        <f t="shared" si="16"/>
        <v>-629.76230769229915</v>
      </c>
      <c r="M34" s="2"/>
      <c r="N34" s="6">
        <f t="shared" si="17"/>
        <v>-5.2490286593575013E-2</v>
      </c>
      <c r="O34" s="11"/>
      <c r="P34" s="7">
        <v>56341.26</v>
      </c>
      <c r="Q34" s="2"/>
      <c r="R34" s="6">
        <f t="shared" si="18"/>
        <v>0.93158585800296867</v>
      </c>
      <c r="S34" s="2"/>
      <c r="T34" s="7">
        <v>46437.692307692305</v>
      </c>
      <c r="U34" s="2"/>
      <c r="V34" s="6">
        <f t="shared" si="19"/>
        <v>0.25232665160288803</v>
      </c>
      <c r="W34" s="2"/>
      <c r="X34" s="7">
        <f t="shared" si="20"/>
        <v>9903.5676923076971</v>
      </c>
      <c r="Y34" s="2"/>
      <c r="Z34" s="6">
        <f t="shared" si="21"/>
        <v>0.21326571584753776</v>
      </c>
    </row>
    <row r="35" spans="1:26" s="24" customFormat="1" hidden="1" outlineLevel="2" x14ac:dyDescent="0.25">
      <c r="A35" s="28"/>
      <c r="B35" s="11" t="str">
        <f>CONCATENATE("          ", "6114", " - ", "STATE UNEMPLOYMENT INSURANCE")</f>
        <v xml:space="preserve">          6114 - STATE UNEMPLOYMENT INSURANCE</v>
      </c>
      <c r="C35" s="11"/>
      <c r="D35" s="7">
        <v>104.09</v>
      </c>
      <c r="E35" s="2"/>
      <c r="F35" s="6">
        <f t="shared" si="14"/>
        <v>2.3917244358457662E-3</v>
      </c>
      <c r="G35" s="2"/>
      <c r="H35" s="7">
        <v>152.20585500000001</v>
      </c>
      <c r="I35" s="2"/>
      <c r="J35" s="6">
        <f t="shared" si="15"/>
        <v>1.6111383916757524E-3</v>
      </c>
      <c r="K35" s="2"/>
      <c r="L35" s="7">
        <f t="shared" si="16"/>
        <v>-48.11585500000001</v>
      </c>
      <c r="M35" s="2"/>
      <c r="N35" s="6">
        <f t="shared" si="17"/>
        <v>-0.31612354859804837</v>
      </c>
      <c r="O35" s="11"/>
      <c r="P35" s="7">
        <v>431.84</v>
      </c>
      <c r="Q35" s="2"/>
      <c r="R35" s="6">
        <f t="shared" si="18"/>
        <v>7.1403450494362738E-3</v>
      </c>
      <c r="S35" s="2"/>
      <c r="T35" s="7">
        <v>482.68859200000003</v>
      </c>
      <c r="U35" s="2"/>
      <c r="V35" s="6">
        <f t="shared" si="19"/>
        <v>2.6227659070409371E-3</v>
      </c>
      <c r="W35" s="2"/>
      <c r="X35" s="7">
        <f t="shared" si="20"/>
        <v>-50.848592000000053</v>
      </c>
      <c r="Y35" s="2"/>
      <c r="Z35" s="6">
        <f t="shared" si="21"/>
        <v>-0.10534450749977545</v>
      </c>
    </row>
    <row r="36" spans="1:26" s="24" customFormat="1" hidden="1" outlineLevel="2" x14ac:dyDescent="0.25">
      <c r="A36" s="28"/>
      <c r="B36" s="11" t="str">
        <f>CONCATENATE("          ", "6115", " - ", "P.E.R.S.")</f>
        <v xml:space="preserve">          6115 - P.E.R.S.</v>
      </c>
      <c r="C36" s="11"/>
      <c r="D36" s="7">
        <v>3223.68</v>
      </c>
      <c r="E36" s="2"/>
      <c r="F36" s="6">
        <f t="shared" si="14"/>
        <v>7.4071997591961564E-2</v>
      </c>
      <c r="G36" s="2"/>
      <c r="H36" s="7">
        <v>2778.20965769231</v>
      </c>
      <c r="I36" s="2"/>
      <c r="J36" s="6">
        <f t="shared" si="15"/>
        <v>2.9408068695073727E-2</v>
      </c>
      <c r="K36" s="2"/>
      <c r="L36" s="7">
        <f t="shared" si="16"/>
        <v>445.47034230768986</v>
      </c>
      <c r="M36" s="2"/>
      <c r="N36" s="6">
        <f t="shared" si="17"/>
        <v>0.16034439340251772</v>
      </c>
      <c r="O36" s="11"/>
      <c r="P36" s="7">
        <v>17102.769999999997</v>
      </c>
      <c r="Q36" s="2"/>
      <c r="R36" s="6">
        <f t="shared" si="18"/>
        <v>0.28278917909676549</v>
      </c>
      <c r="S36" s="2"/>
      <c r="T36" s="7">
        <v>10001.554767692312</v>
      </c>
      <c r="U36" s="2"/>
      <c r="V36" s="6">
        <f t="shared" si="19"/>
        <v>5.4345052476620657E-2</v>
      </c>
      <c r="W36" s="2"/>
      <c r="X36" s="7">
        <f t="shared" si="20"/>
        <v>7101.2152323076843</v>
      </c>
      <c r="Y36" s="2"/>
      <c r="Z36" s="6">
        <f t="shared" si="21"/>
        <v>0.71001113299369234</v>
      </c>
    </row>
    <row r="37" spans="1:26" s="24" customFormat="1" hidden="1" outlineLevel="2" x14ac:dyDescent="0.25">
      <c r="A37" s="28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14"/>
        <v>0</v>
      </c>
      <c r="G37" s="2"/>
      <c r="H37" s="7">
        <v>0</v>
      </c>
      <c r="I37" s="2"/>
      <c r="J37" s="6">
        <f t="shared" si="15"/>
        <v>0</v>
      </c>
      <c r="K37" s="2"/>
      <c r="L37" s="7">
        <f t="shared" si="16"/>
        <v>0</v>
      </c>
      <c r="M37" s="2"/>
      <c r="N37" s="6">
        <f t="shared" si="17"/>
        <v>0</v>
      </c>
      <c r="O37" s="11"/>
      <c r="P37" s="7"/>
      <c r="Q37" s="2"/>
      <c r="R37" s="6">
        <f t="shared" si="18"/>
        <v>0</v>
      </c>
      <c r="S37" s="2"/>
      <c r="T37" s="7">
        <v>0</v>
      </c>
      <c r="U37" s="2"/>
      <c r="V37" s="6">
        <f t="shared" si="19"/>
        <v>0</v>
      </c>
      <c r="W37" s="2"/>
      <c r="X37" s="7">
        <f t="shared" si="20"/>
        <v>0</v>
      </c>
      <c r="Y37" s="2"/>
      <c r="Z37" s="6">
        <f t="shared" si="21"/>
        <v>0</v>
      </c>
    </row>
    <row r="38" spans="1:26" s="24" customFormat="1" hidden="1" outlineLevel="2" x14ac:dyDescent="0.25">
      <c r="A38" s="28"/>
      <c r="B38" s="11" t="str">
        <f>CONCATENATE("          ", "6118", " - ", "VACATION")</f>
        <v xml:space="preserve">          6118 - VACATION</v>
      </c>
      <c r="C38" s="11"/>
      <c r="D38" s="7">
        <v>4570.74</v>
      </c>
      <c r="E38" s="2"/>
      <c r="F38" s="6">
        <f t="shared" si="14"/>
        <v>0.10502402294070204</v>
      </c>
      <c r="G38" s="2"/>
      <c r="H38" s="7">
        <v>2373.9150961538498</v>
      </c>
      <c r="I38" s="2"/>
      <c r="J38" s="6">
        <f t="shared" si="15"/>
        <v>2.5128506061689301E-2</v>
      </c>
      <c r="K38" s="2"/>
      <c r="L38" s="7">
        <f t="shared" si="16"/>
        <v>2196.8249038461499</v>
      </c>
      <c r="M38" s="2"/>
      <c r="N38" s="6">
        <f t="shared" si="17"/>
        <v>0.9254016318466417</v>
      </c>
      <c r="O38" s="11"/>
      <c r="P38" s="7">
        <v>14347.15</v>
      </c>
      <c r="Q38" s="2"/>
      <c r="R38" s="6">
        <f t="shared" si="18"/>
        <v>0.2372258277973778</v>
      </c>
      <c r="S38" s="2"/>
      <c r="T38" s="7">
        <v>8546.0943461538591</v>
      </c>
      <c r="U38" s="2"/>
      <c r="V38" s="6">
        <f t="shared" si="19"/>
        <v>4.6436574762570008E-2</v>
      </c>
      <c r="W38" s="2"/>
      <c r="X38" s="7">
        <f t="shared" si="20"/>
        <v>5801.0556538461406</v>
      </c>
      <c r="Y38" s="2"/>
      <c r="Z38" s="6">
        <f t="shared" si="21"/>
        <v>0.67879611655081784</v>
      </c>
    </row>
    <row r="39" spans="1:26" s="24" customFormat="1" hidden="1" outlineLevel="2" x14ac:dyDescent="0.25">
      <c r="A39" s="28"/>
      <c r="B39" s="11" t="str">
        <f>CONCATENATE("          ", "6119", " - ", "SICK LEAVE")</f>
        <v xml:space="preserve">          6119 - SICK LEAVE</v>
      </c>
      <c r="C39" s="11"/>
      <c r="D39" s="7">
        <v>2725.11</v>
      </c>
      <c r="E39" s="2"/>
      <c r="F39" s="6">
        <f t="shared" si="14"/>
        <v>6.2616122368792923E-2</v>
      </c>
      <c r="G39" s="2"/>
      <c r="H39" s="7">
        <v>1452.7047500000001</v>
      </c>
      <c r="I39" s="2"/>
      <c r="J39" s="6">
        <f t="shared" si="15"/>
        <v>1.5377255983317633E-2</v>
      </c>
      <c r="K39" s="2"/>
      <c r="L39" s="7">
        <f t="shared" si="16"/>
        <v>1272.40525</v>
      </c>
      <c r="M39" s="2"/>
      <c r="N39" s="6">
        <f t="shared" si="17"/>
        <v>0.87588703072664964</v>
      </c>
      <c r="O39" s="11"/>
      <c r="P39" s="7">
        <v>8846.2199999999993</v>
      </c>
      <c r="Q39" s="2"/>
      <c r="R39" s="6">
        <f t="shared" si="18"/>
        <v>0.14626959796041161</v>
      </c>
      <c r="S39" s="2"/>
      <c r="T39" s="7">
        <v>4627.9398000000001</v>
      </c>
      <c r="U39" s="2"/>
      <c r="V39" s="6">
        <f t="shared" si="19"/>
        <v>2.5146653408535193E-2</v>
      </c>
      <c r="W39" s="2"/>
      <c r="X39" s="7">
        <f t="shared" si="20"/>
        <v>4218.2801999999992</v>
      </c>
      <c r="Y39" s="2"/>
      <c r="Z39" s="6">
        <f t="shared" si="21"/>
        <v>0.91148121676085747</v>
      </c>
    </row>
    <row r="40" spans="1:26" s="24" customFormat="1" hidden="1" outlineLevel="2" x14ac:dyDescent="0.25">
      <c r="A40" s="28"/>
      <c r="B40" s="11" t="str">
        <f>CONCATENATE("          ", "6156", " - ", "EMPLOYEE MEALS")</f>
        <v xml:space="preserve">          6156 - EMPLOYEE MEALS</v>
      </c>
      <c r="C40" s="11"/>
      <c r="D40" s="7">
        <v>703.66</v>
      </c>
      <c r="E40" s="2"/>
      <c r="F40" s="6">
        <f t="shared" si="14"/>
        <v>1.6168323724922967E-2</v>
      </c>
      <c r="G40" s="2"/>
      <c r="H40" s="7">
        <v>525</v>
      </c>
      <c r="I40" s="2"/>
      <c r="J40" s="6">
        <f t="shared" si="15"/>
        <v>5.5572609583893467E-3</v>
      </c>
      <c r="K40" s="2"/>
      <c r="L40" s="7">
        <f t="shared" si="16"/>
        <v>178.65999999999997</v>
      </c>
      <c r="M40" s="2"/>
      <c r="N40" s="6">
        <f t="shared" si="17"/>
        <v>0.34030476190476183</v>
      </c>
      <c r="O40" s="11"/>
      <c r="P40" s="7">
        <v>3146.86</v>
      </c>
      <c r="Q40" s="2"/>
      <c r="R40" s="6">
        <f t="shared" si="18"/>
        <v>5.2032387509885682E-2</v>
      </c>
      <c r="S40" s="2"/>
      <c r="T40" s="7">
        <v>2100</v>
      </c>
      <c r="U40" s="2"/>
      <c r="V40" s="6">
        <f t="shared" si="19"/>
        <v>1.1410686923352786E-2</v>
      </c>
      <c r="W40" s="2"/>
      <c r="X40" s="7">
        <f t="shared" si="20"/>
        <v>1046.8600000000001</v>
      </c>
      <c r="Y40" s="2"/>
      <c r="Z40" s="6">
        <f t="shared" si="21"/>
        <v>0.49850476190476195</v>
      </c>
    </row>
    <row r="41" spans="1:26" s="27" customFormat="1" outlineLevel="1" collapsed="1" x14ac:dyDescent="0.25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37076.53</v>
      </c>
      <c r="E41" s="1"/>
      <c r="F41" s="5">
        <f t="shared" ref="F41:F51" si="22">IF(D$12=0,0,D41/D$12)</f>
        <v>0.85192470743941406</v>
      </c>
      <c r="G41" s="1"/>
      <c r="H41" s="1">
        <f>SUM(OSRRefH22_1x_0)</f>
        <v>54899.402115384604</v>
      </c>
      <c r="I41" s="1"/>
      <c r="J41" s="5">
        <f t="shared" ref="J41:J51" si="23">IF(H$12=0,0,H41/H$12)</f>
        <v>0.5811243885995131</v>
      </c>
      <c r="K41" s="1"/>
      <c r="L41" s="1">
        <f t="shared" ref="L41:L51" si="24">+D41-H41</f>
        <v>-17822.872115384605</v>
      </c>
      <c r="M41" s="1"/>
      <c r="N41" s="5">
        <f t="shared" ref="N41:N51" si="25">IF(H41=0,0,L41/H41)</f>
        <v>-0.32464601486780226</v>
      </c>
      <c r="O41" s="14"/>
      <c r="P41" s="1">
        <f>SUM(OSRRefP22_1x_0)</f>
        <v>166736.89999999997</v>
      </c>
      <c r="Q41" s="1"/>
      <c r="R41" s="5">
        <f t="shared" ref="R41:R51" si="26">IF(P$12=0,0,P41/P$12)</f>
        <v>2.7569446982061661</v>
      </c>
      <c r="S41" s="1"/>
      <c r="T41" s="1">
        <f>SUM(OSRRefT22_1x_0)</f>
        <v>172912.40761538461</v>
      </c>
      <c r="U41" s="1"/>
      <c r="V41" s="5">
        <f t="shared" ref="V41:V51" si="27">IF(T$12=0,0,T41/T$12)</f>
        <v>0.93954730879157899</v>
      </c>
      <c r="W41" s="1"/>
      <c r="X41" s="1">
        <f t="shared" ref="X41:X51" si="28">+P41-T41</f>
        <v>-6175.5076153846458</v>
      </c>
      <c r="Y41" s="1"/>
      <c r="Z41" s="5">
        <f t="shared" ref="Z41:Z51" si="29">IF(T41=0,0,X41/T41)</f>
        <v>-3.5714658656081255E-2</v>
      </c>
    </row>
    <row r="42" spans="1:26" s="24" customFormat="1" hidden="1" outlineLevel="2" x14ac:dyDescent="0.25">
      <c r="A42" s="28"/>
      <c r="B42" s="11" t="str">
        <f>CONCATENATE("          ", "6001", " - ", "ADMINISTRATIVE SALARIES")</f>
        <v xml:space="preserve">          6001 - ADMINISTRATIVE SALARIES</v>
      </c>
      <c r="C42" s="11"/>
      <c r="D42" s="7">
        <v>10516.14</v>
      </c>
      <c r="E42" s="2"/>
      <c r="F42" s="6">
        <f t="shared" si="22"/>
        <v>0.24163424929171959</v>
      </c>
      <c r="G42" s="2"/>
      <c r="H42" s="7">
        <v>19062.509615384599</v>
      </c>
      <c r="I42" s="2"/>
      <c r="J42" s="6">
        <f t="shared" si="23"/>
        <v>0.20178160086571115</v>
      </c>
      <c r="K42" s="2"/>
      <c r="L42" s="7">
        <f t="shared" si="24"/>
        <v>-8546.3696153845995</v>
      </c>
      <c r="M42" s="2"/>
      <c r="N42" s="6">
        <f t="shared" si="25"/>
        <v>-0.44833391761214703</v>
      </c>
      <c r="O42" s="11"/>
      <c r="P42" s="7">
        <v>43862.03</v>
      </c>
      <c r="Q42" s="2"/>
      <c r="R42" s="6">
        <f t="shared" si="26"/>
        <v>0.72524552790090158</v>
      </c>
      <c r="S42" s="2"/>
      <c r="T42" s="7">
        <v>68625.034615384589</v>
      </c>
      <c r="U42" s="2"/>
      <c r="V42" s="6">
        <f t="shared" si="27"/>
        <v>0.37288513576209581</v>
      </c>
      <c r="W42" s="2"/>
      <c r="X42" s="7">
        <f t="shared" si="28"/>
        <v>-24763.004615384591</v>
      </c>
      <c r="Y42" s="2"/>
      <c r="Z42" s="6">
        <f t="shared" si="29"/>
        <v>-0.36084505828188157</v>
      </c>
    </row>
    <row r="43" spans="1:26" s="24" customFormat="1" hidden="1" outlineLevel="2" x14ac:dyDescent="0.25">
      <c r="A43" s="28"/>
      <c r="B43" s="11" t="str">
        <f>CONCATENATE("          ", "6002", " - ", "STAFF SALARIES")</f>
        <v xml:space="preserve">          6002 - STAFF SALARIES</v>
      </c>
      <c r="C43" s="11"/>
      <c r="D43" s="7">
        <v>21968.26</v>
      </c>
      <c r="E43" s="2"/>
      <c r="F43" s="6">
        <f t="shared" si="22"/>
        <v>0.50477494720927185</v>
      </c>
      <c r="G43" s="2"/>
      <c r="H43" s="7">
        <v>10359.6525</v>
      </c>
      <c r="I43" s="2"/>
      <c r="J43" s="6">
        <f t="shared" si="23"/>
        <v>0.10965960453472494</v>
      </c>
      <c r="K43" s="2"/>
      <c r="L43" s="7">
        <f t="shared" si="24"/>
        <v>11608.607499999998</v>
      </c>
      <c r="M43" s="2"/>
      <c r="N43" s="6">
        <f t="shared" si="25"/>
        <v>1.1205595457955755</v>
      </c>
      <c r="O43" s="11"/>
      <c r="P43" s="7">
        <v>103199.27</v>
      </c>
      <c r="Q43" s="2"/>
      <c r="R43" s="6">
        <f t="shared" si="26"/>
        <v>1.7063690178073763</v>
      </c>
      <c r="S43" s="2"/>
      <c r="T43" s="7">
        <v>37294.748999999996</v>
      </c>
      <c r="U43" s="2"/>
      <c r="V43" s="6">
        <f t="shared" si="27"/>
        <v>0.20264700224953541</v>
      </c>
      <c r="W43" s="2"/>
      <c r="X43" s="7">
        <f t="shared" si="28"/>
        <v>65904.521000000008</v>
      </c>
      <c r="Y43" s="2"/>
      <c r="Z43" s="6">
        <f t="shared" si="29"/>
        <v>1.7671260101522608</v>
      </c>
    </row>
    <row r="44" spans="1:26" s="24" customFormat="1" hidden="1" outlineLevel="2" x14ac:dyDescent="0.25">
      <c r="A44" s="28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0</v>
      </c>
      <c r="U44" s="2"/>
      <c r="V44" s="6">
        <f t="shared" si="27"/>
        <v>0</v>
      </c>
      <c r="W44" s="2"/>
      <c r="X44" s="7">
        <f t="shared" si="28"/>
        <v>0</v>
      </c>
      <c r="Y44" s="2"/>
      <c r="Z44" s="6">
        <f t="shared" si="29"/>
        <v>0</v>
      </c>
    </row>
    <row r="45" spans="1:26" s="24" customFormat="1" hidden="1" outlineLevel="2" x14ac:dyDescent="0.25">
      <c r="A45" s="28"/>
      <c r="B45" s="11" t="str">
        <f>CONCATENATE("          ", "6004", " - ", "STAFF HOURLY")</f>
        <v xml:space="preserve">          6004 - STAFF HOURLY</v>
      </c>
      <c r="C45" s="11"/>
      <c r="D45" s="7">
        <v>4641.7</v>
      </c>
      <c r="E45" s="2"/>
      <c r="F45" s="6">
        <f t="shared" si="22"/>
        <v>0.1066545039279978</v>
      </c>
      <c r="G45" s="2"/>
      <c r="H45" s="7">
        <v>8242.4500000000007</v>
      </c>
      <c r="I45" s="2"/>
      <c r="J45" s="6">
        <f t="shared" si="23"/>
        <v>8.7248467783764341E-2</v>
      </c>
      <c r="K45" s="2"/>
      <c r="L45" s="7">
        <f t="shared" si="24"/>
        <v>-3600.7500000000009</v>
      </c>
      <c r="M45" s="2"/>
      <c r="N45" s="6">
        <f t="shared" si="25"/>
        <v>-0.4368543333596201</v>
      </c>
      <c r="O45" s="11"/>
      <c r="P45" s="7">
        <v>15347.3</v>
      </c>
      <c r="Q45" s="2"/>
      <c r="R45" s="6">
        <f t="shared" si="26"/>
        <v>0.2537630084689082</v>
      </c>
      <c r="S45" s="2"/>
      <c r="T45" s="7">
        <v>24458.41</v>
      </c>
      <c r="U45" s="2"/>
      <c r="V45" s="6">
        <f t="shared" si="27"/>
        <v>0.13289869483476238</v>
      </c>
      <c r="W45" s="2"/>
      <c r="X45" s="7">
        <f t="shared" si="28"/>
        <v>-9111.11</v>
      </c>
      <c r="Y45" s="2"/>
      <c r="Z45" s="6">
        <f t="shared" si="29"/>
        <v>-0.37251440302129207</v>
      </c>
    </row>
    <row r="46" spans="1:26" s="24" customFormat="1" hidden="1" outlineLevel="2" x14ac:dyDescent="0.25">
      <c r="A46" s="28"/>
      <c r="B46" s="11" t="str">
        <f>CONCATENATE("          ", "6005", " - ", "TEMPORARY WAGES-HOURLY")</f>
        <v xml:space="preserve">          6005 - TEMPORARY WAGES-HOURLY</v>
      </c>
      <c r="C46" s="11"/>
      <c r="D46" s="7">
        <v>1052.72</v>
      </c>
      <c r="E46" s="2"/>
      <c r="F46" s="6">
        <f t="shared" si="22"/>
        <v>2.4188838006566959E-2</v>
      </c>
      <c r="G46" s="2"/>
      <c r="H46" s="7">
        <v>7094.15</v>
      </c>
      <c r="I46" s="2"/>
      <c r="J46" s="6">
        <f t="shared" si="23"/>
        <v>7.5093414910395784E-2</v>
      </c>
      <c r="K46" s="2"/>
      <c r="L46" s="7">
        <f t="shared" si="24"/>
        <v>-6041.4299999999994</v>
      </c>
      <c r="M46" s="2"/>
      <c r="N46" s="6">
        <f t="shared" si="25"/>
        <v>-0.85160731024858505</v>
      </c>
      <c r="O46" s="11"/>
      <c r="P46" s="7">
        <v>4258.59</v>
      </c>
      <c r="Q46" s="2"/>
      <c r="R46" s="6">
        <f t="shared" si="26"/>
        <v>7.0414510059463739E-2</v>
      </c>
      <c r="S46" s="2"/>
      <c r="T46" s="7">
        <v>19069.734</v>
      </c>
      <c r="U46" s="2"/>
      <c r="V46" s="6">
        <f t="shared" si="27"/>
        <v>0.10361845923124573</v>
      </c>
      <c r="W46" s="2"/>
      <c r="X46" s="7">
        <f t="shared" si="28"/>
        <v>-14811.144</v>
      </c>
      <c r="Y46" s="2"/>
      <c r="Z46" s="6">
        <f t="shared" si="29"/>
        <v>-0.77668330350072001</v>
      </c>
    </row>
    <row r="47" spans="1:26" s="24" customFormat="1" hidden="1" outlineLevel="2" x14ac:dyDescent="0.25">
      <c r="A47" s="28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22"/>
        <v>0</v>
      </c>
      <c r="G47" s="2"/>
      <c r="H47" s="7">
        <v>0</v>
      </c>
      <c r="I47" s="2"/>
      <c r="J47" s="6">
        <f t="shared" si="23"/>
        <v>0</v>
      </c>
      <c r="K47" s="2"/>
      <c r="L47" s="7">
        <f t="shared" si="24"/>
        <v>0</v>
      </c>
      <c r="M47" s="2"/>
      <c r="N47" s="6">
        <f t="shared" si="25"/>
        <v>0</v>
      </c>
      <c r="O47" s="11"/>
      <c r="P47" s="7"/>
      <c r="Q47" s="2"/>
      <c r="R47" s="6">
        <f t="shared" si="26"/>
        <v>0</v>
      </c>
      <c r="S47" s="2"/>
      <c r="T47" s="7">
        <v>0</v>
      </c>
      <c r="U47" s="2"/>
      <c r="V47" s="6">
        <f t="shared" si="27"/>
        <v>0</v>
      </c>
      <c r="W47" s="2"/>
      <c r="X47" s="7">
        <f t="shared" si="28"/>
        <v>0</v>
      </c>
      <c r="Y47" s="2"/>
      <c r="Z47" s="6">
        <f t="shared" si="29"/>
        <v>0</v>
      </c>
    </row>
    <row r="48" spans="1:26" s="24" customFormat="1" hidden="1" outlineLevel="2" x14ac:dyDescent="0.25">
      <c r="A48" s="28"/>
      <c r="B48" s="11" t="str">
        <f>CONCATENATE("          ", "6007", " - ", "STUDENT HOURLY")</f>
        <v xml:space="preserve">          6007 - STUDENT HOURLY</v>
      </c>
      <c r="C48" s="11"/>
      <c r="D48" s="7">
        <v>-1102.29</v>
      </c>
      <c r="E48" s="2"/>
      <c r="F48" s="6">
        <f t="shared" si="22"/>
        <v>-2.5327830996142081E-2</v>
      </c>
      <c r="G48" s="2"/>
      <c r="H48" s="7">
        <v>0</v>
      </c>
      <c r="I48" s="2"/>
      <c r="J48" s="6">
        <f t="shared" si="23"/>
        <v>0</v>
      </c>
      <c r="K48" s="2"/>
      <c r="L48" s="7">
        <f t="shared" si="24"/>
        <v>-1102.29</v>
      </c>
      <c r="M48" s="2"/>
      <c r="N48" s="6">
        <f t="shared" si="25"/>
        <v>0</v>
      </c>
      <c r="O48" s="11"/>
      <c r="P48" s="7">
        <v>69.709999999999994</v>
      </c>
      <c r="Q48" s="2"/>
      <c r="R48" s="6">
        <f t="shared" si="26"/>
        <v>1.1526339695169569E-3</v>
      </c>
      <c r="S48" s="2"/>
      <c r="T48" s="7">
        <v>3202.94</v>
      </c>
      <c r="U48" s="2"/>
      <c r="V48" s="6">
        <f t="shared" si="27"/>
        <v>1.7403688368706462E-2</v>
      </c>
      <c r="W48" s="2"/>
      <c r="X48" s="7">
        <f t="shared" si="28"/>
        <v>-3133.23</v>
      </c>
      <c r="Y48" s="2"/>
      <c r="Z48" s="6">
        <f t="shared" si="29"/>
        <v>-0.97823562102318495</v>
      </c>
    </row>
    <row r="49" spans="1:26" s="24" customFormat="1" hidden="1" outlineLevel="2" x14ac:dyDescent="0.25">
      <c r="A49" s="28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22"/>
        <v>0</v>
      </c>
      <c r="G49" s="2"/>
      <c r="H49" s="7">
        <v>10140.64</v>
      </c>
      <c r="I49" s="2"/>
      <c r="J49" s="6">
        <f t="shared" si="23"/>
        <v>0.10734130050491685</v>
      </c>
      <c r="K49" s="2"/>
      <c r="L49" s="7">
        <f t="shared" si="24"/>
        <v>-10140.64</v>
      </c>
      <c r="M49" s="2"/>
      <c r="N49" s="6">
        <f t="shared" si="25"/>
        <v>-1</v>
      </c>
      <c r="O49" s="11"/>
      <c r="P49" s="7"/>
      <c r="Q49" s="2"/>
      <c r="R49" s="6">
        <f t="shared" si="26"/>
        <v>0</v>
      </c>
      <c r="S49" s="2"/>
      <c r="T49" s="7">
        <v>20261.54</v>
      </c>
      <c r="U49" s="2"/>
      <c r="V49" s="6">
        <f t="shared" si="27"/>
        <v>0.11009432834523306</v>
      </c>
      <c r="W49" s="2"/>
      <c r="X49" s="7">
        <f t="shared" si="28"/>
        <v>-20261.54</v>
      </c>
      <c r="Y49" s="2"/>
      <c r="Z49" s="6">
        <f t="shared" si="29"/>
        <v>-1</v>
      </c>
    </row>
    <row r="50" spans="1:26" s="24" customFormat="1" hidden="1" outlineLevel="2" x14ac:dyDescent="0.25">
      <c r="A50" s="28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22"/>
        <v>0</v>
      </c>
      <c r="G50" s="2"/>
      <c r="H50" s="7">
        <v>0</v>
      </c>
      <c r="I50" s="2"/>
      <c r="J50" s="6">
        <f t="shared" si="23"/>
        <v>0</v>
      </c>
      <c r="K50" s="2"/>
      <c r="L50" s="7">
        <f t="shared" si="24"/>
        <v>0</v>
      </c>
      <c r="M50" s="2"/>
      <c r="N50" s="6">
        <f t="shared" si="25"/>
        <v>0</v>
      </c>
      <c r="O50" s="11"/>
      <c r="P50" s="7"/>
      <c r="Q50" s="2"/>
      <c r="R50" s="6">
        <f t="shared" si="26"/>
        <v>0</v>
      </c>
      <c r="S50" s="2"/>
      <c r="T50" s="7">
        <v>0</v>
      </c>
      <c r="U50" s="2"/>
      <c r="V50" s="6">
        <f t="shared" si="27"/>
        <v>0</v>
      </c>
      <c r="W50" s="2"/>
      <c r="X50" s="7">
        <f t="shared" si="28"/>
        <v>0</v>
      </c>
      <c r="Y50" s="2"/>
      <c r="Z50" s="6">
        <f t="shared" si="29"/>
        <v>0</v>
      </c>
    </row>
    <row r="51" spans="1:26" s="24" customFormat="1" hidden="1" outlineLevel="2" x14ac:dyDescent="0.25">
      <c r="A51" s="28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22"/>
        <v>0</v>
      </c>
      <c r="G51" s="2"/>
      <c r="H51" s="7">
        <v>0</v>
      </c>
      <c r="I51" s="2"/>
      <c r="J51" s="6">
        <f t="shared" si="23"/>
        <v>0</v>
      </c>
      <c r="K51" s="2"/>
      <c r="L51" s="7">
        <f t="shared" si="24"/>
        <v>0</v>
      </c>
      <c r="M51" s="2"/>
      <c r="N51" s="6">
        <f t="shared" si="25"/>
        <v>0</v>
      </c>
      <c r="O51" s="11"/>
      <c r="P51" s="7"/>
      <c r="Q51" s="2"/>
      <c r="R51" s="6">
        <f t="shared" si="26"/>
        <v>0</v>
      </c>
      <c r="S51" s="2"/>
      <c r="T51" s="7">
        <v>0</v>
      </c>
      <c r="U51" s="2"/>
      <c r="V51" s="6">
        <f t="shared" si="27"/>
        <v>0</v>
      </c>
      <c r="W51" s="2"/>
      <c r="X51" s="7">
        <f t="shared" si="28"/>
        <v>0</v>
      </c>
      <c r="Y51" s="2"/>
      <c r="Z51" s="6">
        <f t="shared" si="29"/>
        <v>0</v>
      </c>
    </row>
    <row r="52" spans="1:26" s="27" customFormat="1" outlineLevel="1" collapsed="1" x14ac:dyDescent="0.25">
      <c r="A52" s="29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15.05</v>
      </c>
      <c r="E52" s="1"/>
      <c r="F52" s="5">
        <f t="shared" ref="F52:F61" si="30">IF(D$12=0,0,D52/D$12)</f>
        <v>3.4581086328637505E-4</v>
      </c>
      <c r="G52" s="1"/>
      <c r="H52" s="1">
        <f>SUM(OSRRefH22_2x_0)</f>
        <v>997</v>
      </c>
      <c r="I52" s="1"/>
      <c r="J52" s="5">
        <f t="shared" ref="J52:J61" si="31">IF(H$12=0,0,H52/H$12)</f>
        <v>1.0553503191455579E-2</v>
      </c>
      <c r="K52" s="1"/>
      <c r="L52" s="1">
        <f t="shared" ref="L52:L61" si="32">+D52-H52</f>
        <v>-981.95</v>
      </c>
      <c r="M52" s="1"/>
      <c r="N52" s="5">
        <f t="shared" ref="N52:N61" si="33">IF(H52=0,0,L52/H52)</f>
        <v>-0.98490471414242731</v>
      </c>
      <c r="O52" s="14"/>
      <c r="P52" s="1">
        <f>SUM(OSRRefP22_2x_0)</f>
        <v>110.63</v>
      </c>
      <c r="Q52" s="1"/>
      <c r="R52" s="5">
        <f t="shared" ref="R52:R61" si="34">IF(P$12=0,0,P52/P$12)</f>
        <v>1.8292339126045178E-3</v>
      </c>
      <c r="S52" s="1"/>
      <c r="T52" s="1">
        <f>SUM(OSRRefT22_2x_0)</f>
        <v>3490</v>
      </c>
      <c r="U52" s="1"/>
      <c r="V52" s="5">
        <f t="shared" ref="V52:V61" si="35">IF(T$12=0,0,T52/T$12)</f>
        <v>1.8963474934524393E-2</v>
      </c>
      <c r="W52" s="1"/>
      <c r="X52" s="1">
        <f t="shared" ref="X52:X61" si="36">+P52-T52</f>
        <v>-3379.37</v>
      </c>
      <c r="Y52" s="1"/>
      <c r="Z52" s="5">
        <f t="shared" ref="Z52:Z61" si="37">IF(T52=0,0,X52/T52)</f>
        <v>-0.96830085959885381</v>
      </c>
    </row>
    <row r="53" spans="1:26" s="24" customFormat="1" hidden="1" outlineLevel="2" x14ac:dyDescent="0.25">
      <c r="A53" s="28"/>
      <c r="B53" s="11" t="str">
        <f>CONCATENATE("          ", "6362", " - ", "ADVERTISING EXPENSE")</f>
        <v xml:space="preserve">          6362 - ADVERTISING EXPENSE</v>
      </c>
      <c r="C53" s="11"/>
      <c r="D53" s="7">
        <v>15.05</v>
      </c>
      <c r="E53" s="2"/>
      <c r="F53" s="6">
        <f t="shared" si="30"/>
        <v>3.4581086328637505E-4</v>
      </c>
      <c r="G53" s="2"/>
      <c r="H53" s="7">
        <v>997</v>
      </c>
      <c r="I53" s="2"/>
      <c r="J53" s="6">
        <f t="shared" si="31"/>
        <v>1.0553503191455579E-2</v>
      </c>
      <c r="K53" s="2"/>
      <c r="L53" s="7">
        <f t="shared" si="32"/>
        <v>-981.95</v>
      </c>
      <c r="M53" s="2"/>
      <c r="N53" s="6">
        <f t="shared" si="33"/>
        <v>-0.98490471414242731</v>
      </c>
      <c r="O53" s="11"/>
      <c r="P53" s="7">
        <v>110.63</v>
      </c>
      <c r="Q53" s="2"/>
      <c r="R53" s="6">
        <f t="shared" si="34"/>
        <v>1.8292339126045178E-3</v>
      </c>
      <c r="S53" s="2"/>
      <c r="T53" s="7">
        <v>3490</v>
      </c>
      <c r="U53" s="2"/>
      <c r="V53" s="6">
        <f t="shared" si="35"/>
        <v>1.8963474934524393E-2</v>
      </c>
      <c r="W53" s="2"/>
      <c r="X53" s="7">
        <f t="shared" si="36"/>
        <v>-3379.37</v>
      </c>
      <c r="Y53" s="2"/>
      <c r="Z53" s="6">
        <f t="shared" si="37"/>
        <v>-0.96830085959885381</v>
      </c>
    </row>
    <row r="54" spans="1:26" s="27" customFormat="1" outlineLevel="1" collapsed="1" x14ac:dyDescent="0.25">
      <c r="A54" s="29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1531.8</v>
      </c>
      <c r="E54" s="1"/>
      <c r="F54" s="5">
        <f t="shared" si="30"/>
        <v>3.5196882417413242E-2</v>
      </c>
      <c r="G54" s="1"/>
      <c r="H54" s="1">
        <f>SUM(OSRRefH22_3x_0)</f>
        <v>35</v>
      </c>
      <c r="I54" s="1"/>
      <c r="J54" s="5">
        <f t="shared" si="31"/>
        <v>3.7048406389262315E-4</v>
      </c>
      <c r="K54" s="1"/>
      <c r="L54" s="1">
        <f t="shared" si="32"/>
        <v>1496.8</v>
      </c>
      <c r="M54" s="1"/>
      <c r="N54" s="5">
        <f t="shared" si="33"/>
        <v>42.765714285714282</v>
      </c>
      <c r="O54" s="14"/>
      <c r="P54" s="1">
        <f>SUM(OSRRefP22_3x_0)</f>
        <v>1341.59</v>
      </c>
      <c r="Q54" s="1"/>
      <c r="R54" s="5">
        <f t="shared" si="34"/>
        <v>2.2182788798798654E-2</v>
      </c>
      <c r="S54" s="1"/>
      <c r="T54" s="1">
        <f>SUM(OSRRefT22_3x_0)</f>
        <v>83</v>
      </c>
      <c r="U54" s="1"/>
      <c r="V54" s="5">
        <f t="shared" si="35"/>
        <v>4.5099381649441961E-4</v>
      </c>
      <c r="W54" s="1"/>
      <c r="X54" s="1">
        <f t="shared" si="36"/>
        <v>1258.5899999999999</v>
      </c>
      <c r="Y54" s="1"/>
      <c r="Z54" s="5">
        <f t="shared" si="37"/>
        <v>15.163734939759035</v>
      </c>
    </row>
    <row r="55" spans="1:26" s="24" customFormat="1" hidden="1" outlineLevel="2" x14ac:dyDescent="0.25">
      <c r="A55" s="28"/>
      <c r="B55" s="11" t="str">
        <f>CONCATENATE("          ", "6272", " - ", "CASH (OVER/SHORT)")</f>
        <v xml:space="preserve">          6272 - CASH (OVER/SHORT)</v>
      </c>
      <c r="C55" s="11"/>
      <c r="D55" s="7">
        <v>1531.8</v>
      </c>
      <c r="E55" s="2"/>
      <c r="F55" s="6">
        <f t="shared" si="30"/>
        <v>3.5196882417413242E-2</v>
      </c>
      <c r="G55" s="2"/>
      <c r="H55" s="7">
        <v>35</v>
      </c>
      <c r="I55" s="2"/>
      <c r="J55" s="6">
        <f t="shared" si="31"/>
        <v>3.7048406389262315E-4</v>
      </c>
      <c r="K55" s="2"/>
      <c r="L55" s="7">
        <f t="shared" si="32"/>
        <v>1496.8</v>
      </c>
      <c r="M55" s="2"/>
      <c r="N55" s="6">
        <f t="shared" si="33"/>
        <v>42.765714285714282</v>
      </c>
      <c r="O55" s="11"/>
      <c r="P55" s="7">
        <v>1341.59</v>
      </c>
      <c r="Q55" s="2"/>
      <c r="R55" s="6">
        <f t="shared" si="34"/>
        <v>2.2182788798798654E-2</v>
      </c>
      <c r="S55" s="2"/>
      <c r="T55" s="7">
        <v>83</v>
      </c>
      <c r="U55" s="2"/>
      <c r="V55" s="6">
        <f t="shared" si="35"/>
        <v>4.5099381649441961E-4</v>
      </c>
      <c r="W55" s="2"/>
      <c r="X55" s="7">
        <f t="shared" si="36"/>
        <v>1258.5899999999999</v>
      </c>
      <c r="Y55" s="2"/>
      <c r="Z55" s="6">
        <f t="shared" si="37"/>
        <v>15.163734939759035</v>
      </c>
    </row>
    <row r="56" spans="1:26" s="27" customFormat="1" outlineLevel="1" collapsed="1" x14ac:dyDescent="0.25">
      <c r="A56" s="29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962.55</v>
      </c>
      <c r="E56" s="1"/>
      <c r="F56" s="5">
        <f t="shared" si="30"/>
        <v>2.2116959897428588E-2</v>
      </c>
      <c r="G56" s="1"/>
      <c r="H56" s="1">
        <f>SUM(OSRRefH22_4x_0)</f>
        <v>12335</v>
      </c>
      <c r="I56" s="1"/>
      <c r="J56" s="5">
        <f t="shared" si="31"/>
        <v>0.13056916937472876</v>
      </c>
      <c r="K56" s="1"/>
      <c r="L56" s="1">
        <f t="shared" si="32"/>
        <v>-11372.45</v>
      </c>
      <c r="M56" s="1"/>
      <c r="N56" s="5">
        <f t="shared" si="33"/>
        <v>-0.92196595054722341</v>
      </c>
      <c r="O56" s="14"/>
      <c r="P56" s="1">
        <f>SUM(OSRRefP22_4x_0)</f>
        <v>2302.0500000000002</v>
      </c>
      <c r="Q56" s="1"/>
      <c r="R56" s="5">
        <f t="shared" si="34"/>
        <v>3.8063707208815245E-2</v>
      </c>
      <c r="S56" s="1"/>
      <c r="T56" s="1">
        <f>SUM(OSRRefT22_4x_0)</f>
        <v>25591</v>
      </c>
      <c r="U56" s="1"/>
      <c r="V56" s="5">
        <f t="shared" si="35"/>
        <v>0.13905280431215292</v>
      </c>
      <c r="W56" s="1"/>
      <c r="X56" s="1">
        <f t="shared" si="36"/>
        <v>-23288.95</v>
      </c>
      <c r="Y56" s="1"/>
      <c r="Z56" s="5">
        <f t="shared" si="37"/>
        <v>-0.91004454691102343</v>
      </c>
    </row>
    <row r="57" spans="1:26" s="24" customFormat="1" hidden="1" outlineLevel="2" x14ac:dyDescent="0.25">
      <c r="A57" s="28"/>
      <c r="B57" s="11" t="str">
        <f>CONCATENATE("          ", "6381", " - ", "BANK/CREDIT CARD FEES")</f>
        <v xml:space="preserve">          6381 - BANK/CREDIT CARD FEES</v>
      </c>
      <c r="C57" s="11"/>
      <c r="D57" s="7">
        <v>962.55</v>
      </c>
      <c r="E57" s="2"/>
      <c r="F57" s="6">
        <f t="shared" si="30"/>
        <v>2.2116959897428588E-2</v>
      </c>
      <c r="G57" s="2"/>
      <c r="H57" s="7">
        <v>12335</v>
      </c>
      <c r="I57" s="2"/>
      <c r="J57" s="6">
        <f t="shared" si="31"/>
        <v>0.13056916937472876</v>
      </c>
      <c r="K57" s="2"/>
      <c r="L57" s="7">
        <f t="shared" si="32"/>
        <v>-11372.45</v>
      </c>
      <c r="M57" s="2"/>
      <c r="N57" s="6">
        <f t="shared" si="33"/>
        <v>-0.92196595054722341</v>
      </c>
      <c r="O57" s="11"/>
      <c r="P57" s="7">
        <v>2302.0500000000002</v>
      </c>
      <c r="Q57" s="2"/>
      <c r="R57" s="6">
        <f t="shared" si="34"/>
        <v>3.8063707208815245E-2</v>
      </c>
      <c r="S57" s="2"/>
      <c r="T57" s="7">
        <v>25591</v>
      </c>
      <c r="U57" s="2"/>
      <c r="V57" s="6">
        <f t="shared" si="35"/>
        <v>0.13905280431215292</v>
      </c>
      <c r="W57" s="2"/>
      <c r="X57" s="7">
        <f t="shared" si="36"/>
        <v>-23288.95</v>
      </c>
      <c r="Y57" s="2"/>
      <c r="Z57" s="6">
        <f t="shared" si="37"/>
        <v>-0.91004454691102343</v>
      </c>
    </row>
    <row r="58" spans="1:26" s="27" customFormat="1" outlineLevel="1" collapsed="1" x14ac:dyDescent="0.25">
      <c r="A58" s="29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SUM(OSRRefD22_5x_0)</f>
        <v>46041.58</v>
      </c>
      <c r="E58" s="1"/>
      <c r="F58" s="5">
        <f t="shared" si="30"/>
        <v>1.0579188389945979</v>
      </c>
      <c r="G58" s="1"/>
      <c r="H58" s="1">
        <f>SUM(OSRRefH22_5x_0)</f>
        <v>46449</v>
      </c>
      <c r="I58" s="1"/>
      <c r="J58" s="5">
        <f t="shared" si="31"/>
        <v>0.49167469382138435</v>
      </c>
      <c r="K58" s="1"/>
      <c r="L58" s="1">
        <f t="shared" si="32"/>
        <v>-407.41999999999825</v>
      </c>
      <c r="M58" s="1"/>
      <c r="N58" s="5">
        <f t="shared" si="33"/>
        <v>-8.7713406101315051E-3</v>
      </c>
      <c r="O58" s="14"/>
      <c r="P58" s="1">
        <f>SUM(OSRRefP22_5x_0)</f>
        <v>186496.2</v>
      </c>
      <c r="Q58" s="1"/>
      <c r="R58" s="5">
        <f t="shared" si="34"/>
        <v>3.0836588051330986</v>
      </c>
      <c r="S58" s="1"/>
      <c r="T58" s="1">
        <f>SUM(OSRRefT22_5x_0)</f>
        <v>188172</v>
      </c>
      <c r="U58" s="1"/>
      <c r="V58" s="5">
        <f t="shared" si="35"/>
        <v>1.0224627522576859</v>
      </c>
      <c r="W58" s="1"/>
      <c r="X58" s="1">
        <f t="shared" si="36"/>
        <v>-1675.7999999999884</v>
      </c>
      <c r="Y58" s="1"/>
      <c r="Z58" s="5">
        <f t="shared" si="37"/>
        <v>-8.9056820355844033E-3</v>
      </c>
    </row>
    <row r="59" spans="1:26" s="24" customFormat="1" hidden="1" outlineLevel="2" x14ac:dyDescent="0.25">
      <c r="A59" s="28"/>
      <c r="B59" s="11" t="str">
        <f>CONCATENATE("          ", "6321", " - ", "BUILDING DEPRECIATION")</f>
        <v xml:space="preserve">          6321 - BUILDING DEPRECIATION</v>
      </c>
      <c r="C59" s="11"/>
      <c r="D59" s="7">
        <v>28664</v>
      </c>
      <c r="E59" s="2"/>
      <c r="F59" s="6">
        <f t="shared" si="30"/>
        <v>0.65862608539805012</v>
      </c>
      <c r="G59" s="2"/>
      <c r="H59" s="7"/>
      <c r="I59" s="2"/>
      <c r="J59" s="6">
        <f t="shared" si="31"/>
        <v>0</v>
      </c>
      <c r="K59" s="2"/>
      <c r="L59" s="7">
        <f t="shared" si="32"/>
        <v>28664</v>
      </c>
      <c r="M59" s="2"/>
      <c r="N59" s="6">
        <f t="shared" si="33"/>
        <v>0</v>
      </c>
      <c r="O59" s="11"/>
      <c r="P59" s="7">
        <v>115440.19</v>
      </c>
      <c r="Q59" s="2"/>
      <c r="R59" s="6">
        <f t="shared" si="34"/>
        <v>1.9087689634412812</v>
      </c>
      <c r="S59" s="2"/>
      <c r="T59" s="7"/>
      <c r="U59" s="2"/>
      <c r="V59" s="6">
        <f t="shared" si="35"/>
        <v>0</v>
      </c>
      <c r="W59" s="2"/>
      <c r="X59" s="7">
        <f t="shared" si="36"/>
        <v>115440.19</v>
      </c>
      <c r="Y59" s="2"/>
      <c r="Z59" s="6">
        <f t="shared" si="37"/>
        <v>0</v>
      </c>
    </row>
    <row r="60" spans="1:26" s="24" customFormat="1" hidden="1" outlineLevel="2" x14ac:dyDescent="0.25">
      <c r="A60" s="28"/>
      <c r="B60" s="11" t="str">
        <f>CONCATENATE("          ", "6322", " - ", "EQUIPMENT DEPRECIATION EXPENSE")</f>
        <v xml:space="preserve">          6322 - EQUIPMENT DEPRECIATION EXPENSE</v>
      </c>
      <c r="C60" s="11"/>
      <c r="D60" s="7">
        <v>17377.580000000002</v>
      </c>
      <c r="E60" s="2"/>
      <c r="F60" s="6">
        <f t="shared" si="30"/>
        <v>0.39929275359654787</v>
      </c>
      <c r="G60" s="2"/>
      <c r="H60" s="7">
        <v>45899</v>
      </c>
      <c r="I60" s="2"/>
      <c r="J60" s="6">
        <f t="shared" si="31"/>
        <v>0.485852801388786</v>
      </c>
      <c r="K60" s="2"/>
      <c r="L60" s="7">
        <f t="shared" si="32"/>
        <v>-28521.42</v>
      </c>
      <c r="M60" s="2"/>
      <c r="N60" s="6">
        <f t="shared" si="33"/>
        <v>-0.62139523736900582</v>
      </c>
      <c r="O60" s="11"/>
      <c r="P60" s="7">
        <v>71056.009999999995</v>
      </c>
      <c r="Q60" s="2"/>
      <c r="R60" s="6">
        <f t="shared" si="34"/>
        <v>1.1748898416918172</v>
      </c>
      <c r="S60" s="2"/>
      <c r="T60" s="7">
        <v>185972</v>
      </c>
      <c r="U60" s="2"/>
      <c r="V60" s="6">
        <f t="shared" si="35"/>
        <v>1.010508699290364</v>
      </c>
      <c r="W60" s="2"/>
      <c r="X60" s="7">
        <f t="shared" si="36"/>
        <v>-114915.99</v>
      </c>
      <c r="Y60" s="2"/>
      <c r="Z60" s="6">
        <f t="shared" si="37"/>
        <v>-0.61792092357989381</v>
      </c>
    </row>
    <row r="61" spans="1:26" s="24" customFormat="1" hidden="1" outlineLevel="2" x14ac:dyDescent="0.25">
      <c r="A61" s="28"/>
      <c r="B61" s="11" t="str">
        <f>CONCATENATE("          ", "6326", " - ", "VEHICLES DEPRECIATION EXPENSE")</f>
        <v xml:space="preserve">          6326 - VEHICLES DEPRECIATION EXPENSE</v>
      </c>
      <c r="C61" s="11"/>
      <c r="D61" s="7"/>
      <c r="E61" s="2"/>
      <c r="F61" s="6">
        <f t="shared" si="30"/>
        <v>0</v>
      </c>
      <c r="G61" s="2"/>
      <c r="H61" s="7">
        <v>550</v>
      </c>
      <c r="I61" s="2"/>
      <c r="J61" s="6">
        <f t="shared" si="31"/>
        <v>5.8218924325983638E-3</v>
      </c>
      <c r="K61" s="2"/>
      <c r="L61" s="7">
        <f t="shared" si="32"/>
        <v>-550</v>
      </c>
      <c r="M61" s="2"/>
      <c r="N61" s="6">
        <f t="shared" si="33"/>
        <v>-1</v>
      </c>
      <c r="O61" s="11"/>
      <c r="P61" s="7"/>
      <c r="Q61" s="2"/>
      <c r="R61" s="6">
        <f t="shared" si="34"/>
        <v>0</v>
      </c>
      <c r="S61" s="2"/>
      <c r="T61" s="7">
        <v>2200</v>
      </c>
      <c r="U61" s="2"/>
      <c r="V61" s="6">
        <f t="shared" si="35"/>
        <v>1.1954052967321965E-2</v>
      </c>
      <c r="W61" s="2"/>
      <c r="X61" s="7">
        <f t="shared" si="36"/>
        <v>-2200</v>
      </c>
      <c r="Y61" s="2"/>
      <c r="Z61" s="6">
        <f t="shared" si="37"/>
        <v>-1</v>
      </c>
    </row>
    <row r="62" spans="1:26" s="27" customFormat="1" outlineLevel="1" collapsed="1" x14ac:dyDescent="0.25">
      <c r="A62" s="29"/>
      <c r="B62" s="14" t="str">
        <f>CONCATENATE("     ","Employees' Appreciation                           ")</f>
        <v xml:space="preserve">     Employees' Appreciation                           </v>
      </c>
      <c r="C62" s="14"/>
      <c r="D62" s="1">
        <f>SUM(OSRRefD22_6x_0)</f>
        <v>0</v>
      </c>
      <c r="E62" s="1"/>
      <c r="F62" s="5">
        <f t="shared" ref="F62:F68" si="38">IF(D$12=0,0,D62/D$12)</f>
        <v>0</v>
      </c>
      <c r="G62" s="1"/>
      <c r="H62" s="1">
        <f>SUM(OSRRefH22_6x_0)</f>
        <v>0</v>
      </c>
      <c r="I62" s="1"/>
      <c r="J62" s="5">
        <f t="shared" ref="J62:J68" si="39">IF(H$12=0,0,H62/H$12)</f>
        <v>0</v>
      </c>
      <c r="K62" s="1"/>
      <c r="L62" s="1">
        <f t="shared" ref="L62:L68" si="40">+D62-H62</f>
        <v>0</v>
      </c>
      <c r="M62" s="1"/>
      <c r="N62" s="5">
        <f t="shared" ref="N62:N68" si="41">IF(H62=0,0,L62/H62)</f>
        <v>0</v>
      </c>
      <c r="O62" s="14"/>
      <c r="P62" s="1">
        <f>SUM(OSRRefP22_6x_0)</f>
        <v>0</v>
      </c>
      <c r="Q62" s="1"/>
      <c r="R62" s="5">
        <f t="shared" ref="R62:R68" si="42">IF(P$12=0,0,P62/P$12)</f>
        <v>0</v>
      </c>
      <c r="S62" s="1"/>
      <c r="T62" s="1">
        <f>SUM(OSRRefT22_6x_0)</f>
        <v>0</v>
      </c>
      <c r="U62" s="1"/>
      <c r="V62" s="5">
        <f t="shared" ref="V62:V68" si="43">IF(T$12=0,0,T62/T$12)</f>
        <v>0</v>
      </c>
      <c r="W62" s="1"/>
      <c r="X62" s="1">
        <f t="shared" ref="X62:X68" si="44">+P62-T62</f>
        <v>0</v>
      </c>
      <c r="Y62" s="1"/>
      <c r="Z62" s="5">
        <f t="shared" ref="Z62:Z68" si="45">IF(T62=0,0,X62/T62)</f>
        <v>0</v>
      </c>
    </row>
    <row r="63" spans="1:26" s="24" customFormat="1" hidden="1" outlineLevel="2" x14ac:dyDescent="0.25">
      <c r="A63" s="28"/>
      <c r="B63" s="11" t="str">
        <f>CONCATENATE("          ", "6277", " - ", "EMPLOYEE APPRECIATION")</f>
        <v xml:space="preserve">          6277 - EMPLOYEE APPRECIATION</v>
      </c>
      <c r="C63" s="11"/>
      <c r="D63" s="7"/>
      <c r="E63" s="2"/>
      <c r="F63" s="6">
        <f t="shared" si="38"/>
        <v>0</v>
      </c>
      <c r="G63" s="2"/>
      <c r="H63" s="7">
        <v>0</v>
      </c>
      <c r="I63" s="2"/>
      <c r="J63" s="6">
        <f t="shared" si="39"/>
        <v>0</v>
      </c>
      <c r="K63" s="2"/>
      <c r="L63" s="7">
        <f t="shared" si="40"/>
        <v>0</v>
      </c>
      <c r="M63" s="2"/>
      <c r="N63" s="6">
        <f t="shared" si="41"/>
        <v>0</v>
      </c>
      <c r="O63" s="11"/>
      <c r="P63" s="7"/>
      <c r="Q63" s="2"/>
      <c r="R63" s="6">
        <f t="shared" si="42"/>
        <v>0</v>
      </c>
      <c r="S63" s="2"/>
      <c r="T63" s="7">
        <v>0</v>
      </c>
      <c r="U63" s="2"/>
      <c r="V63" s="6">
        <f t="shared" si="43"/>
        <v>0</v>
      </c>
      <c r="W63" s="2"/>
      <c r="X63" s="7">
        <f t="shared" si="44"/>
        <v>0</v>
      </c>
      <c r="Y63" s="2"/>
      <c r="Z63" s="6">
        <f t="shared" si="45"/>
        <v>0</v>
      </c>
    </row>
    <row r="64" spans="1:26" s="27" customFormat="1" outlineLevel="1" collapsed="1" x14ac:dyDescent="0.25">
      <c r="A64" s="29"/>
      <c r="B64" s="14" t="str">
        <f>CONCATENATE("     ","Equipment Rental                                  ")</f>
        <v xml:space="preserve">     Equipment Rental                                  </v>
      </c>
      <c r="C64" s="14"/>
      <c r="D64" s="1">
        <f>SUM(OSRRefD22_7x_0)</f>
        <v>1984.06</v>
      </c>
      <c r="E64" s="1"/>
      <c r="F64" s="5">
        <f t="shared" si="38"/>
        <v>4.5588671190163806E-2</v>
      </c>
      <c r="G64" s="1"/>
      <c r="H64" s="1">
        <f>SUM(OSRRefH22_7x_0)</f>
        <v>478.33333333333297</v>
      </c>
      <c r="I64" s="1"/>
      <c r="J64" s="5">
        <f t="shared" si="39"/>
        <v>5.0632822065325121E-3</v>
      </c>
      <c r="K64" s="1"/>
      <c r="L64" s="1">
        <f t="shared" si="40"/>
        <v>1505.7266666666669</v>
      </c>
      <c r="M64" s="1"/>
      <c r="N64" s="5">
        <f t="shared" si="41"/>
        <v>3.1478606271777032</v>
      </c>
      <c r="O64" s="14"/>
      <c r="P64" s="1">
        <f>SUM(OSRRefP22_7x_0)</f>
        <v>3300.67</v>
      </c>
      <c r="Q64" s="1"/>
      <c r="R64" s="5">
        <f t="shared" si="42"/>
        <v>5.4575589788631959E-2</v>
      </c>
      <c r="S64" s="1"/>
      <c r="T64" s="1">
        <f>SUM(OSRRefT22_7x_0)</f>
        <v>1452.3333333333319</v>
      </c>
      <c r="U64" s="1"/>
      <c r="V64" s="5">
        <f t="shared" si="43"/>
        <v>7.891486178579054E-3</v>
      </c>
      <c r="W64" s="1"/>
      <c r="X64" s="1">
        <f t="shared" si="44"/>
        <v>1848.3366666666682</v>
      </c>
      <c r="Y64" s="1"/>
      <c r="Z64" s="5">
        <f t="shared" si="45"/>
        <v>1.2726669726876314</v>
      </c>
    </row>
    <row r="65" spans="1:26" s="24" customFormat="1" hidden="1" outlineLevel="2" x14ac:dyDescent="0.25">
      <c r="A65" s="28"/>
      <c r="B65" s="11" t="str">
        <f>CONCATENATE("          ", "6351", " - ", "EQUIPMENT RENTAL")</f>
        <v xml:space="preserve">          6351 - EQUIPMENT RENTAL</v>
      </c>
      <c r="C65" s="11"/>
      <c r="D65" s="7">
        <v>1984.06</v>
      </c>
      <c r="E65" s="2"/>
      <c r="F65" s="6">
        <f t="shared" si="38"/>
        <v>4.5588671190163806E-2</v>
      </c>
      <c r="G65" s="2"/>
      <c r="H65" s="7">
        <v>478.33333333333297</v>
      </c>
      <c r="I65" s="2"/>
      <c r="J65" s="6">
        <f t="shared" si="39"/>
        <v>5.0632822065325121E-3</v>
      </c>
      <c r="K65" s="2"/>
      <c r="L65" s="7">
        <f t="shared" si="40"/>
        <v>1505.7266666666669</v>
      </c>
      <c r="M65" s="2"/>
      <c r="N65" s="6">
        <f t="shared" si="41"/>
        <v>3.1478606271777032</v>
      </c>
      <c r="O65" s="11"/>
      <c r="P65" s="7">
        <v>3300.67</v>
      </c>
      <c r="Q65" s="2"/>
      <c r="R65" s="6">
        <f t="shared" si="42"/>
        <v>5.4575589788631959E-2</v>
      </c>
      <c r="S65" s="2"/>
      <c r="T65" s="7">
        <v>1452.3333333333319</v>
      </c>
      <c r="U65" s="2"/>
      <c r="V65" s="6">
        <f t="shared" si="43"/>
        <v>7.891486178579054E-3</v>
      </c>
      <c r="W65" s="2"/>
      <c r="X65" s="7">
        <f t="shared" si="44"/>
        <v>1848.3366666666682</v>
      </c>
      <c r="Y65" s="2"/>
      <c r="Z65" s="6">
        <f t="shared" si="45"/>
        <v>1.2726669726876314</v>
      </c>
    </row>
    <row r="66" spans="1:26" s="27" customFormat="1" outlineLevel="1" collapsed="1" x14ac:dyDescent="0.25">
      <c r="A66" s="29"/>
      <c r="B66" s="14" t="str">
        <f>CONCATENATE("     ","Freight out/Postage                               ")</f>
        <v xml:space="preserve">     Freight out/Postage                               </v>
      </c>
      <c r="C66" s="14"/>
      <c r="D66" s="1">
        <f>SUM(OSRRefD22_8x_0)</f>
        <v>85.43</v>
      </c>
      <c r="E66" s="1"/>
      <c r="F66" s="5">
        <f t="shared" si="38"/>
        <v>1.9629649203026594E-3</v>
      </c>
      <c r="G66" s="1"/>
      <c r="H66" s="1">
        <f>SUM(OSRRefH22_8x_0)</f>
        <v>0</v>
      </c>
      <c r="I66" s="1"/>
      <c r="J66" s="5">
        <f t="shared" si="39"/>
        <v>0</v>
      </c>
      <c r="K66" s="1"/>
      <c r="L66" s="1">
        <f t="shared" si="40"/>
        <v>85.43</v>
      </c>
      <c r="M66" s="1"/>
      <c r="N66" s="5">
        <f t="shared" si="41"/>
        <v>0</v>
      </c>
      <c r="O66" s="14"/>
      <c r="P66" s="1">
        <f>SUM(OSRRefP22_8x_0)</f>
        <v>90.02000000000001</v>
      </c>
      <c r="Q66" s="1"/>
      <c r="R66" s="5">
        <f t="shared" si="42"/>
        <v>1.4884537359907684E-3</v>
      </c>
      <c r="S66" s="1"/>
      <c r="T66" s="1">
        <f>SUM(OSRRefT22_8x_0)</f>
        <v>0</v>
      </c>
      <c r="U66" s="1"/>
      <c r="V66" s="5">
        <f t="shared" si="43"/>
        <v>0</v>
      </c>
      <c r="W66" s="1"/>
      <c r="X66" s="1">
        <f t="shared" si="44"/>
        <v>90.02000000000001</v>
      </c>
      <c r="Y66" s="1"/>
      <c r="Z66" s="5">
        <f t="shared" si="45"/>
        <v>0</v>
      </c>
    </row>
    <row r="67" spans="1:26" s="24" customFormat="1" hidden="1" outlineLevel="2" x14ac:dyDescent="0.25">
      <c r="A67" s="28"/>
      <c r="B67" s="11" t="str">
        <f>CONCATENATE("          ", "6305", " - ", "FREIGHT OUT")</f>
        <v xml:space="preserve">          6305 - FREIGHT OUT</v>
      </c>
      <c r="C67" s="11"/>
      <c r="D67" s="7">
        <v>85.43</v>
      </c>
      <c r="E67" s="2"/>
      <c r="F67" s="6">
        <f t="shared" si="38"/>
        <v>1.9629649203026594E-3</v>
      </c>
      <c r="G67" s="2"/>
      <c r="H67" s="7"/>
      <c r="I67" s="2"/>
      <c r="J67" s="6">
        <f t="shared" si="39"/>
        <v>0</v>
      </c>
      <c r="K67" s="2"/>
      <c r="L67" s="7">
        <f t="shared" si="40"/>
        <v>85.43</v>
      </c>
      <c r="M67" s="2"/>
      <c r="N67" s="6">
        <f t="shared" si="41"/>
        <v>0</v>
      </c>
      <c r="O67" s="11"/>
      <c r="P67" s="7">
        <v>95.43</v>
      </c>
      <c r="Q67" s="2"/>
      <c r="R67" s="6">
        <f t="shared" si="42"/>
        <v>1.5779064655143194E-3</v>
      </c>
      <c r="S67" s="2"/>
      <c r="T67" s="7"/>
      <c r="U67" s="2"/>
      <c r="V67" s="6">
        <f t="shared" si="43"/>
        <v>0</v>
      </c>
      <c r="W67" s="2"/>
      <c r="X67" s="7">
        <f t="shared" si="44"/>
        <v>95.43</v>
      </c>
      <c r="Y67" s="2"/>
      <c r="Z67" s="6">
        <f t="shared" si="45"/>
        <v>0</v>
      </c>
    </row>
    <row r="68" spans="1:26" s="24" customFormat="1" hidden="1" outlineLevel="2" x14ac:dyDescent="0.25">
      <c r="A68" s="28"/>
      <c r="B68" s="11" t="str">
        <f>CONCATENATE("          ", "6307", " - ", "POSTAGE")</f>
        <v xml:space="preserve">          6307 - POSTAGE</v>
      </c>
      <c r="C68" s="11"/>
      <c r="D68" s="7"/>
      <c r="E68" s="2"/>
      <c r="F68" s="6">
        <f t="shared" si="38"/>
        <v>0</v>
      </c>
      <c r="G68" s="2"/>
      <c r="H68" s="7"/>
      <c r="I68" s="2"/>
      <c r="J68" s="6">
        <f t="shared" si="39"/>
        <v>0</v>
      </c>
      <c r="K68" s="2"/>
      <c r="L68" s="7">
        <f t="shared" si="40"/>
        <v>0</v>
      </c>
      <c r="M68" s="2"/>
      <c r="N68" s="6">
        <f t="shared" si="41"/>
        <v>0</v>
      </c>
      <c r="O68" s="11"/>
      <c r="P68" s="7">
        <v>-5.41</v>
      </c>
      <c r="Q68" s="2"/>
      <c r="R68" s="6">
        <f t="shared" si="42"/>
        <v>-8.9452729523550954E-5</v>
      </c>
      <c r="S68" s="2"/>
      <c r="T68" s="7"/>
      <c r="U68" s="2"/>
      <c r="V68" s="6">
        <f t="shared" si="43"/>
        <v>0</v>
      </c>
      <c r="W68" s="2"/>
      <c r="X68" s="7">
        <f t="shared" si="44"/>
        <v>-5.41</v>
      </c>
      <c r="Y68" s="2"/>
      <c r="Z68" s="6">
        <f t="shared" si="45"/>
        <v>0</v>
      </c>
    </row>
    <row r="69" spans="1:26" s="27" customFormat="1" outlineLevel="1" collapsed="1" x14ac:dyDescent="0.25">
      <c r="A69" s="29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SUM(OSRRefD22_9x_0)</f>
        <v>0</v>
      </c>
      <c r="E69" s="1"/>
      <c r="F69" s="5">
        <f t="shared" ref="F69:F81" si="46">IF(D$12=0,0,D69/D$12)</f>
        <v>0</v>
      </c>
      <c r="G69" s="1"/>
      <c r="H69" s="1">
        <f>SUM(OSRRefH22_9x_0)</f>
        <v>0</v>
      </c>
      <c r="I69" s="1"/>
      <c r="J69" s="5">
        <f t="shared" ref="J69:J81" si="47">IF(H$12=0,0,H69/H$12)</f>
        <v>0</v>
      </c>
      <c r="K69" s="1"/>
      <c r="L69" s="1">
        <f t="shared" ref="L69:L81" si="48">+D69-H69</f>
        <v>0</v>
      </c>
      <c r="M69" s="1"/>
      <c r="N69" s="5">
        <f t="shared" ref="N69:N81" si="49">IF(H69=0,0,L69/H69)</f>
        <v>0</v>
      </c>
      <c r="O69" s="14"/>
      <c r="P69" s="1">
        <f>SUM(OSRRefP22_9x_0)</f>
        <v>5275.55</v>
      </c>
      <c r="Q69" s="1"/>
      <c r="R69" s="5">
        <f t="shared" ref="R69:R81" si="50">IF(P$12=0,0,P69/P$12)</f>
        <v>8.7229639045835347E-2</v>
      </c>
      <c r="S69" s="1"/>
      <c r="T69" s="1">
        <f>SUM(OSRRefT22_9x_0)</f>
        <v>7505</v>
      </c>
      <c r="U69" s="1"/>
      <c r="V69" s="5">
        <f t="shared" ref="V69:V81" si="51">IF(T$12=0,0,T69/T$12)</f>
        <v>4.0779621599886982E-2</v>
      </c>
      <c r="W69" s="1"/>
      <c r="X69" s="1">
        <f t="shared" ref="X69:X81" si="52">+P69-T69</f>
        <v>-2229.4499999999998</v>
      </c>
      <c r="Y69" s="1"/>
      <c r="Z69" s="5">
        <f t="shared" ref="Z69:Z81" si="53">IF(T69=0,0,X69/T69)</f>
        <v>-0.29706195869420382</v>
      </c>
    </row>
    <row r="70" spans="1:26" s="24" customFormat="1" hidden="1" outlineLevel="2" x14ac:dyDescent="0.25">
      <c r="A70" s="28"/>
      <c r="B70" s="11" t="str">
        <f>CONCATENATE("          ", "6279", " - ", "GENERAL EXPENSE")</f>
        <v xml:space="preserve">          6279 - GENERAL EXPENSE</v>
      </c>
      <c r="C70" s="11"/>
      <c r="D70" s="7"/>
      <c r="E70" s="2"/>
      <c r="F70" s="6">
        <f t="shared" si="46"/>
        <v>0</v>
      </c>
      <c r="G70" s="2"/>
      <c r="H70" s="7">
        <v>0</v>
      </c>
      <c r="I70" s="2"/>
      <c r="J70" s="6">
        <f t="shared" si="47"/>
        <v>0</v>
      </c>
      <c r="K70" s="2"/>
      <c r="L70" s="7">
        <f t="shared" si="48"/>
        <v>0</v>
      </c>
      <c r="M70" s="2"/>
      <c r="N70" s="6">
        <f t="shared" si="49"/>
        <v>0</v>
      </c>
      <c r="O70" s="11"/>
      <c r="P70" s="7">
        <v>5275.55</v>
      </c>
      <c r="Q70" s="2"/>
      <c r="R70" s="6">
        <f t="shared" si="50"/>
        <v>8.7229639045835347E-2</v>
      </c>
      <c r="S70" s="2"/>
      <c r="T70" s="7">
        <v>7505</v>
      </c>
      <c r="U70" s="2"/>
      <c r="V70" s="6">
        <f t="shared" si="51"/>
        <v>4.0779621599886982E-2</v>
      </c>
      <c r="W70" s="2"/>
      <c r="X70" s="7">
        <f t="shared" si="52"/>
        <v>-2229.4499999999998</v>
      </c>
      <c r="Y70" s="2"/>
      <c r="Z70" s="6">
        <f t="shared" si="53"/>
        <v>-0.29706195869420382</v>
      </c>
    </row>
    <row r="71" spans="1:26" s="27" customFormat="1" outlineLevel="1" collapsed="1" x14ac:dyDescent="0.25">
      <c r="A71" s="29"/>
      <c r="B71" s="14" t="str">
        <f>CONCATENATE("     ","Insurance                                         ")</f>
        <v xml:space="preserve">     Insurance                                         </v>
      </c>
      <c r="C71" s="14"/>
      <c r="D71" s="1">
        <f>SUM(OSRRefD22_10x_0)</f>
        <v>10595.67</v>
      </c>
      <c r="E71" s="1"/>
      <c r="F71" s="5">
        <f t="shared" si="46"/>
        <v>0.24346164716262761</v>
      </c>
      <c r="G71" s="1"/>
      <c r="H71" s="1">
        <f>SUM(OSRRefH22_10x_0)</f>
        <v>4835</v>
      </c>
      <c r="I71" s="1"/>
      <c r="J71" s="5">
        <f t="shared" si="47"/>
        <v>5.1179727112023794E-2</v>
      </c>
      <c r="K71" s="1"/>
      <c r="L71" s="1">
        <f t="shared" si="48"/>
        <v>5760.67</v>
      </c>
      <c r="M71" s="1"/>
      <c r="N71" s="5">
        <f t="shared" si="49"/>
        <v>1.1914519131334023</v>
      </c>
      <c r="O71" s="14"/>
      <c r="P71" s="1">
        <f>SUM(OSRRefP22_10x_0)</f>
        <v>24046.68</v>
      </c>
      <c r="Q71" s="1"/>
      <c r="R71" s="5">
        <f t="shared" si="50"/>
        <v>0.39760465101282477</v>
      </c>
      <c r="S71" s="1"/>
      <c r="T71" s="1">
        <f>SUM(OSRRefT22_10x_0)</f>
        <v>19340</v>
      </c>
      <c r="U71" s="1"/>
      <c r="V71" s="5">
        <f t="shared" si="51"/>
        <v>0.10508699290363946</v>
      </c>
      <c r="W71" s="1"/>
      <c r="X71" s="1">
        <f t="shared" si="52"/>
        <v>4706.68</v>
      </c>
      <c r="Y71" s="1"/>
      <c r="Z71" s="5">
        <f t="shared" si="53"/>
        <v>0.24336504653567737</v>
      </c>
    </row>
    <row r="72" spans="1:26" s="24" customFormat="1" hidden="1" outlineLevel="2" x14ac:dyDescent="0.25">
      <c r="A72" s="28"/>
      <c r="B72" s="11" t="str">
        <f>CONCATENATE("          ", "6314", " - ", "LIABILITY INSURANCE")</f>
        <v xml:space="preserve">          6314 - LIABILITY INSURANCE</v>
      </c>
      <c r="C72" s="11"/>
      <c r="D72" s="7">
        <v>10595.67</v>
      </c>
      <c r="E72" s="2"/>
      <c r="F72" s="6">
        <f t="shared" si="46"/>
        <v>0.24346164716262761</v>
      </c>
      <c r="G72" s="2"/>
      <c r="H72" s="7">
        <v>4835</v>
      </c>
      <c r="I72" s="2"/>
      <c r="J72" s="6">
        <f t="shared" si="47"/>
        <v>5.1179727112023794E-2</v>
      </c>
      <c r="K72" s="2"/>
      <c r="L72" s="7">
        <f t="shared" si="48"/>
        <v>5760.67</v>
      </c>
      <c r="M72" s="2"/>
      <c r="N72" s="6">
        <f t="shared" si="49"/>
        <v>1.1914519131334023</v>
      </c>
      <c r="O72" s="11"/>
      <c r="P72" s="7">
        <v>24046.68</v>
      </c>
      <c r="Q72" s="2"/>
      <c r="R72" s="6">
        <f t="shared" si="50"/>
        <v>0.39760465101282477</v>
      </c>
      <c r="S72" s="2"/>
      <c r="T72" s="7">
        <v>19340</v>
      </c>
      <c r="U72" s="2"/>
      <c r="V72" s="6">
        <f t="shared" si="51"/>
        <v>0.10508699290363946</v>
      </c>
      <c r="W72" s="2"/>
      <c r="X72" s="7">
        <f t="shared" si="52"/>
        <v>4706.68</v>
      </c>
      <c r="Y72" s="2"/>
      <c r="Z72" s="6">
        <f t="shared" si="53"/>
        <v>0.24336504653567737</v>
      </c>
    </row>
    <row r="73" spans="1:26" s="27" customFormat="1" outlineLevel="1" collapsed="1" x14ac:dyDescent="0.25">
      <c r="A73" s="29"/>
      <c r="B73" s="14" t="str">
        <f>CONCATENATE("     ","Interest                                          ")</f>
        <v xml:space="preserve">     Interest                                          </v>
      </c>
      <c r="C73" s="14"/>
      <c r="D73" s="1">
        <f>SUM(OSRRefD22_11x_0)</f>
        <v>10805</v>
      </c>
      <c r="E73" s="1"/>
      <c r="F73" s="5">
        <f t="shared" si="46"/>
        <v>0.24827152012021808</v>
      </c>
      <c r="G73" s="1"/>
      <c r="H73" s="1">
        <f>SUM(OSRRefH22_11x_0)</f>
        <v>11554</v>
      </c>
      <c r="I73" s="1"/>
      <c r="J73" s="5">
        <f t="shared" si="47"/>
        <v>0.12230208212043908</v>
      </c>
      <c r="K73" s="1"/>
      <c r="L73" s="1">
        <f t="shared" si="48"/>
        <v>-749</v>
      </c>
      <c r="M73" s="1"/>
      <c r="N73" s="5">
        <f t="shared" si="49"/>
        <v>-6.4826034273844563E-2</v>
      </c>
      <c r="O73" s="14"/>
      <c r="P73" s="1">
        <f>SUM(OSRRefP22_11x_0)</f>
        <v>45467</v>
      </c>
      <c r="Q73" s="1"/>
      <c r="R73" s="5">
        <f t="shared" si="50"/>
        <v>0.75178322610855652</v>
      </c>
      <c r="S73" s="1"/>
      <c r="T73" s="1">
        <f>SUM(OSRRefT22_11x_0)</f>
        <v>46216</v>
      </c>
      <c r="U73" s="1"/>
      <c r="V73" s="5">
        <f t="shared" si="51"/>
        <v>0.25112205088079637</v>
      </c>
      <c r="W73" s="1"/>
      <c r="X73" s="1">
        <f t="shared" si="52"/>
        <v>-749</v>
      </c>
      <c r="Y73" s="1"/>
      <c r="Z73" s="5">
        <f t="shared" si="53"/>
        <v>-1.6206508568461141E-2</v>
      </c>
    </row>
    <row r="74" spans="1:26" s="24" customFormat="1" hidden="1" outlineLevel="2" x14ac:dyDescent="0.25">
      <c r="A74" s="28"/>
      <c r="B74" s="11" t="str">
        <f>CONCATENATE("          ", "6401", " - ", "INTEREST EXPENSE")</f>
        <v xml:space="preserve">          6401 - INTEREST EXPENSE</v>
      </c>
      <c r="C74" s="11"/>
      <c r="D74" s="7">
        <v>10805</v>
      </c>
      <c r="E74" s="2"/>
      <c r="F74" s="6">
        <f t="shared" si="46"/>
        <v>0.24827152012021808</v>
      </c>
      <c r="G74" s="2"/>
      <c r="H74" s="7">
        <v>11554</v>
      </c>
      <c r="I74" s="2"/>
      <c r="J74" s="6">
        <f t="shared" si="47"/>
        <v>0.12230208212043908</v>
      </c>
      <c r="K74" s="2"/>
      <c r="L74" s="7">
        <f t="shared" si="48"/>
        <v>-749</v>
      </c>
      <c r="M74" s="2"/>
      <c r="N74" s="6">
        <f t="shared" si="49"/>
        <v>-6.4826034273844563E-2</v>
      </c>
      <c r="O74" s="11"/>
      <c r="P74" s="7">
        <v>45467</v>
      </c>
      <c r="Q74" s="2"/>
      <c r="R74" s="6">
        <f t="shared" si="50"/>
        <v>0.75178322610855652</v>
      </c>
      <c r="S74" s="2"/>
      <c r="T74" s="7">
        <v>46216</v>
      </c>
      <c r="U74" s="2"/>
      <c r="V74" s="6">
        <f t="shared" si="51"/>
        <v>0.25112205088079637</v>
      </c>
      <c r="W74" s="2"/>
      <c r="X74" s="7">
        <f t="shared" si="52"/>
        <v>-749</v>
      </c>
      <c r="Y74" s="2"/>
      <c r="Z74" s="6">
        <f t="shared" si="53"/>
        <v>-1.6206508568461141E-2</v>
      </c>
    </row>
    <row r="75" spans="1:26" s="27" customFormat="1" outlineLevel="1" collapsed="1" x14ac:dyDescent="0.25">
      <c r="A75" s="29"/>
      <c r="B75" s="14" t="str">
        <f>CONCATENATE("     ","Rent                                              ")</f>
        <v xml:space="preserve">     Rent                                              </v>
      </c>
      <c r="C75" s="14"/>
      <c r="D75" s="1">
        <f>SUM(OSRRefD22_12x_0)</f>
        <v>0</v>
      </c>
      <c r="E75" s="1"/>
      <c r="F75" s="5">
        <f t="shared" si="46"/>
        <v>0</v>
      </c>
      <c r="G75" s="1"/>
      <c r="H75" s="1">
        <f>SUM(OSRRefH22_12x_0)</f>
        <v>1943</v>
      </c>
      <c r="I75" s="1"/>
      <c r="J75" s="5">
        <f t="shared" si="47"/>
        <v>2.0567158175524763E-2</v>
      </c>
      <c r="K75" s="1"/>
      <c r="L75" s="1">
        <f t="shared" si="48"/>
        <v>-1943</v>
      </c>
      <c r="M75" s="1"/>
      <c r="N75" s="5">
        <f t="shared" si="49"/>
        <v>-1</v>
      </c>
      <c r="O75" s="14"/>
      <c r="P75" s="1">
        <f>SUM(OSRRefP22_12x_0)</f>
        <v>5550</v>
      </c>
      <c r="Q75" s="1"/>
      <c r="R75" s="5">
        <f t="shared" si="50"/>
        <v>9.1767587588855407E-2</v>
      </c>
      <c r="S75" s="1"/>
      <c r="T75" s="1">
        <f>SUM(OSRRefT22_12x_0)</f>
        <v>7772</v>
      </c>
      <c r="U75" s="1"/>
      <c r="V75" s="5">
        <f t="shared" si="51"/>
        <v>4.2230408937284691E-2</v>
      </c>
      <c r="W75" s="1"/>
      <c r="X75" s="1">
        <f t="shared" si="52"/>
        <v>-2222</v>
      </c>
      <c r="Y75" s="1"/>
      <c r="Z75" s="5">
        <f t="shared" si="53"/>
        <v>-0.28589809572825525</v>
      </c>
    </row>
    <row r="76" spans="1:26" s="24" customFormat="1" hidden="1" outlineLevel="2" x14ac:dyDescent="0.25">
      <c r="A76" s="28"/>
      <c r="B76" s="11" t="str">
        <f>CONCATENATE("          ", "6273", " - ", "RENT")</f>
        <v xml:space="preserve">          6273 - RENT</v>
      </c>
      <c r="C76" s="11"/>
      <c r="D76" s="7"/>
      <c r="E76" s="2"/>
      <c r="F76" s="6">
        <f t="shared" si="46"/>
        <v>0</v>
      </c>
      <c r="G76" s="2"/>
      <c r="H76" s="7">
        <v>1943</v>
      </c>
      <c r="I76" s="2"/>
      <c r="J76" s="6">
        <f t="shared" si="47"/>
        <v>2.0567158175524763E-2</v>
      </c>
      <c r="K76" s="2"/>
      <c r="L76" s="7">
        <f t="shared" si="48"/>
        <v>-1943</v>
      </c>
      <c r="M76" s="2"/>
      <c r="N76" s="6">
        <f t="shared" si="49"/>
        <v>-1</v>
      </c>
      <c r="O76" s="11"/>
      <c r="P76" s="7">
        <v>5550</v>
      </c>
      <c r="Q76" s="2"/>
      <c r="R76" s="6">
        <f t="shared" si="50"/>
        <v>9.1767587588855407E-2</v>
      </c>
      <c r="S76" s="2"/>
      <c r="T76" s="7">
        <v>7772</v>
      </c>
      <c r="U76" s="2"/>
      <c r="V76" s="6">
        <f t="shared" si="51"/>
        <v>4.2230408937284691E-2</v>
      </c>
      <c r="W76" s="2"/>
      <c r="X76" s="7">
        <f t="shared" si="52"/>
        <v>-2222</v>
      </c>
      <c r="Y76" s="2"/>
      <c r="Z76" s="6">
        <f t="shared" si="53"/>
        <v>-0.28589809572825525</v>
      </c>
    </row>
    <row r="77" spans="1:26" s="27" customFormat="1" outlineLevel="1" collapsed="1" x14ac:dyDescent="0.25">
      <c r="A77" s="29"/>
      <c r="B77" s="14" t="str">
        <f>CONCATENATE("     ","Repair and Maintenance                            ")</f>
        <v xml:space="preserve">     Repair and Maintenance                            </v>
      </c>
      <c r="C77" s="14"/>
      <c r="D77" s="1">
        <f>SUM(OSRRefD22_13x_0)</f>
        <v>4021.3999999999996</v>
      </c>
      <c r="E77" s="1"/>
      <c r="F77" s="5">
        <f t="shared" si="46"/>
        <v>9.2401581768759372E-2</v>
      </c>
      <c r="G77" s="1"/>
      <c r="H77" s="1">
        <f>SUM(OSRRefH22_13x_0)</f>
        <v>7720</v>
      </c>
      <c r="I77" s="1"/>
      <c r="J77" s="5">
        <f t="shared" si="47"/>
        <v>8.1718199235744304E-2</v>
      </c>
      <c r="K77" s="1"/>
      <c r="L77" s="1">
        <f t="shared" si="48"/>
        <v>-3698.6000000000004</v>
      </c>
      <c r="M77" s="1"/>
      <c r="N77" s="5">
        <f t="shared" si="49"/>
        <v>-0.47909326424870469</v>
      </c>
      <c r="O77" s="14"/>
      <c r="P77" s="1">
        <f>SUM(OSRRefP22_13x_0)</f>
        <v>16115.86</v>
      </c>
      <c r="Q77" s="1"/>
      <c r="R77" s="5">
        <f t="shared" si="50"/>
        <v>0.26647091785941107</v>
      </c>
      <c r="S77" s="1"/>
      <c r="T77" s="1">
        <f>SUM(OSRRefT22_13x_0)</f>
        <v>10759</v>
      </c>
      <c r="U77" s="1"/>
      <c r="V77" s="5">
        <f t="shared" si="51"/>
        <v>5.8460752670644107E-2</v>
      </c>
      <c r="W77" s="1"/>
      <c r="X77" s="1">
        <f t="shared" si="52"/>
        <v>5356.8600000000006</v>
      </c>
      <c r="Y77" s="1"/>
      <c r="Z77" s="5">
        <f t="shared" si="53"/>
        <v>0.49789571521516873</v>
      </c>
    </row>
    <row r="78" spans="1:26" s="24" customFormat="1" hidden="1" outlineLevel="2" x14ac:dyDescent="0.25">
      <c r="A78" s="28"/>
      <c r="B78" s="11" t="str">
        <f>CONCATENATE("          ", "6371", " - ", "COMPUTER SOFTWARE MAINTENANCE")</f>
        <v xml:space="preserve">          6371 - COMPUTER SOFTWARE MAINTENANCE</v>
      </c>
      <c r="C78" s="11"/>
      <c r="D78" s="7"/>
      <c r="E78" s="2"/>
      <c r="F78" s="6">
        <f t="shared" si="46"/>
        <v>0</v>
      </c>
      <c r="G78" s="2"/>
      <c r="H78" s="7"/>
      <c r="I78" s="2"/>
      <c r="J78" s="6">
        <f t="shared" si="47"/>
        <v>0</v>
      </c>
      <c r="K78" s="2"/>
      <c r="L78" s="7">
        <f t="shared" si="48"/>
        <v>0</v>
      </c>
      <c r="M78" s="2"/>
      <c r="N78" s="6">
        <f t="shared" si="49"/>
        <v>0</v>
      </c>
      <c r="O78" s="11"/>
      <c r="P78" s="7"/>
      <c r="Q78" s="2"/>
      <c r="R78" s="6">
        <f t="shared" si="50"/>
        <v>0</v>
      </c>
      <c r="S78" s="2"/>
      <c r="T78" s="7">
        <v>43</v>
      </c>
      <c r="U78" s="2"/>
      <c r="V78" s="6">
        <f t="shared" si="51"/>
        <v>2.3364739890674753E-4</v>
      </c>
      <c r="W78" s="2"/>
      <c r="X78" s="7">
        <f t="shared" si="52"/>
        <v>-43</v>
      </c>
      <c r="Y78" s="2"/>
      <c r="Z78" s="6">
        <f t="shared" si="53"/>
        <v>-1</v>
      </c>
    </row>
    <row r="79" spans="1:26" s="24" customFormat="1" hidden="1" outlineLevel="2" x14ac:dyDescent="0.25">
      <c r="A79" s="28"/>
      <c r="B79" s="11" t="str">
        <f>CONCATENATE("          ", "6372", " - ", "COMPUTER HARDWARE MAINTENANCE")</f>
        <v xml:space="preserve">          6372 - COMPUTER HARDWARE MAINTENANCE</v>
      </c>
      <c r="C79" s="11"/>
      <c r="D79" s="7"/>
      <c r="E79" s="2"/>
      <c r="F79" s="6">
        <f t="shared" si="46"/>
        <v>0</v>
      </c>
      <c r="G79" s="2"/>
      <c r="H79" s="7"/>
      <c r="I79" s="2"/>
      <c r="J79" s="6">
        <f t="shared" si="47"/>
        <v>0</v>
      </c>
      <c r="K79" s="2"/>
      <c r="L79" s="7">
        <f t="shared" si="48"/>
        <v>0</v>
      </c>
      <c r="M79" s="2"/>
      <c r="N79" s="6">
        <f t="shared" si="49"/>
        <v>0</v>
      </c>
      <c r="O79" s="11"/>
      <c r="P79" s="7"/>
      <c r="Q79" s="2"/>
      <c r="R79" s="6">
        <f t="shared" si="50"/>
        <v>0</v>
      </c>
      <c r="S79" s="2"/>
      <c r="T79" s="7">
        <v>437</v>
      </c>
      <c r="U79" s="2"/>
      <c r="V79" s="6">
        <f t="shared" si="51"/>
        <v>2.3745096121453179E-3</v>
      </c>
      <c r="W79" s="2"/>
      <c r="X79" s="7">
        <f t="shared" si="52"/>
        <v>-437</v>
      </c>
      <c r="Y79" s="2"/>
      <c r="Z79" s="6">
        <f t="shared" si="53"/>
        <v>-1</v>
      </c>
    </row>
    <row r="80" spans="1:26" s="24" customFormat="1" hidden="1" outlineLevel="2" x14ac:dyDescent="0.25">
      <c r="A80" s="28"/>
      <c r="B80" s="11" t="str">
        <f>CONCATENATE("          ", "6373", " - ", "MAINTENANCE CONTRACTS")</f>
        <v xml:space="preserve">          6373 - MAINTENANCE CONTRACTS</v>
      </c>
      <c r="C80" s="11"/>
      <c r="D80" s="7">
        <v>3179.47</v>
      </c>
      <c r="E80" s="2"/>
      <c r="F80" s="6">
        <f t="shared" si="46"/>
        <v>7.3056163820141587E-2</v>
      </c>
      <c r="G80" s="2"/>
      <c r="H80" s="7">
        <v>206</v>
      </c>
      <c r="I80" s="2"/>
      <c r="J80" s="6">
        <f t="shared" si="47"/>
        <v>2.1805633474822964E-3</v>
      </c>
      <c r="K80" s="2"/>
      <c r="L80" s="7">
        <f t="shared" si="48"/>
        <v>2973.47</v>
      </c>
      <c r="M80" s="2"/>
      <c r="N80" s="6">
        <f t="shared" si="49"/>
        <v>14.434320388349514</v>
      </c>
      <c r="O80" s="11"/>
      <c r="P80" s="7">
        <v>9532.33</v>
      </c>
      <c r="Q80" s="2"/>
      <c r="R80" s="6">
        <f t="shared" si="50"/>
        <v>0.15761422129745478</v>
      </c>
      <c r="S80" s="2"/>
      <c r="T80" s="7">
        <v>206</v>
      </c>
      <c r="U80" s="2"/>
      <c r="V80" s="6">
        <f t="shared" si="51"/>
        <v>1.1193340505765113E-3</v>
      </c>
      <c r="W80" s="2"/>
      <c r="X80" s="7">
        <f t="shared" si="52"/>
        <v>9326.33</v>
      </c>
      <c r="Y80" s="2"/>
      <c r="Z80" s="6">
        <f t="shared" si="53"/>
        <v>45.27344660194175</v>
      </c>
    </row>
    <row r="81" spans="1:26" s="24" customFormat="1" hidden="1" outlineLevel="2" x14ac:dyDescent="0.25">
      <c r="A81" s="28"/>
      <c r="B81" s="11" t="str">
        <f>CONCATENATE("          ", "6375", " - ", "OUTSIDE REPAIRS &amp; MAINTENANCE")</f>
        <v xml:space="preserve">          6375 - OUTSIDE REPAIRS &amp; MAINTENANCE</v>
      </c>
      <c r="C81" s="11"/>
      <c r="D81" s="7">
        <v>841.93</v>
      </c>
      <c r="E81" s="2"/>
      <c r="F81" s="6">
        <f t="shared" si="46"/>
        <v>1.9345417948617789E-2</v>
      </c>
      <c r="G81" s="2"/>
      <c r="H81" s="7">
        <v>7514</v>
      </c>
      <c r="I81" s="2"/>
      <c r="J81" s="6">
        <f t="shared" si="47"/>
        <v>7.9537635888262001E-2</v>
      </c>
      <c r="K81" s="2"/>
      <c r="L81" s="7">
        <f t="shared" si="48"/>
        <v>-6672.07</v>
      </c>
      <c r="M81" s="2"/>
      <c r="N81" s="6">
        <f t="shared" si="49"/>
        <v>-0.88795182326324196</v>
      </c>
      <c r="O81" s="11"/>
      <c r="P81" s="7">
        <v>6583.53</v>
      </c>
      <c r="Q81" s="2"/>
      <c r="R81" s="6">
        <f t="shared" si="50"/>
        <v>0.10885669656195626</v>
      </c>
      <c r="S81" s="2"/>
      <c r="T81" s="7">
        <v>10073</v>
      </c>
      <c r="U81" s="2"/>
      <c r="V81" s="6">
        <f t="shared" si="51"/>
        <v>5.4733261609015531E-2</v>
      </c>
      <c r="W81" s="2"/>
      <c r="X81" s="7">
        <f t="shared" si="52"/>
        <v>-3489.4700000000003</v>
      </c>
      <c r="Y81" s="2"/>
      <c r="Z81" s="6">
        <f t="shared" si="53"/>
        <v>-0.34641814752308153</v>
      </c>
    </row>
    <row r="82" spans="1:26" s="27" customFormat="1" outlineLevel="1" collapsed="1" x14ac:dyDescent="0.25">
      <c r="A82" s="29"/>
      <c r="B82" s="14" t="str">
        <f>CONCATENATE("     ","Royalty &amp; Commissions                             ")</f>
        <v xml:space="preserve">     Royalty &amp; Commissions                             </v>
      </c>
      <c r="C82" s="14"/>
      <c r="D82" s="1">
        <f>SUM(OSRRefD22_14x_0)</f>
        <v>185.7</v>
      </c>
      <c r="E82" s="1"/>
      <c r="F82" s="5">
        <f t="shared" ref="F82:F84" si="54">IF(D$12=0,0,D82/D$12)</f>
        <v>4.2669154360318829E-3</v>
      </c>
      <c r="G82" s="1"/>
      <c r="H82" s="1">
        <f>SUM(OSRRefH22_14x_0)</f>
        <v>1108</v>
      </c>
      <c r="I82" s="1"/>
      <c r="J82" s="5">
        <f t="shared" ref="J82:J84" si="55">IF(H$12=0,0,H82/H$12)</f>
        <v>1.1728466936943613E-2</v>
      </c>
      <c r="K82" s="1"/>
      <c r="L82" s="1">
        <f t="shared" ref="L82:L84" si="56">+D82-H82</f>
        <v>-922.3</v>
      </c>
      <c r="M82" s="1"/>
      <c r="N82" s="5">
        <f t="shared" ref="N82:N84" si="57">IF(H82=0,0,L82/H82)</f>
        <v>-0.8324007220216606</v>
      </c>
      <c r="O82" s="14"/>
      <c r="P82" s="1">
        <f>SUM(OSRRefP22_14x_0)</f>
        <v>185.7</v>
      </c>
      <c r="Q82" s="1"/>
      <c r="R82" s="5">
        <f t="shared" ref="R82:R84" si="58">IF(P$12=0,0,P82/P$12)</f>
        <v>3.0704938766217024E-3</v>
      </c>
      <c r="S82" s="1"/>
      <c r="T82" s="1">
        <f>SUM(OSRRefT22_14x_0)</f>
        <v>2095</v>
      </c>
      <c r="U82" s="1"/>
      <c r="V82" s="5">
        <f t="shared" ref="V82:V84" si="59">IF(T$12=0,0,T82/T$12)</f>
        <v>1.1383518621154326E-2</v>
      </c>
      <c r="W82" s="1"/>
      <c r="X82" s="1">
        <f t="shared" ref="X82:X84" si="60">+P82-T82</f>
        <v>-1909.3</v>
      </c>
      <c r="Y82" s="1"/>
      <c r="Z82" s="5">
        <f t="shared" ref="Z82:Z84" si="61">IF(T82=0,0,X82/T82)</f>
        <v>-0.9113603818615752</v>
      </c>
    </row>
    <row r="83" spans="1:26" s="24" customFormat="1" hidden="1" outlineLevel="2" x14ac:dyDescent="0.25">
      <c r="A83" s="28"/>
      <c r="B83" s="11" t="str">
        <f>CONCATENATE("          ", "6254", " - ", "ROYALTY &amp; COMMISSIONS")</f>
        <v xml:space="preserve">          6254 - ROYALTY &amp; COMMISSIONS</v>
      </c>
      <c r="C83" s="11"/>
      <c r="D83" s="7">
        <v>185.7</v>
      </c>
      <c r="E83" s="2"/>
      <c r="F83" s="6">
        <f t="shared" si="54"/>
        <v>4.2669154360318829E-3</v>
      </c>
      <c r="G83" s="2"/>
      <c r="H83" s="7">
        <v>0</v>
      </c>
      <c r="I83" s="2"/>
      <c r="J83" s="6">
        <f t="shared" si="55"/>
        <v>0</v>
      </c>
      <c r="K83" s="2"/>
      <c r="L83" s="7">
        <f t="shared" si="56"/>
        <v>185.7</v>
      </c>
      <c r="M83" s="2"/>
      <c r="N83" s="6">
        <f t="shared" si="57"/>
        <v>0</v>
      </c>
      <c r="O83" s="11"/>
      <c r="P83" s="7">
        <v>185.7</v>
      </c>
      <c r="Q83" s="2"/>
      <c r="R83" s="6">
        <f t="shared" si="58"/>
        <v>3.0704938766217024E-3</v>
      </c>
      <c r="S83" s="2"/>
      <c r="T83" s="7">
        <v>0</v>
      </c>
      <c r="U83" s="2"/>
      <c r="V83" s="6">
        <f t="shared" si="59"/>
        <v>0</v>
      </c>
      <c r="W83" s="2"/>
      <c r="X83" s="7">
        <f t="shared" si="60"/>
        <v>185.7</v>
      </c>
      <c r="Y83" s="2"/>
      <c r="Z83" s="6">
        <f t="shared" si="61"/>
        <v>0</v>
      </c>
    </row>
    <row r="84" spans="1:26" s="24" customFormat="1" hidden="1" outlineLevel="2" x14ac:dyDescent="0.25">
      <c r="A84" s="28"/>
      <c r="B84" s="11" t="str">
        <f>CONCATENATE("          ", "6259", " - ", "ROYALTY &amp; COMMISSIONS")</f>
        <v xml:space="preserve">          6259 - ROYALTY &amp; COMMISSIONS</v>
      </c>
      <c r="C84" s="11"/>
      <c r="D84" s="7"/>
      <c r="E84" s="2"/>
      <c r="F84" s="6">
        <f t="shared" si="54"/>
        <v>0</v>
      </c>
      <c r="G84" s="2"/>
      <c r="H84" s="7">
        <v>1108</v>
      </c>
      <c r="I84" s="2"/>
      <c r="J84" s="6">
        <f t="shared" si="55"/>
        <v>1.1728466936943613E-2</v>
      </c>
      <c r="K84" s="2"/>
      <c r="L84" s="7">
        <f t="shared" si="56"/>
        <v>-1108</v>
      </c>
      <c r="M84" s="2"/>
      <c r="N84" s="6">
        <f t="shared" si="57"/>
        <v>-1</v>
      </c>
      <c r="O84" s="11"/>
      <c r="P84" s="7"/>
      <c r="Q84" s="2"/>
      <c r="R84" s="6">
        <f t="shared" si="58"/>
        <v>0</v>
      </c>
      <c r="S84" s="2"/>
      <c r="T84" s="7">
        <v>2095</v>
      </c>
      <c r="U84" s="2"/>
      <c r="V84" s="6">
        <f t="shared" si="59"/>
        <v>1.1383518621154326E-2</v>
      </c>
      <c r="W84" s="2"/>
      <c r="X84" s="7">
        <f t="shared" si="60"/>
        <v>-2095</v>
      </c>
      <c r="Y84" s="2"/>
      <c r="Z84" s="6">
        <f t="shared" si="61"/>
        <v>-1</v>
      </c>
    </row>
    <row r="85" spans="1:26" s="27" customFormat="1" outlineLevel="1" collapsed="1" x14ac:dyDescent="0.25">
      <c r="A85" s="29"/>
      <c r="B85" s="14" t="str">
        <f>CONCATENATE("     ","Services                                          ")</f>
        <v xml:space="preserve">     Services                                          </v>
      </c>
      <c r="C85" s="14"/>
      <c r="D85" s="1">
        <f>SUM(OSRRefD22_15x_0)</f>
        <v>7010.73</v>
      </c>
      <c r="E85" s="1"/>
      <c r="F85" s="5">
        <f t="shared" ref="F85:F90" si="62">IF(D$12=0,0,D85/D$12)</f>
        <v>0.16108881020383309</v>
      </c>
      <c r="G85" s="1"/>
      <c r="H85" s="1">
        <f>SUM(OSRRefH22_15x_0)</f>
        <v>8195</v>
      </c>
      <c r="I85" s="1"/>
      <c r="J85" s="5">
        <f t="shared" ref="J85:J90" si="63">IF(H$12=0,0,H85/H$12)</f>
        <v>8.6746197245715612E-2</v>
      </c>
      <c r="K85" s="1"/>
      <c r="L85" s="1">
        <f t="shared" ref="L85:L90" si="64">+D85-H85</f>
        <v>-1184.2700000000004</v>
      </c>
      <c r="M85" s="1"/>
      <c r="N85" s="5">
        <f t="shared" ref="N85:N90" si="65">IF(H85=0,0,L85/H85)</f>
        <v>-0.14451128737034782</v>
      </c>
      <c r="O85" s="14"/>
      <c r="P85" s="1">
        <f>SUM(OSRRefP22_15x_0)</f>
        <v>16006.029999999999</v>
      </c>
      <c r="Q85" s="1"/>
      <c r="R85" s="5">
        <f t="shared" ref="R85:R90" si="66">IF(P$12=0,0,P85/P$12)</f>
        <v>0.2646549117071797</v>
      </c>
      <c r="S85" s="1"/>
      <c r="T85" s="1">
        <f>SUM(OSRRefT22_15x_0)</f>
        <v>29054</v>
      </c>
      <c r="U85" s="1"/>
      <c r="V85" s="5">
        <f t="shared" ref="V85:V90" si="67">IF(T$12=0,0,T85/T$12)</f>
        <v>0.15786957041480565</v>
      </c>
      <c r="W85" s="1"/>
      <c r="X85" s="1">
        <f t="shared" ref="X85:X90" si="68">+P85-T85</f>
        <v>-13047.970000000001</v>
      </c>
      <c r="Y85" s="1"/>
      <c r="Z85" s="5">
        <f t="shared" ref="Z85:Z90" si="69">IF(T85=0,0,X85/T85)</f>
        <v>-0.44909375645350041</v>
      </c>
    </row>
    <row r="86" spans="1:26" s="24" customFormat="1" hidden="1" outlineLevel="2" x14ac:dyDescent="0.25">
      <c r="A86" s="28"/>
      <c r="B86" s="11" t="str">
        <f>CONCATENATE("          ", "6282", " - ", "JANITORIAL/EXTERMINATOR EXPENS")</f>
        <v xml:space="preserve">          6282 - JANITORIAL/EXTERMINATOR EXPENS</v>
      </c>
      <c r="C86" s="11"/>
      <c r="D86" s="7">
        <v>1529.78</v>
      </c>
      <c r="E86" s="2"/>
      <c r="F86" s="6">
        <f t="shared" si="62"/>
        <v>3.5150467936095067E-2</v>
      </c>
      <c r="G86" s="2"/>
      <c r="H86" s="7">
        <v>955</v>
      </c>
      <c r="I86" s="2"/>
      <c r="J86" s="6">
        <f t="shared" si="63"/>
        <v>1.0108922314784431E-2</v>
      </c>
      <c r="K86" s="2"/>
      <c r="L86" s="7">
        <f t="shared" si="64"/>
        <v>574.78</v>
      </c>
      <c r="M86" s="2"/>
      <c r="N86" s="6">
        <f t="shared" si="65"/>
        <v>0.60186387434554967</v>
      </c>
      <c r="O86" s="11"/>
      <c r="P86" s="7">
        <v>1582.49</v>
      </c>
      <c r="Q86" s="2"/>
      <c r="R86" s="6">
        <f t="shared" si="66"/>
        <v>2.6165998141168972E-2</v>
      </c>
      <c r="S86" s="2"/>
      <c r="T86" s="7">
        <v>4134</v>
      </c>
      <c r="U86" s="2"/>
      <c r="V86" s="6">
        <f t="shared" si="67"/>
        <v>2.2462752257685913E-2</v>
      </c>
      <c r="W86" s="2"/>
      <c r="X86" s="7">
        <f t="shared" si="68"/>
        <v>-2551.5100000000002</v>
      </c>
      <c r="Y86" s="2"/>
      <c r="Z86" s="6">
        <f t="shared" si="69"/>
        <v>-0.61720125786163527</v>
      </c>
    </row>
    <row r="87" spans="1:26" s="24" customFormat="1" hidden="1" outlineLevel="2" x14ac:dyDescent="0.25">
      <c r="A87" s="28"/>
      <c r="B87" s="11" t="str">
        <f>CONCATENATE("          ", "6283", " - ", "PLANT SERVICE")</f>
        <v xml:space="preserve">          6283 - PLANT SERVICE</v>
      </c>
      <c r="C87" s="11"/>
      <c r="D87" s="7"/>
      <c r="E87" s="2"/>
      <c r="F87" s="6">
        <f t="shared" si="62"/>
        <v>0</v>
      </c>
      <c r="G87" s="2"/>
      <c r="H87" s="7">
        <v>0</v>
      </c>
      <c r="I87" s="2"/>
      <c r="J87" s="6">
        <f t="shared" si="63"/>
        <v>0</v>
      </c>
      <c r="K87" s="2"/>
      <c r="L87" s="7">
        <f t="shared" si="64"/>
        <v>0</v>
      </c>
      <c r="M87" s="2"/>
      <c r="N87" s="6">
        <f t="shared" si="65"/>
        <v>0</v>
      </c>
      <c r="O87" s="11"/>
      <c r="P87" s="7"/>
      <c r="Q87" s="2"/>
      <c r="R87" s="6">
        <f t="shared" si="66"/>
        <v>0</v>
      </c>
      <c r="S87" s="2"/>
      <c r="T87" s="7">
        <v>186</v>
      </c>
      <c r="U87" s="2"/>
      <c r="V87" s="6">
        <f t="shared" si="67"/>
        <v>1.0106608417826753E-3</v>
      </c>
      <c r="W87" s="2"/>
      <c r="X87" s="7">
        <f t="shared" si="68"/>
        <v>-186</v>
      </c>
      <c r="Y87" s="2"/>
      <c r="Z87" s="6">
        <f t="shared" si="69"/>
        <v>-1</v>
      </c>
    </row>
    <row r="88" spans="1:26" s="24" customFormat="1" hidden="1" outlineLevel="2" x14ac:dyDescent="0.25">
      <c r="A88" s="28"/>
      <c r="B88" s="11" t="str">
        <f>CONCATENATE("          ", "6284", " - ", "TRASH REMOVAL EXPENSE")</f>
        <v xml:space="preserve">          6284 - TRASH REMOVAL EXPENSE</v>
      </c>
      <c r="C88" s="11"/>
      <c r="D88" s="7">
        <v>5369</v>
      </c>
      <c r="E88" s="2"/>
      <c r="F88" s="6">
        <f t="shared" si="62"/>
        <v>0.12336601494913937</v>
      </c>
      <c r="G88" s="2"/>
      <c r="H88" s="7">
        <v>3360</v>
      </c>
      <c r="I88" s="2"/>
      <c r="J88" s="6">
        <f t="shared" si="63"/>
        <v>3.5566470133691817E-2</v>
      </c>
      <c r="K88" s="2"/>
      <c r="L88" s="7">
        <f t="shared" si="64"/>
        <v>2009</v>
      </c>
      <c r="M88" s="2"/>
      <c r="N88" s="6">
        <f t="shared" si="65"/>
        <v>0.59791666666666665</v>
      </c>
      <c r="O88" s="11"/>
      <c r="P88" s="7">
        <v>8130</v>
      </c>
      <c r="Q88" s="2"/>
      <c r="R88" s="6">
        <f t="shared" si="66"/>
        <v>0.13442711479232333</v>
      </c>
      <c r="S88" s="2"/>
      <c r="T88" s="7">
        <v>10380</v>
      </c>
      <c r="U88" s="2"/>
      <c r="V88" s="6">
        <f t="shared" si="67"/>
        <v>5.6401395364000913E-2</v>
      </c>
      <c r="W88" s="2"/>
      <c r="X88" s="7">
        <f t="shared" si="68"/>
        <v>-2250</v>
      </c>
      <c r="Y88" s="2"/>
      <c r="Z88" s="6">
        <f t="shared" si="69"/>
        <v>-0.21676300578034682</v>
      </c>
    </row>
    <row r="89" spans="1:26" s="24" customFormat="1" hidden="1" outlineLevel="2" x14ac:dyDescent="0.25">
      <c r="A89" s="28"/>
      <c r="B89" s="11" t="str">
        <f>CONCATENATE("          ", "6285", " - ", "JANITORIAL SERVICES")</f>
        <v xml:space="preserve">          6285 - JANITORIAL SERVICES</v>
      </c>
      <c r="C89" s="11"/>
      <c r="D89" s="7"/>
      <c r="E89" s="2"/>
      <c r="F89" s="6">
        <f t="shared" si="62"/>
        <v>0</v>
      </c>
      <c r="G89" s="2"/>
      <c r="H89" s="7">
        <v>3791</v>
      </c>
      <c r="I89" s="2"/>
      <c r="J89" s="6">
        <f t="shared" si="63"/>
        <v>4.0128716749055264E-2</v>
      </c>
      <c r="K89" s="2"/>
      <c r="L89" s="7">
        <f t="shared" si="64"/>
        <v>-3791</v>
      </c>
      <c r="M89" s="2"/>
      <c r="N89" s="6">
        <f t="shared" si="65"/>
        <v>-1</v>
      </c>
      <c r="O89" s="11"/>
      <c r="P89" s="7">
        <v>5607.33</v>
      </c>
      <c r="Q89" s="2"/>
      <c r="R89" s="6">
        <f t="shared" si="66"/>
        <v>9.2715521966597589E-2</v>
      </c>
      <c r="S89" s="2"/>
      <c r="T89" s="7">
        <v>13977</v>
      </c>
      <c r="U89" s="2"/>
      <c r="V89" s="6">
        <f t="shared" si="67"/>
        <v>7.5946271965572326E-2</v>
      </c>
      <c r="W89" s="2"/>
      <c r="X89" s="7">
        <f t="shared" si="68"/>
        <v>-8369.67</v>
      </c>
      <c r="Y89" s="2"/>
      <c r="Z89" s="6">
        <f t="shared" si="69"/>
        <v>-0.59881734277742005</v>
      </c>
    </row>
    <row r="90" spans="1:26" s="24" customFormat="1" hidden="1" outlineLevel="2" x14ac:dyDescent="0.25">
      <c r="A90" s="28"/>
      <c r="B90" s="11" t="str">
        <f>CONCATENATE("          ", "6286", " - ", "LAUNDRY EXPENSE")</f>
        <v xml:space="preserve">          6286 - LAUNDRY EXPENSE</v>
      </c>
      <c r="C90" s="11"/>
      <c r="D90" s="7">
        <v>111.95</v>
      </c>
      <c r="E90" s="2"/>
      <c r="F90" s="6">
        <f t="shared" si="62"/>
        <v>2.5723273185986502E-3</v>
      </c>
      <c r="G90" s="2"/>
      <c r="H90" s="7">
        <v>89</v>
      </c>
      <c r="I90" s="2"/>
      <c r="J90" s="6">
        <f t="shared" si="63"/>
        <v>9.4208804818409885E-4</v>
      </c>
      <c r="K90" s="2"/>
      <c r="L90" s="7">
        <f t="shared" si="64"/>
        <v>22.950000000000003</v>
      </c>
      <c r="M90" s="2"/>
      <c r="N90" s="6">
        <f t="shared" si="65"/>
        <v>0.2578651685393259</v>
      </c>
      <c r="O90" s="11"/>
      <c r="P90" s="7">
        <v>686.21</v>
      </c>
      <c r="Q90" s="2"/>
      <c r="R90" s="6">
        <f t="shared" si="66"/>
        <v>1.1346276807089816E-2</v>
      </c>
      <c r="S90" s="2"/>
      <c r="T90" s="7">
        <v>377</v>
      </c>
      <c r="U90" s="2"/>
      <c r="V90" s="6">
        <f t="shared" si="67"/>
        <v>2.0484899857638097E-3</v>
      </c>
      <c r="W90" s="2"/>
      <c r="X90" s="7">
        <f t="shared" si="68"/>
        <v>309.21000000000004</v>
      </c>
      <c r="Y90" s="2"/>
      <c r="Z90" s="6">
        <f t="shared" si="69"/>
        <v>0.820185676392573</v>
      </c>
    </row>
    <row r="91" spans="1:26" s="27" customFormat="1" outlineLevel="1" collapsed="1" x14ac:dyDescent="0.25">
      <c r="A91" s="29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SUM(OSRRefD22_16x_0)</f>
        <v>130.66999999999999</v>
      </c>
      <c r="E91" s="1"/>
      <c r="F91" s="5">
        <f t="shared" ref="F91:F104" si="70">IF(D$12=0,0,D91/D$12)</f>
        <v>3.0024654821017025E-3</v>
      </c>
      <c r="G91" s="1"/>
      <c r="H91" s="1">
        <f>SUM(OSRRefH22_16x_0)</f>
        <v>373</v>
      </c>
      <c r="I91" s="1"/>
      <c r="J91" s="5">
        <f t="shared" ref="J91:J104" si="71">IF(H$12=0,0,H91/H$12)</f>
        <v>3.9483015951985263E-3</v>
      </c>
      <c r="K91" s="1"/>
      <c r="L91" s="1">
        <f t="shared" ref="L91:L104" si="72">+D91-H91</f>
        <v>-242.33</v>
      </c>
      <c r="M91" s="1"/>
      <c r="N91" s="5">
        <f t="shared" ref="N91:N104" si="73">IF(H91=0,0,L91/H91)</f>
        <v>-0.64967828418230567</v>
      </c>
      <c r="O91" s="14"/>
      <c r="P91" s="1">
        <f>SUM(OSRRefP22_16x_0)</f>
        <v>271.33</v>
      </c>
      <c r="Q91" s="1"/>
      <c r="R91" s="5">
        <f t="shared" ref="R91:R104" si="74">IF(P$12=0,0,P91/P$12)</f>
        <v>4.4863602775647091E-3</v>
      </c>
      <c r="S91" s="1"/>
      <c r="T91" s="1">
        <f>SUM(OSRRefT22_16x_0)</f>
        <v>1492</v>
      </c>
      <c r="U91" s="1"/>
      <c r="V91" s="5">
        <f t="shared" ref="V91:V104" si="75">IF(T$12=0,0,T91/T$12)</f>
        <v>8.1070213760201706E-3</v>
      </c>
      <c r="W91" s="1"/>
      <c r="X91" s="1">
        <f t="shared" ref="X91:X104" si="76">+P91-T91</f>
        <v>-1220.67</v>
      </c>
      <c r="Y91" s="1"/>
      <c r="Z91" s="5">
        <f t="shared" ref="Z91:Z104" si="77">IF(T91=0,0,X91/T91)</f>
        <v>-0.81814343163538883</v>
      </c>
    </row>
    <row r="92" spans="1:26" s="24" customFormat="1" hidden="1" outlineLevel="2" x14ac:dyDescent="0.25">
      <c r="A92" s="28"/>
      <c r="B92" s="11" t="str">
        <f>CONCATENATE("          ", "6275", " - ", "SUBSCRIPTIONS")</f>
        <v xml:space="preserve">          6275 - SUBSCRIPTIONS</v>
      </c>
      <c r="C92" s="11"/>
      <c r="D92" s="7">
        <v>130.66999999999999</v>
      </c>
      <c r="E92" s="2"/>
      <c r="F92" s="6">
        <f t="shared" si="70"/>
        <v>3.0024654821017025E-3</v>
      </c>
      <c r="G92" s="2"/>
      <c r="H92" s="7">
        <v>373</v>
      </c>
      <c r="I92" s="2"/>
      <c r="J92" s="6">
        <f t="shared" si="71"/>
        <v>3.9483015951985263E-3</v>
      </c>
      <c r="K92" s="2"/>
      <c r="L92" s="7">
        <f t="shared" si="72"/>
        <v>-242.33</v>
      </c>
      <c r="M92" s="2"/>
      <c r="N92" s="6">
        <f t="shared" si="73"/>
        <v>-0.64967828418230567</v>
      </c>
      <c r="O92" s="11"/>
      <c r="P92" s="7">
        <v>271.33</v>
      </c>
      <c r="Q92" s="2"/>
      <c r="R92" s="6">
        <f t="shared" si="74"/>
        <v>4.4863602775647091E-3</v>
      </c>
      <c r="S92" s="2"/>
      <c r="T92" s="7">
        <v>1492</v>
      </c>
      <c r="U92" s="2"/>
      <c r="V92" s="6">
        <f t="shared" si="75"/>
        <v>8.1070213760201706E-3</v>
      </c>
      <c r="W92" s="2"/>
      <c r="X92" s="7">
        <f t="shared" si="76"/>
        <v>-1220.67</v>
      </c>
      <c r="Y92" s="2"/>
      <c r="Z92" s="6">
        <f t="shared" si="77"/>
        <v>-0.81814343163538883</v>
      </c>
    </row>
    <row r="93" spans="1:26" s="27" customFormat="1" outlineLevel="1" collapsed="1" x14ac:dyDescent="0.25">
      <c r="A93" s="29"/>
      <c r="B93" s="14" t="str">
        <f>CONCATENATE("     ","Supplies                                          ")</f>
        <v xml:space="preserve">     Supplies                                          </v>
      </c>
      <c r="C93" s="14"/>
      <c r="D93" s="1">
        <f>SUM(OSRRefD22_17x_0)</f>
        <v>6433.76</v>
      </c>
      <c r="E93" s="1"/>
      <c r="F93" s="5">
        <f t="shared" si="70"/>
        <v>0.14783150164633543</v>
      </c>
      <c r="G93" s="1"/>
      <c r="H93" s="1">
        <f>SUM(OSRRefH22_17x_0)</f>
        <v>4706</v>
      </c>
      <c r="I93" s="1"/>
      <c r="J93" s="5">
        <f t="shared" si="71"/>
        <v>4.9814228705105268E-2</v>
      </c>
      <c r="K93" s="1"/>
      <c r="L93" s="1">
        <f t="shared" si="72"/>
        <v>1727.7600000000002</v>
      </c>
      <c r="M93" s="1"/>
      <c r="N93" s="5">
        <f t="shared" si="73"/>
        <v>0.36713982150446245</v>
      </c>
      <c r="O93" s="14"/>
      <c r="P93" s="1">
        <f>SUM(OSRRefP22_17x_0)</f>
        <v>-20548.590000000004</v>
      </c>
      <c r="Q93" s="1"/>
      <c r="R93" s="5">
        <f t="shared" si="74"/>
        <v>-0.33976478065810428</v>
      </c>
      <c r="S93" s="1"/>
      <c r="T93" s="1">
        <f>SUM(OSRRefT22_17x_0)</f>
        <v>23449</v>
      </c>
      <c r="U93" s="1"/>
      <c r="V93" s="5">
        <f t="shared" si="75"/>
        <v>0.12741390365033309</v>
      </c>
      <c r="W93" s="1"/>
      <c r="X93" s="1">
        <f t="shared" si="76"/>
        <v>-43997.590000000004</v>
      </c>
      <c r="Y93" s="1"/>
      <c r="Z93" s="5">
        <f t="shared" si="77"/>
        <v>-1.8763098639600837</v>
      </c>
    </row>
    <row r="94" spans="1:26" s="24" customFormat="1" hidden="1" outlineLevel="2" x14ac:dyDescent="0.25">
      <c r="A94" s="28"/>
      <c r="B94" s="11" t="str">
        <f>CONCATENATE("          ", "6234", " - ", "EXPENDABLE SUPPLIES &amp; EQUIPMEN")</f>
        <v xml:space="preserve">          6234 - EXPENDABLE SUPPLIES &amp; EQUIPMEN</v>
      </c>
      <c r="C94" s="11"/>
      <c r="D94" s="7">
        <v>55.13</v>
      </c>
      <c r="E94" s="2"/>
      <c r="F94" s="6">
        <f t="shared" si="70"/>
        <v>1.2667477005300902E-3</v>
      </c>
      <c r="G94" s="2"/>
      <c r="H94" s="7"/>
      <c r="I94" s="2"/>
      <c r="J94" s="6">
        <f t="shared" si="71"/>
        <v>0</v>
      </c>
      <c r="K94" s="2"/>
      <c r="L94" s="7">
        <f t="shared" si="72"/>
        <v>55.13</v>
      </c>
      <c r="M94" s="2"/>
      <c r="N94" s="6">
        <f t="shared" si="73"/>
        <v>0</v>
      </c>
      <c r="O94" s="11"/>
      <c r="P94" s="7">
        <v>627.58000000000004</v>
      </c>
      <c r="Q94" s="2"/>
      <c r="R94" s="6">
        <f t="shared" si="74"/>
        <v>1.037684731874124E-2</v>
      </c>
      <c r="S94" s="2"/>
      <c r="T94" s="7">
        <v>0</v>
      </c>
      <c r="U94" s="2"/>
      <c r="V94" s="6">
        <f t="shared" si="75"/>
        <v>0</v>
      </c>
      <c r="W94" s="2"/>
      <c r="X94" s="7">
        <f t="shared" si="76"/>
        <v>627.58000000000004</v>
      </c>
      <c r="Y94" s="2"/>
      <c r="Z94" s="6">
        <f t="shared" si="77"/>
        <v>0</v>
      </c>
    </row>
    <row r="95" spans="1:26" s="24" customFormat="1" hidden="1" outlineLevel="2" x14ac:dyDescent="0.25">
      <c r="A95" s="28"/>
      <c r="B95" s="11" t="str">
        <f>CONCATENATE("          ", "6235", " - ", "COVID-19 EXPENSES")</f>
        <v xml:space="preserve">          6235 - COVID-19 EXPENSES</v>
      </c>
      <c r="C95" s="11"/>
      <c r="D95" s="7">
        <v>5932</v>
      </c>
      <c r="E95" s="2"/>
      <c r="F95" s="6">
        <f t="shared" si="70"/>
        <v>0.13630232830662969</v>
      </c>
      <c r="G95" s="2"/>
      <c r="H95" s="7">
        <v>400</v>
      </c>
      <c r="I95" s="2"/>
      <c r="J95" s="6">
        <f t="shared" si="71"/>
        <v>4.2341035873442647E-3</v>
      </c>
      <c r="K95" s="2"/>
      <c r="L95" s="7">
        <f t="shared" si="72"/>
        <v>5532</v>
      </c>
      <c r="M95" s="2"/>
      <c r="N95" s="6">
        <f t="shared" si="73"/>
        <v>13.83</v>
      </c>
      <c r="O95" s="11"/>
      <c r="P95" s="7">
        <v>7089.13</v>
      </c>
      <c r="Q95" s="2"/>
      <c r="R95" s="6">
        <f t="shared" si="74"/>
        <v>0.11721664111779866</v>
      </c>
      <c r="S95" s="2"/>
      <c r="T95" s="7">
        <v>2100</v>
      </c>
      <c r="U95" s="2"/>
      <c r="V95" s="6">
        <f t="shared" si="75"/>
        <v>1.1410686923352786E-2</v>
      </c>
      <c r="W95" s="2"/>
      <c r="X95" s="7">
        <f t="shared" si="76"/>
        <v>4989.13</v>
      </c>
      <c r="Y95" s="2"/>
      <c r="Z95" s="6">
        <f t="shared" si="77"/>
        <v>2.3757761904761905</v>
      </c>
    </row>
    <row r="96" spans="1:26" s="24" customFormat="1" hidden="1" outlineLevel="2" x14ac:dyDescent="0.25">
      <c r="A96" s="28"/>
      <c r="B96" s="11" t="str">
        <f>CONCATENATE("          ", "6237", " - ", "JANITORIAL SUPPLIES")</f>
        <v xml:space="preserve">          6237 - JANITORIAL SUPPLIES</v>
      </c>
      <c r="C96" s="11"/>
      <c r="D96" s="7">
        <v>268.05</v>
      </c>
      <c r="E96" s="2"/>
      <c r="F96" s="6">
        <f t="shared" si="70"/>
        <v>6.1591097610573312E-3</v>
      </c>
      <c r="G96" s="2"/>
      <c r="H96" s="7">
        <v>1543</v>
      </c>
      <c r="I96" s="2"/>
      <c r="J96" s="6">
        <f t="shared" si="71"/>
        <v>1.63330545881805E-2</v>
      </c>
      <c r="K96" s="2"/>
      <c r="L96" s="7">
        <f t="shared" si="72"/>
        <v>-1274.95</v>
      </c>
      <c r="M96" s="2"/>
      <c r="N96" s="6">
        <f t="shared" si="73"/>
        <v>-0.82627997407647447</v>
      </c>
      <c r="O96" s="11"/>
      <c r="P96" s="7">
        <v>585.62</v>
      </c>
      <c r="Q96" s="2"/>
      <c r="R96" s="6">
        <f t="shared" si="74"/>
        <v>9.6830512871685596E-3</v>
      </c>
      <c r="S96" s="2"/>
      <c r="T96" s="7">
        <v>3046</v>
      </c>
      <c r="U96" s="2"/>
      <c r="V96" s="6">
        <f t="shared" si="75"/>
        <v>1.655092969930123E-2</v>
      </c>
      <c r="W96" s="2"/>
      <c r="X96" s="7">
        <f t="shared" si="76"/>
        <v>-2460.38</v>
      </c>
      <c r="Y96" s="2"/>
      <c r="Z96" s="6">
        <f t="shared" si="77"/>
        <v>-0.80774130006565992</v>
      </c>
    </row>
    <row r="97" spans="1:26" s="24" customFormat="1" hidden="1" outlineLevel="2" x14ac:dyDescent="0.25">
      <c r="A97" s="28"/>
      <c r="B97" s="11" t="str">
        <f>CONCATENATE("          ", "6239", " - ", "KITCHEN SUPPLIES")</f>
        <v xml:space="preserve">          6239 - KITCHEN SUPPLIES</v>
      </c>
      <c r="C97" s="11"/>
      <c r="D97" s="7">
        <v>19.829999999999998</v>
      </c>
      <c r="E97" s="2"/>
      <c r="F97" s="6">
        <f t="shared" si="70"/>
        <v>4.5564315076204758E-4</v>
      </c>
      <c r="G97" s="2"/>
      <c r="H97" s="7">
        <v>43</v>
      </c>
      <c r="I97" s="2"/>
      <c r="J97" s="6">
        <f t="shared" si="71"/>
        <v>4.5516613563950843E-4</v>
      </c>
      <c r="K97" s="2"/>
      <c r="L97" s="7">
        <f t="shared" si="72"/>
        <v>-23.17</v>
      </c>
      <c r="M97" s="2"/>
      <c r="N97" s="6">
        <f t="shared" si="73"/>
        <v>-0.53883720930232559</v>
      </c>
      <c r="O97" s="11"/>
      <c r="P97" s="7">
        <v>19.829999999999998</v>
      </c>
      <c r="Q97" s="2"/>
      <c r="R97" s="6">
        <f t="shared" si="74"/>
        <v>3.2788311024991039E-4</v>
      </c>
      <c r="S97" s="2"/>
      <c r="T97" s="7">
        <v>192</v>
      </c>
      <c r="U97" s="2"/>
      <c r="V97" s="6">
        <f t="shared" si="75"/>
        <v>1.0432628044208261E-3</v>
      </c>
      <c r="W97" s="2"/>
      <c r="X97" s="7">
        <f t="shared" si="76"/>
        <v>-172.17000000000002</v>
      </c>
      <c r="Y97" s="2"/>
      <c r="Z97" s="6">
        <f t="shared" si="77"/>
        <v>-0.89671875000000012</v>
      </c>
    </row>
    <row r="98" spans="1:26" s="24" customFormat="1" hidden="1" outlineLevel="2" x14ac:dyDescent="0.25">
      <c r="A98" s="28"/>
      <c r="B98" s="11" t="str">
        <f>CONCATENATE("          ", "6241", " - ", "OFFICE EXPENSE")</f>
        <v xml:space="preserve">          6241 - OFFICE EXPENSE</v>
      </c>
      <c r="C98" s="11"/>
      <c r="D98" s="7">
        <v>117.75</v>
      </c>
      <c r="E98" s="2"/>
      <c r="F98" s="6">
        <f t="shared" si="70"/>
        <v>2.7055966213933992E-3</v>
      </c>
      <c r="G98" s="2"/>
      <c r="H98" s="7">
        <v>220</v>
      </c>
      <c r="I98" s="2"/>
      <c r="J98" s="6">
        <f t="shared" si="71"/>
        <v>2.3287569730393452E-3</v>
      </c>
      <c r="K98" s="2"/>
      <c r="L98" s="7">
        <f t="shared" si="72"/>
        <v>-102.25</v>
      </c>
      <c r="M98" s="2"/>
      <c r="N98" s="6">
        <f t="shared" si="73"/>
        <v>-0.46477272727272728</v>
      </c>
      <c r="O98" s="11"/>
      <c r="P98" s="7">
        <v>-28992.030000000002</v>
      </c>
      <c r="Q98" s="2"/>
      <c r="R98" s="6">
        <f t="shared" si="74"/>
        <v>-0.47937453196463492</v>
      </c>
      <c r="S98" s="2"/>
      <c r="T98" s="7">
        <v>5362</v>
      </c>
      <c r="U98" s="2"/>
      <c r="V98" s="6">
        <f t="shared" si="75"/>
        <v>2.9135287277627448E-2</v>
      </c>
      <c r="W98" s="2"/>
      <c r="X98" s="7">
        <f t="shared" si="76"/>
        <v>-34354.03</v>
      </c>
      <c r="Y98" s="2"/>
      <c r="Z98" s="6">
        <f t="shared" si="77"/>
        <v>-6.4069433047370383</v>
      </c>
    </row>
    <row r="99" spans="1:26" s="24" customFormat="1" hidden="1" outlineLevel="2" x14ac:dyDescent="0.25">
      <c r="A99" s="28"/>
      <c r="B99" s="11" t="str">
        <f>CONCATENATE("          ", "6243", " - ", "PAPER SUPPLIES")</f>
        <v xml:space="preserve">          6243 - PAPER SUPPLIES</v>
      </c>
      <c r="C99" s="11"/>
      <c r="D99" s="7"/>
      <c r="E99" s="2"/>
      <c r="F99" s="6">
        <f t="shared" si="70"/>
        <v>0</v>
      </c>
      <c r="G99" s="2"/>
      <c r="H99" s="7">
        <v>1260</v>
      </c>
      <c r="I99" s="2"/>
      <c r="J99" s="6">
        <f t="shared" si="71"/>
        <v>1.3337426300134432E-2</v>
      </c>
      <c r="K99" s="2"/>
      <c r="L99" s="7">
        <f t="shared" si="72"/>
        <v>-1260</v>
      </c>
      <c r="M99" s="2"/>
      <c r="N99" s="6">
        <f t="shared" si="73"/>
        <v>-1</v>
      </c>
      <c r="O99" s="11"/>
      <c r="P99" s="7"/>
      <c r="Q99" s="2"/>
      <c r="R99" s="6">
        <f t="shared" si="74"/>
        <v>0</v>
      </c>
      <c r="S99" s="2"/>
      <c r="T99" s="7">
        <v>3088</v>
      </c>
      <c r="U99" s="2"/>
      <c r="V99" s="6">
        <f t="shared" si="75"/>
        <v>1.6779143437768287E-2</v>
      </c>
      <c r="W99" s="2"/>
      <c r="X99" s="7">
        <f t="shared" si="76"/>
        <v>-3088</v>
      </c>
      <c r="Y99" s="2"/>
      <c r="Z99" s="6">
        <f t="shared" si="77"/>
        <v>-1</v>
      </c>
    </row>
    <row r="100" spans="1:26" s="24" customFormat="1" hidden="1" outlineLevel="2" x14ac:dyDescent="0.25">
      <c r="A100" s="28"/>
      <c r="B100" s="11" t="str">
        <f>CONCATENATE("          ", "6244", " - ", "SAFETY SUPPLY EXPENSE")</f>
        <v xml:space="preserve">          6244 - SAFETY SUPPLY EXPENSE</v>
      </c>
      <c r="C100" s="11"/>
      <c r="D100" s="7"/>
      <c r="E100" s="2"/>
      <c r="F100" s="6">
        <f t="shared" si="70"/>
        <v>0</v>
      </c>
      <c r="G100" s="2"/>
      <c r="H100" s="7">
        <v>0</v>
      </c>
      <c r="I100" s="2"/>
      <c r="J100" s="6">
        <f t="shared" si="71"/>
        <v>0</v>
      </c>
      <c r="K100" s="2"/>
      <c r="L100" s="7">
        <f t="shared" si="72"/>
        <v>0</v>
      </c>
      <c r="M100" s="2"/>
      <c r="N100" s="6">
        <f t="shared" si="73"/>
        <v>0</v>
      </c>
      <c r="O100" s="11"/>
      <c r="P100" s="7"/>
      <c r="Q100" s="2"/>
      <c r="R100" s="6">
        <f t="shared" si="74"/>
        <v>0</v>
      </c>
      <c r="S100" s="2"/>
      <c r="T100" s="7">
        <v>0</v>
      </c>
      <c r="U100" s="2"/>
      <c r="V100" s="6">
        <f t="shared" si="75"/>
        <v>0</v>
      </c>
      <c r="W100" s="2"/>
      <c r="X100" s="7">
        <f t="shared" si="76"/>
        <v>0</v>
      </c>
      <c r="Y100" s="2"/>
      <c r="Z100" s="6">
        <f t="shared" si="77"/>
        <v>0</v>
      </c>
    </row>
    <row r="101" spans="1:26" s="24" customFormat="1" hidden="1" outlineLevel="2" x14ac:dyDescent="0.25">
      <c r="A101" s="28"/>
      <c r="B101" s="11" t="str">
        <f>CONCATENATE("          ", "6245", " - ", "PRINTING")</f>
        <v xml:space="preserve">          6245 - PRINTING</v>
      </c>
      <c r="C101" s="11"/>
      <c r="D101" s="7"/>
      <c r="E101" s="2"/>
      <c r="F101" s="6">
        <f t="shared" si="70"/>
        <v>0</v>
      </c>
      <c r="G101" s="2"/>
      <c r="H101" s="7">
        <v>0</v>
      </c>
      <c r="I101" s="2"/>
      <c r="J101" s="6">
        <f t="shared" si="71"/>
        <v>0</v>
      </c>
      <c r="K101" s="2"/>
      <c r="L101" s="7">
        <f t="shared" si="72"/>
        <v>0</v>
      </c>
      <c r="M101" s="2"/>
      <c r="N101" s="6">
        <f t="shared" si="73"/>
        <v>0</v>
      </c>
      <c r="O101" s="11"/>
      <c r="P101" s="7"/>
      <c r="Q101" s="2"/>
      <c r="R101" s="6">
        <f t="shared" si="74"/>
        <v>0</v>
      </c>
      <c r="S101" s="2"/>
      <c r="T101" s="7">
        <v>0</v>
      </c>
      <c r="U101" s="2"/>
      <c r="V101" s="6">
        <f t="shared" si="75"/>
        <v>0</v>
      </c>
      <c r="W101" s="2"/>
      <c r="X101" s="7">
        <f t="shared" si="76"/>
        <v>0</v>
      </c>
      <c r="Y101" s="2"/>
      <c r="Z101" s="6">
        <f t="shared" si="77"/>
        <v>0</v>
      </c>
    </row>
    <row r="102" spans="1:26" s="24" customFormat="1" hidden="1" outlineLevel="2" x14ac:dyDescent="0.25">
      <c r="A102" s="28"/>
      <c r="B102" s="11" t="str">
        <f>CONCATENATE("          ", "6246", " - ", "REPLACEMENTS")</f>
        <v xml:space="preserve">          6246 - REPLACEMENTS</v>
      </c>
      <c r="C102" s="11"/>
      <c r="D102" s="7"/>
      <c r="E102" s="2"/>
      <c r="F102" s="6">
        <f t="shared" si="70"/>
        <v>0</v>
      </c>
      <c r="G102" s="2"/>
      <c r="H102" s="7">
        <v>0</v>
      </c>
      <c r="I102" s="2"/>
      <c r="J102" s="6">
        <f t="shared" si="71"/>
        <v>0</v>
      </c>
      <c r="K102" s="2"/>
      <c r="L102" s="7">
        <f t="shared" si="72"/>
        <v>0</v>
      </c>
      <c r="M102" s="2"/>
      <c r="N102" s="6">
        <f t="shared" si="73"/>
        <v>0</v>
      </c>
      <c r="O102" s="11"/>
      <c r="P102" s="7"/>
      <c r="Q102" s="2"/>
      <c r="R102" s="6">
        <f t="shared" si="74"/>
        <v>0</v>
      </c>
      <c r="S102" s="2"/>
      <c r="T102" s="7">
        <v>0</v>
      </c>
      <c r="U102" s="2"/>
      <c r="V102" s="6">
        <f t="shared" si="75"/>
        <v>0</v>
      </c>
      <c r="W102" s="2"/>
      <c r="X102" s="7">
        <f t="shared" si="76"/>
        <v>0</v>
      </c>
      <c r="Y102" s="2"/>
      <c r="Z102" s="6">
        <f t="shared" si="77"/>
        <v>0</v>
      </c>
    </row>
    <row r="103" spans="1:26" s="24" customFormat="1" hidden="1" outlineLevel="2" x14ac:dyDescent="0.25">
      <c r="A103" s="28"/>
      <c r="B103" s="11" t="str">
        <f>CONCATENATE("          ", "6247", " - ", "STORE SUPPLIES")</f>
        <v xml:space="preserve">          6247 - STORE SUPPLIES</v>
      </c>
      <c r="C103" s="11"/>
      <c r="D103" s="7">
        <v>41</v>
      </c>
      <c r="E103" s="2"/>
      <c r="F103" s="6">
        <f t="shared" si="70"/>
        <v>9.4207610596288216E-4</v>
      </c>
      <c r="G103" s="2"/>
      <c r="H103" s="7">
        <v>1240</v>
      </c>
      <c r="I103" s="2"/>
      <c r="J103" s="6">
        <f t="shared" si="71"/>
        <v>1.3125721120767219E-2</v>
      </c>
      <c r="K103" s="2"/>
      <c r="L103" s="7">
        <f t="shared" si="72"/>
        <v>-1199</v>
      </c>
      <c r="M103" s="2"/>
      <c r="N103" s="6">
        <f t="shared" si="73"/>
        <v>-0.96693548387096773</v>
      </c>
      <c r="O103" s="11"/>
      <c r="P103" s="7">
        <v>121.28</v>
      </c>
      <c r="Q103" s="2"/>
      <c r="R103" s="6">
        <f t="shared" si="74"/>
        <v>2.0053284725723214E-3</v>
      </c>
      <c r="S103" s="2"/>
      <c r="T103" s="7">
        <v>9561</v>
      </c>
      <c r="U103" s="2"/>
      <c r="V103" s="6">
        <f t="shared" si="75"/>
        <v>5.1951227463893329E-2</v>
      </c>
      <c r="W103" s="2"/>
      <c r="X103" s="7">
        <f t="shared" si="76"/>
        <v>-9439.7199999999993</v>
      </c>
      <c r="Y103" s="2"/>
      <c r="Z103" s="6">
        <f t="shared" si="77"/>
        <v>-0.98731513440016727</v>
      </c>
    </row>
    <row r="104" spans="1:26" s="24" customFormat="1" hidden="1" outlineLevel="2" x14ac:dyDescent="0.25">
      <c r="A104" s="28"/>
      <c r="B104" s="11" t="str">
        <f>CONCATENATE("          ", "6248", " - ", "UNIFORMS")</f>
        <v xml:space="preserve">          6248 - UNIFORMS</v>
      </c>
      <c r="C104" s="11"/>
      <c r="D104" s="7"/>
      <c r="E104" s="2"/>
      <c r="F104" s="6">
        <f t="shared" si="70"/>
        <v>0</v>
      </c>
      <c r="G104" s="2"/>
      <c r="H104" s="7">
        <v>0</v>
      </c>
      <c r="I104" s="2"/>
      <c r="J104" s="6">
        <f t="shared" si="71"/>
        <v>0</v>
      </c>
      <c r="K104" s="2"/>
      <c r="L104" s="7">
        <f t="shared" si="72"/>
        <v>0</v>
      </c>
      <c r="M104" s="2"/>
      <c r="N104" s="6">
        <f t="shared" si="73"/>
        <v>0</v>
      </c>
      <c r="O104" s="11"/>
      <c r="P104" s="7"/>
      <c r="Q104" s="2"/>
      <c r="R104" s="6">
        <f t="shared" si="74"/>
        <v>0</v>
      </c>
      <c r="S104" s="2"/>
      <c r="T104" s="7">
        <v>100</v>
      </c>
      <c r="U104" s="2"/>
      <c r="V104" s="6">
        <f t="shared" si="75"/>
        <v>5.4336604396918028E-4</v>
      </c>
      <c r="W104" s="2"/>
      <c r="X104" s="7">
        <f t="shared" si="76"/>
        <v>-100</v>
      </c>
      <c r="Y104" s="2"/>
      <c r="Z104" s="6">
        <f t="shared" si="77"/>
        <v>-1</v>
      </c>
    </row>
    <row r="105" spans="1:26" s="27" customFormat="1" outlineLevel="1" collapsed="1" x14ac:dyDescent="0.25">
      <c r="A105" s="29"/>
      <c r="B105" s="14" t="str">
        <f>CONCATENATE("     ","Telephone/Data Lines                              ")</f>
        <v xml:space="preserve">     Telephone/Data Lines                              </v>
      </c>
      <c r="C105" s="14"/>
      <c r="D105" s="1">
        <f>SUM(OSRRefD22_18x_0)</f>
        <v>1515.66</v>
      </c>
      <c r="E105" s="1"/>
      <c r="F105" s="5">
        <f t="shared" ref="F105:F107" si="78">IF(D$12=0,0,D105/D$12)</f>
        <v>3.4826026116187854E-2</v>
      </c>
      <c r="G105" s="1"/>
      <c r="H105" s="1">
        <f>SUM(OSRRefH22_18x_0)</f>
        <v>771</v>
      </c>
      <c r="I105" s="1"/>
      <c r="J105" s="5">
        <f t="shared" ref="J105:J107" si="79">IF(H$12=0,0,H105/H$12)</f>
        <v>8.1612346646060697E-3</v>
      </c>
      <c r="K105" s="1"/>
      <c r="L105" s="1">
        <f t="shared" ref="L105:L107" si="80">+D105-H105</f>
        <v>744.66000000000008</v>
      </c>
      <c r="M105" s="1"/>
      <c r="N105" s="5">
        <f t="shared" ref="N105:N107" si="81">IF(H105=0,0,L105/H105)</f>
        <v>0.96583657587548644</v>
      </c>
      <c r="O105" s="14"/>
      <c r="P105" s="1">
        <f>SUM(OSRRefP22_18x_0)</f>
        <v>5693.31</v>
      </c>
      <c r="Q105" s="1"/>
      <c r="R105" s="5">
        <f t="shared" ref="R105:R107" si="82">IF(P$12=0,0,P105/P$12)</f>
        <v>9.4137175512703855E-2</v>
      </c>
      <c r="S105" s="1"/>
      <c r="T105" s="1">
        <f>SUM(OSRRefT22_18x_0)</f>
        <v>2665</v>
      </c>
      <c r="U105" s="1"/>
      <c r="V105" s="5">
        <f t="shared" ref="V105:V107" si="83">IF(T$12=0,0,T105/T$12)</f>
        <v>1.4480705071778654E-2</v>
      </c>
      <c r="W105" s="1"/>
      <c r="X105" s="1">
        <f t="shared" ref="X105:X107" si="84">+P105-T105</f>
        <v>3028.3100000000004</v>
      </c>
      <c r="Y105" s="1"/>
      <c r="Z105" s="5">
        <f t="shared" ref="Z105:Z107" si="85">IF(T105=0,0,X105/T105)</f>
        <v>1.1363264540337712</v>
      </c>
    </row>
    <row r="106" spans="1:26" s="24" customFormat="1" hidden="1" outlineLevel="2" x14ac:dyDescent="0.25">
      <c r="A106" s="28"/>
      <c r="B106" s="11" t="str">
        <f>CONCATENATE("          ", "6303", " - ", "DATA PHONE LINES")</f>
        <v xml:space="preserve">          6303 - DATA PHONE LINES</v>
      </c>
      <c r="C106" s="11"/>
      <c r="D106" s="7"/>
      <c r="E106" s="2"/>
      <c r="F106" s="6">
        <f t="shared" si="78"/>
        <v>0</v>
      </c>
      <c r="G106" s="2"/>
      <c r="H106" s="7">
        <v>371</v>
      </c>
      <c r="I106" s="2"/>
      <c r="J106" s="6">
        <f t="shared" si="79"/>
        <v>3.927131077261805E-3</v>
      </c>
      <c r="K106" s="2"/>
      <c r="L106" s="7">
        <f t="shared" si="80"/>
        <v>-371</v>
      </c>
      <c r="M106" s="2"/>
      <c r="N106" s="6">
        <f t="shared" si="81"/>
        <v>-1</v>
      </c>
      <c r="O106" s="11"/>
      <c r="P106" s="7"/>
      <c r="Q106" s="2"/>
      <c r="R106" s="6">
        <f t="shared" si="82"/>
        <v>0</v>
      </c>
      <c r="S106" s="2"/>
      <c r="T106" s="7">
        <v>1515</v>
      </c>
      <c r="U106" s="2"/>
      <c r="V106" s="6">
        <f t="shared" si="83"/>
        <v>8.231995566133082E-3</v>
      </c>
      <c r="W106" s="2"/>
      <c r="X106" s="7">
        <f t="shared" si="84"/>
        <v>-1515</v>
      </c>
      <c r="Y106" s="2"/>
      <c r="Z106" s="6">
        <f t="shared" si="85"/>
        <v>-1</v>
      </c>
    </row>
    <row r="107" spans="1:26" s="24" customFormat="1" hidden="1" outlineLevel="2" x14ac:dyDescent="0.25">
      <c r="A107" s="28"/>
      <c r="B107" s="11" t="str">
        <f>CONCATENATE("          ", "6309", " - ", "TELEPHONE")</f>
        <v xml:space="preserve">          6309 - TELEPHONE</v>
      </c>
      <c r="C107" s="11"/>
      <c r="D107" s="7">
        <v>1515.66</v>
      </c>
      <c r="E107" s="2"/>
      <c r="F107" s="6">
        <f t="shared" si="78"/>
        <v>3.4826026116187854E-2</v>
      </c>
      <c r="G107" s="2"/>
      <c r="H107" s="7">
        <v>400</v>
      </c>
      <c r="I107" s="2"/>
      <c r="J107" s="6">
        <f t="shared" si="79"/>
        <v>4.2341035873442647E-3</v>
      </c>
      <c r="K107" s="2"/>
      <c r="L107" s="7">
        <f t="shared" si="80"/>
        <v>1115.6600000000001</v>
      </c>
      <c r="M107" s="2"/>
      <c r="N107" s="6">
        <f t="shared" si="81"/>
        <v>2.7891500000000002</v>
      </c>
      <c r="O107" s="11"/>
      <c r="P107" s="7">
        <v>5693.31</v>
      </c>
      <c r="Q107" s="2"/>
      <c r="R107" s="6">
        <f t="shared" si="82"/>
        <v>9.4137175512703855E-2</v>
      </c>
      <c r="S107" s="2"/>
      <c r="T107" s="7">
        <v>1150</v>
      </c>
      <c r="U107" s="2"/>
      <c r="V107" s="6">
        <f t="shared" si="83"/>
        <v>6.248709505645573E-3</v>
      </c>
      <c r="W107" s="2"/>
      <c r="X107" s="7">
        <f t="shared" si="84"/>
        <v>4543.3100000000004</v>
      </c>
      <c r="Y107" s="2"/>
      <c r="Z107" s="6">
        <f t="shared" si="85"/>
        <v>3.9507043478260875</v>
      </c>
    </row>
    <row r="108" spans="1:26" s="27" customFormat="1" outlineLevel="1" collapsed="1" x14ac:dyDescent="0.25">
      <c r="A108" s="29"/>
      <c r="B108" s="14" t="str">
        <f>CONCATENATE("     ","Training                                          ")</f>
        <v xml:space="preserve">     Training                                          </v>
      </c>
      <c r="C108" s="14"/>
      <c r="D108" s="1">
        <f>SUM(OSRRefD22_19x_0)</f>
        <v>0</v>
      </c>
      <c r="E108" s="1"/>
      <c r="F108" s="5">
        <f t="shared" ref="F108:F113" si="86">IF(D$12=0,0,D108/D$12)</f>
        <v>0</v>
      </c>
      <c r="G108" s="1"/>
      <c r="H108" s="1">
        <f>SUM(OSRRefH22_19x_0)</f>
        <v>0</v>
      </c>
      <c r="I108" s="1"/>
      <c r="J108" s="5">
        <f t="shared" ref="J108:J113" si="87">IF(H$12=0,0,H108/H$12)</f>
        <v>0</v>
      </c>
      <c r="K108" s="1"/>
      <c r="L108" s="1">
        <f t="shared" ref="L108:L113" si="88">+D108-H108</f>
        <v>0</v>
      </c>
      <c r="M108" s="1"/>
      <c r="N108" s="5">
        <f t="shared" ref="N108:N113" si="89">IF(H108=0,0,L108/H108)</f>
        <v>0</v>
      </c>
      <c r="O108" s="14"/>
      <c r="P108" s="1">
        <f>SUM(OSRRefP22_19x_0)</f>
        <v>0</v>
      </c>
      <c r="Q108" s="1"/>
      <c r="R108" s="5">
        <f t="shared" ref="R108:R113" si="90">IF(P$12=0,0,P108/P$12)</f>
        <v>0</v>
      </c>
      <c r="S108" s="1"/>
      <c r="T108" s="1">
        <f>SUM(OSRRefT22_19x_0)</f>
        <v>120</v>
      </c>
      <c r="U108" s="1"/>
      <c r="V108" s="5">
        <f t="shared" ref="V108:V113" si="91">IF(T$12=0,0,T108/T$12)</f>
        <v>6.5203925276301634E-4</v>
      </c>
      <c r="W108" s="1"/>
      <c r="X108" s="1">
        <f t="shared" ref="X108:X113" si="92">+P108-T108</f>
        <v>-120</v>
      </c>
      <c r="Y108" s="1"/>
      <c r="Z108" s="5">
        <f t="shared" ref="Z108:Z113" si="93">IF(T108=0,0,X108/T108)</f>
        <v>-1</v>
      </c>
    </row>
    <row r="109" spans="1:26" s="24" customFormat="1" hidden="1" outlineLevel="2" x14ac:dyDescent="0.25">
      <c r="A109" s="28"/>
      <c r="B109" s="11" t="str">
        <f>CONCATENATE("          ", "6376", " - ", "TRAINING")</f>
        <v xml:space="preserve">          6376 - TRAINING</v>
      </c>
      <c r="C109" s="11"/>
      <c r="D109" s="7"/>
      <c r="E109" s="2"/>
      <c r="F109" s="6">
        <f t="shared" si="86"/>
        <v>0</v>
      </c>
      <c r="G109" s="2"/>
      <c r="H109" s="7">
        <v>0</v>
      </c>
      <c r="I109" s="2"/>
      <c r="J109" s="6">
        <f t="shared" si="87"/>
        <v>0</v>
      </c>
      <c r="K109" s="2"/>
      <c r="L109" s="7">
        <f t="shared" si="88"/>
        <v>0</v>
      </c>
      <c r="M109" s="2"/>
      <c r="N109" s="6">
        <f t="shared" si="89"/>
        <v>0</v>
      </c>
      <c r="O109" s="11"/>
      <c r="P109" s="7"/>
      <c r="Q109" s="2"/>
      <c r="R109" s="6">
        <f t="shared" si="90"/>
        <v>0</v>
      </c>
      <c r="S109" s="2"/>
      <c r="T109" s="7">
        <v>120</v>
      </c>
      <c r="U109" s="2"/>
      <c r="V109" s="6">
        <f t="shared" si="91"/>
        <v>6.5203925276301634E-4</v>
      </c>
      <c r="W109" s="2"/>
      <c r="X109" s="7">
        <f t="shared" si="92"/>
        <v>-120</v>
      </c>
      <c r="Y109" s="2"/>
      <c r="Z109" s="6">
        <f t="shared" si="93"/>
        <v>-1</v>
      </c>
    </row>
    <row r="110" spans="1:26" s="27" customFormat="1" outlineLevel="1" collapsed="1" x14ac:dyDescent="0.25">
      <c r="A110" s="29"/>
      <c r="B110" s="14" t="str">
        <f>CONCATENATE("     ","Travel                                            ")</f>
        <v xml:space="preserve">     Travel                                            </v>
      </c>
      <c r="C110" s="14"/>
      <c r="D110" s="1">
        <f>SUM(OSRRefD22_20x_0)</f>
        <v>0</v>
      </c>
      <c r="E110" s="1"/>
      <c r="F110" s="5">
        <f t="shared" si="86"/>
        <v>0</v>
      </c>
      <c r="G110" s="1"/>
      <c r="H110" s="1">
        <f>SUM(OSRRefH22_20x_0)</f>
        <v>1500</v>
      </c>
      <c r="I110" s="1"/>
      <c r="J110" s="5">
        <f t="shared" si="87"/>
        <v>1.5877888452540991E-2</v>
      </c>
      <c r="K110" s="1"/>
      <c r="L110" s="1">
        <f t="shared" si="88"/>
        <v>-1500</v>
      </c>
      <c r="M110" s="1"/>
      <c r="N110" s="5">
        <f t="shared" si="89"/>
        <v>-1</v>
      </c>
      <c r="O110" s="14"/>
      <c r="P110" s="1">
        <f>SUM(OSRRefP22_20x_0)</f>
        <v>332.21</v>
      </c>
      <c r="Q110" s="1"/>
      <c r="R110" s="5">
        <f t="shared" si="90"/>
        <v>5.4929928419628201E-3</v>
      </c>
      <c r="S110" s="1"/>
      <c r="T110" s="1">
        <f>SUM(OSRRefT22_20x_0)</f>
        <v>1500</v>
      </c>
      <c r="U110" s="1"/>
      <c r="V110" s="5">
        <f t="shared" si="91"/>
        <v>8.1504906595377038E-3</v>
      </c>
      <c r="W110" s="1"/>
      <c r="X110" s="1">
        <f t="shared" si="92"/>
        <v>-1167.79</v>
      </c>
      <c r="Y110" s="1"/>
      <c r="Z110" s="5">
        <f t="shared" si="93"/>
        <v>-0.77852666666666659</v>
      </c>
    </row>
    <row r="111" spans="1:26" s="24" customFormat="1" hidden="1" outlineLevel="2" x14ac:dyDescent="0.25">
      <c r="A111" s="28"/>
      <c r="B111" s="11" t="str">
        <f>CONCATENATE("          ", "6292", " - ", "TRAVEL/CONFERENCE")</f>
        <v xml:space="preserve">          6292 - TRAVEL/CONFERENCE</v>
      </c>
      <c r="C111" s="11"/>
      <c r="D111" s="7"/>
      <c r="E111" s="2"/>
      <c r="F111" s="6">
        <f t="shared" si="86"/>
        <v>0</v>
      </c>
      <c r="G111" s="2"/>
      <c r="H111" s="7">
        <v>1500</v>
      </c>
      <c r="I111" s="2"/>
      <c r="J111" s="6">
        <f t="shared" si="87"/>
        <v>1.5877888452540991E-2</v>
      </c>
      <c r="K111" s="2"/>
      <c r="L111" s="7">
        <f t="shared" si="88"/>
        <v>-1500</v>
      </c>
      <c r="M111" s="2"/>
      <c r="N111" s="6">
        <f t="shared" si="89"/>
        <v>-1</v>
      </c>
      <c r="O111" s="11"/>
      <c r="P111" s="7"/>
      <c r="Q111" s="2"/>
      <c r="R111" s="6">
        <f t="shared" si="90"/>
        <v>0</v>
      </c>
      <c r="S111" s="2"/>
      <c r="T111" s="7">
        <v>1500</v>
      </c>
      <c r="U111" s="2"/>
      <c r="V111" s="6">
        <f t="shared" si="91"/>
        <v>8.1504906595377038E-3</v>
      </c>
      <c r="W111" s="2"/>
      <c r="X111" s="7">
        <f t="shared" si="92"/>
        <v>-1500</v>
      </c>
      <c r="Y111" s="2"/>
      <c r="Z111" s="6">
        <f t="shared" si="93"/>
        <v>-1</v>
      </c>
    </row>
    <row r="112" spans="1:26" s="24" customFormat="1" hidden="1" outlineLevel="2" x14ac:dyDescent="0.25">
      <c r="A112" s="28"/>
      <c r="B112" s="11" t="str">
        <f>CONCATENATE("          ", "6294", " - ", "TRAVEL OPERATIONAL")</f>
        <v xml:space="preserve">          6294 - TRAVEL OPERATIONAL</v>
      </c>
      <c r="C112" s="11"/>
      <c r="D112" s="7"/>
      <c r="E112" s="2"/>
      <c r="F112" s="6">
        <f t="shared" si="86"/>
        <v>0</v>
      </c>
      <c r="G112" s="2"/>
      <c r="H112" s="7">
        <v>0</v>
      </c>
      <c r="I112" s="2"/>
      <c r="J112" s="6">
        <f t="shared" si="87"/>
        <v>0</v>
      </c>
      <c r="K112" s="2"/>
      <c r="L112" s="7">
        <f t="shared" si="88"/>
        <v>0</v>
      </c>
      <c r="M112" s="2"/>
      <c r="N112" s="6">
        <f t="shared" si="89"/>
        <v>0</v>
      </c>
      <c r="O112" s="11"/>
      <c r="P112" s="7"/>
      <c r="Q112" s="2"/>
      <c r="R112" s="6">
        <f t="shared" si="90"/>
        <v>0</v>
      </c>
      <c r="S112" s="2"/>
      <c r="T112" s="7">
        <v>0</v>
      </c>
      <c r="U112" s="2"/>
      <c r="V112" s="6">
        <f t="shared" si="91"/>
        <v>0</v>
      </c>
      <c r="W112" s="2"/>
      <c r="X112" s="7">
        <f t="shared" si="92"/>
        <v>0</v>
      </c>
      <c r="Y112" s="2"/>
      <c r="Z112" s="6">
        <f t="shared" si="93"/>
        <v>0</v>
      </c>
    </row>
    <row r="113" spans="1:26" s="24" customFormat="1" hidden="1" outlineLevel="2" x14ac:dyDescent="0.25">
      <c r="A113" s="28"/>
      <c r="B113" s="11" t="str">
        <f>CONCATENATE("          ", "6298", " - ", "VEHICLE MILEAGE")</f>
        <v xml:space="preserve">          6298 - VEHICLE MILEAGE</v>
      </c>
      <c r="C113" s="11"/>
      <c r="D113" s="7"/>
      <c r="E113" s="2"/>
      <c r="F113" s="6">
        <f t="shared" si="86"/>
        <v>0</v>
      </c>
      <c r="G113" s="2"/>
      <c r="H113" s="7"/>
      <c r="I113" s="2"/>
      <c r="J113" s="6">
        <f t="shared" si="87"/>
        <v>0</v>
      </c>
      <c r="K113" s="2"/>
      <c r="L113" s="7">
        <f t="shared" si="88"/>
        <v>0</v>
      </c>
      <c r="M113" s="2"/>
      <c r="N113" s="6">
        <f t="shared" si="89"/>
        <v>0</v>
      </c>
      <c r="O113" s="11"/>
      <c r="P113" s="7">
        <v>332.21</v>
      </c>
      <c r="Q113" s="2"/>
      <c r="R113" s="6">
        <f t="shared" si="90"/>
        <v>5.4929928419628201E-3</v>
      </c>
      <c r="S113" s="2"/>
      <c r="T113" s="7"/>
      <c r="U113" s="2"/>
      <c r="V113" s="6">
        <f t="shared" si="91"/>
        <v>0</v>
      </c>
      <c r="W113" s="2"/>
      <c r="X113" s="7">
        <f t="shared" si="92"/>
        <v>332.21</v>
      </c>
      <c r="Y113" s="2"/>
      <c r="Z113" s="6">
        <f t="shared" si="93"/>
        <v>0</v>
      </c>
    </row>
    <row r="114" spans="1:26" s="27" customFormat="1" outlineLevel="1" collapsed="1" x14ac:dyDescent="0.25">
      <c r="A114" s="29"/>
      <c r="B114" s="14" t="str">
        <f>CONCATENATE("     ","Utilities                                         ")</f>
        <v xml:space="preserve">     Utilities                                         </v>
      </c>
      <c r="C114" s="14"/>
      <c r="D114" s="1">
        <f>SUM(OSRRefD22_21x_0)</f>
        <v>-12092</v>
      </c>
      <c r="E114" s="1"/>
      <c r="F114" s="5">
        <f t="shared" ref="F114:F115" si="94">IF(D$12=0,0,D114/D$12)</f>
        <v>-0.27784351886105296</v>
      </c>
      <c r="G114" s="1"/>
      <c r="H114" s="1">
        <f>SUM(OSRRefH22_21x_0)</f>
        <v>4121</v>
      </c>
      <c r="I114" s="1"/>
      <c r="J114" s="5">
        <f t="shared" ref="J114:J115" si="95">IF(H$12=0,0,H114/H$12)</f>
        <v>4.3621852208614281E-2</v>
      </c>
      <c r="K114" s="1"/>
      <c r="L114" s="1">
        <f t="shared" ref="L114:L115" si="96">+D114-H114</f>
        <v>-16213</v>
      </c>
      <c r="M114" s="1"/>
      <c r="N114" s="5">
        <f t="shared" ref="N114:N115" si="97">IF(H114=0,0,L114/H114)</f>
        <v>-3.9342392623149722</v>
      </c>
      <c r="O114" s="14"/>
      <c r="P114" s="1">
        <f>SUM(OSRRefP22_21x_0)</f>
        <v>-5042</v>
      </c>
      <c r="Q114" s="1"/>
      <c r="R114" s="5">
        <f t="shared" ref="R114:R115" si="98">IF(P$12=0,0,P114/P$12)</f>
        <v>-8.3367959751893511E-2</v>
      </c>
      <c r="S114" s="1"/>
      <c r="T114" s="1">
        <f>SUM(OSRRefT22_21x_0)</f>
        <v>15713</v>
      </c>
      <c r="U114" s="1"/>
      <c r="V114" s="5">
        <f t="shared" ref="V114:V115" si="99">IF(T$12=0,0,T114/T$12)</f>
        <v>8.5379106488877296E-2</v>
      </c>
      <c r="W114" s="1"/>
      <c r="X114" s="1">
        <f t="shared" ref="X114:X115" si="100">+P114-T114</f>
        <v>-20755</v>
      </c>
      <c r="Y114" s="1"/>
      <c r="Z114" s="5">
        <f t="shared" ref="Z114:Z115" si="101">IF(T114=0,0,X114/T114)</f>
        <v>-1.3208807993381277</v>
      </c>
    </row>
    <row r="115" spans="1:26" s="24" customFormat="1" hidden="1" outlineLevel="2" x14ac:dyDescent="0.25">
      <c r="A115" s="28"/>
      <c r="B115" s="11" t="str">
        <f>CONCATENATE("          ", "6274", " - ", "UTILITIES")</f>
        <v xml:space="preserve">          6274 - UTILITIES</v>
      </c>
      <c r="C115" s="11"/>
      <c r="D115" s="7">
        <v>-12092</v>
      </c>
      <c r="E115" s="2"/>
      <c r="F115" s="6">
        <f t="shared" si="94"/>
        <v>-0.27784351886105296</v>
      </c>
      <c r="G115" s="2"/>
      <c r="H115" s="7">
        <v>4121</v>
      </c>
      <c r="I115" s="2"/>
      <c r="J115" s="6">
        <f t="shared" si="95"/>
        <v>4.3621852208614281E-2</v>
      </c>
      <c r="K115" s="2"/>
      <c r="L115" s="7">
        <f t="shared" si="96"/>
        <v>-16213</v>
      </c>
      <c r="M115" s="2"/>
      <c r="N115" s="6">
        <f t="shared" si="97"/>
        <v>-3.9342392623149722</v>
      </c>
      <c r="O115" s="11"/>
      <c r="P115" s="7">
        <v>-5042</v>
      </c>
      <c r="Q115" s="2"/>
      <c r="R115" s="6">
        <f t="shared" si="98"/>
        <v>-8.3367959751893511E-2</v>
      </c>
      <c r="S115" s="2"/>
      <c r="T115" s="7">
        <v>15713</v>
      </c>
      <c r="U115" s="2"/>
      <c r="V115" s="6">
        <f t="shared" si="99"/>
        <v>8.5379106488877296E-2</v>
      </c>
      <c r="W115" s="2"/>
      <c r="X115" s="7">
        <f t="shared" si="100"/>
        <v>-20755</v>
      </c>
      <c r="Y115" s="2"/>
      <c r="Z115" s="6">
        <f t="shared" si="101"/>
        <v>-1.3208807993381277</v>
      </c>
    </row>
    <row r="116" spans="1:26" s="63" customFormat="1" x14ac:dyDescent="0.25">
      <c r="A116" s="36"/>
      <c r="B116" s="36"/>
      <c r="C116" s="36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6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5" t="s">
        <v>0</v>
      </c>
      <c r="C117" s="10"/>
      <c r="D117" s="4">
        <f>SUM(OSRRefD25x_0)</f>
        <v>457.28</v>
      </c>
      <c r="E117" s="4"/>
      <c r="F117" s="12">
        <f t="shared" ref="F117:F121" si="102">IF(D$12=0,0,D117/D$12)</f>
        <v>1.0507135652066018E-2</v>
      </c>
      <c r="G117" s="4"/>
      <c r="H117" s="4">
        <f>SUM(OSRRefH25x_0)</f>
        <v>8737</v>
      </c>
      <c r="I117" s="4"/>
      <c r="J117" s="12">
        <f t="shared" ref="J117:J121" si="103">IF(H$12=0,0,H117/H$12)</f>
        <v>9.2483407606567092E-2</v>
      </c>
      <c r="K117" s="4"/>
      <c r="L117" s="4">
        <f t="shared" ref="L117:L121" si="104">+D117-H117</f>
        <v>-8279.7199999999993</v>
      </c>
      <c r="M117" s="4"/>
      <c r="N117" s="12">
        <f t="shared" ref="N117:N121" si="105">IF(H117=0,0,L117/H117)</f>
        <v>-0.94766166876502222</v>
      </c>
      <c r="O117" s="10"/>
      <c r="P117" s="4">
        <f>SUM(OSRRefP25x_0)</f>
        <v>4077.2</v>
      </c>
      <c r="Q117" s="4"/>
      <c r="R117" s="12">
        <f t="shared" ref="R117:R121" si="106">IF(P$12=0,0,P117/P$12)</f>
        <v>6.7415280741852476E-2</v>
      </c>
      <c r="S117" s="4"/>
      <c r="T117" s="4">
        <f>SUM(OSRRefT25x_0)</f>
        <v>12972</v>
      </c>
      <c r="U117" s="4"/>
      <c r="V117" s="12">
        <f t="shared" ref="V117:V121" si="107">IF(T$12=0,0,T117/T$12)</f>
        <v>7.0485443223682068E-2</v>
      </c>
      <c r="W117" s="4"/>
      <c r="X117" s="4">
        <f t="shared" ref="X117:X121" si="108">+P117-T117</f>
        <v>-8894.7999999999993</v>
      </c>
      <c r="Y117" s="4"/>
      <c r="Z117" s="12">
        <f t="shared" ref="Z117:Z121" si="109">IF(T117=0,0,X117/T117)</f>
        <v>-0.68569226025285224</v>
      </c>
    </row>
    <row r="118" spans="1:26" s="24" customFormat="1" hidden="1" outlineLevel="1" x14ac:dyDescent="0.25">
      <c r="A118" s="51"/>
      <c r="B118" s="11" t="str">
        <f>CONCATENATE("          ", "9150", " - ", "MISC. INCOME")</f>
        <v xml:space="preserve">          9150 - MISC. INCOME</v>
      </c>
      <c r="C118" s="11"/>
      <c r="D118" s="2">
        <f>--119.09</f>
        <v>119.09</v>
      </c>
      <c r="E118" s="2"/>
      <c r="F118" s="22">
        <f t="shared" si="102"/>
        <v>2.7363864258321863E-3</v>
      </c>
      <c r="G118" s="2"/>
      <c r="H118" s="2">
        <v>3370</v>
      </c>
      <c r="I118" s="2"/>
      <c r="J118" s="22">
        <f t="shared" si="103"/>
        <v>3.5672322723375428E-2</v>
      </c>
      <c r="K118" s="2"/>
      <c r="L118" s="2">
        <f t="shared" si="104"/>
        <v>-3250.91</v>
      </c>
      <c r="M118" s="2"/>
      <c r="N118" s="22">
        <f t="shared" si="105"/>
        <v>-0.96466172106824921</v>
      </c>
      <c r="O118" s="11"/>
      <c r="P118" s="2">
        <f>--923.77</f>
        <v>923.77</v>
      </c>
      <c r="Q118" s="2"/>
      <c r="R118" s="22">
        <f t="shared" si="106"/>
        <v>1.5274260249902154E-2</v>
      </c>
      <c r="S118" s="2"/>
      <c r="T118" s="2">
        <v>5406</v>
      </c>
      <c r="U118" s="2"/>
      <c r="V118" s="22">
        <f t="shared" si="107"/>
        <v>2.9374368336973884E-2</v>
      </c>
      <c r="W118" s="2"/>
      <c r="X118" s="2">
        <f t="shared" si="108"/>
        <v>-4482.2299999999996</v>
      </c>
      <c r="Y118" s="2"/>
      <c r="Z118" s="22">
        <f t="shared" si="109"/>
        <v>-0.82912134665186821</v>
      </c>
    </row>
    <row r="119" spans="1:26" s="24" customFormat="1" hidden="1" outlineLevel="1" x14ac:dyDescent="0.25">
      <c r="A119" s="51"/>
      <c r="B119" s="11" t="str">
        <f>CONCATENATE("          ", "9151", " - ", "MISC. INCOME")</f>
        <v xml:space="preserve">          9151 - MISC. INCOME</v>
      </c>
      <c r="C119" s="11"/>
      <c r="D119" s="2">
        <f>0</f>
        <v>0</v>
      </c>
      <c r="E119" s="2"/>
      <c r="F119" s="22">
        <f t="shared" si="102"/>
        <v>0</v>
      </c>
      <c r="G119" s="2"/>
      <c r="H119" s="2">
        <v>4811</v>
      </c>
      <c r="I119" s="2"/>
      <c r="J119" s="22">
        <f t="shared" si="103"/>
        <v>5.0925680896783142E-2</v>
      </c>
      <c r="K119" s="2"/>
      <c r="L119" s="2">
        <f t="shared" si="104"/>
        <v>-4811</v>
      </c>
      <c r="M119" s="2"/>
      <c r="N119" s="22">
        <f t="shared" si="105"/>
        <v>-1</v>
      </c>
      <c r="O119" s="11"/>
      <c r="P119" s="2">
        <f>0</f>
        <v>0</v>
      </c>
      <c r="Q119" s="2"/>
      <c r="R119" s="22">
        <f t="shared" si="106"/>
        <v>0</v>
      </c>
      <c r="S119" s="2"/>
      <c r="T119" s="2">
        <v>7010</v>
      </c>
      <c r="U119" s="2"/>
      <c r="V119" s="22">
        <f t="shared" si="107"/>
        <v>3.8089959682239535E-2</v>
      </c>
      <c r="W119" s="2"/>
      <c r="X119" s="2">
        <f t="shared" si="108"/>
        <v>-7010</v>
      </c>
      <c r="Y119" s="2"/>
      <c r="Z119" s="22">
        <f t="shared" si="109"/>
        <v>-1</v>
      </c>
    </row>
    <row r="120" spans="1:26" s="24" customFormat="1" hidden="1" outlineLevel="1" x14ac:dyDescent="0.25">
      <c r="A120" s="51"/>
      <c r="B120" s="11" t="str">
        <f>CONCATENATE("          ", "9160", " - ", "MISC. INCOME")</f>
        <v xml:space="preserve">          9160 - MISC. INCOME</v>
      </c>
      <c r="C120" s="11"/>
      <c r="D120" s="2">
        <f>--338.19</f>
        <v>338.19</v>
      </c>
      <c r="E120" s="2"/>
      <c r="F120" s="22">
        <f t="shared" si="102"/>
        <v>7.7707492262338324E-3</v>
      </c>
      <c r="G120" s="2"/>
      <c r="H120" s="2">
        <v>556</v>
      </c>
      <c r="I120" s="2"/>
      <c r="J120" s="22">
        <f t="shared" si="103"/>
        <v>5.8854039864085278E-3</v>
      </c>
      <c r="K120" s="2"/>
      <c r="L120" s="2">
        <f t="shared" si="104"/>
        <v>-217.81</v>
      </c>
      <c r="M120" s="2"/>
      <c r="N120" s="22">
        <f t="shared" si="105"/>
        <v>-0.39174460431654679</v>
      </c>
      <c r="O120" s="11"/>
      <c r="P120" s="2">
        <f>--2328.25</f>
        <v>2328.25</v>
      </c>
      <c r="Q120" s="2"/>
      <c r="R120" s="22">
        <f t="shared" si="106"/>
        <v>3.8496916361036505E-2</v>
      </c>
      <c r="S120" s="2"/>
      <c r="T120" s="2">
        <v>556</v>
      </c>
      <c r="U120" s="2"/>
      <c r="V120" s="22">
        <f t="shared" si="107"/>
        <v>3.0211152044686425E-3</v>
      </c>
      <c r="W120" s="2"/>
      <c r="X120" s="2">
        <f t="shared" si="108"/>
        <v>1772.25</v>
      </c>
      <c r="Y120" s="2"/>
      <c r="Z120" s="22">
        <f t="shared" si="109"/>
        <v>3.1875</v>
      </c>
    </row>
    <row r="121" spans="1:26" s="24" customFormat="1" hidden="1" outlineLevel="1" x14ac:dyDescent="0.25">
      <c r="A121" s="51"/>
      <c r="B121" s="11" t="str">
        <f>CONCATENATE("          ", "9165", " - ", "OTHER INCOME")</f>
        <v xml:space="preserve">          9165 - OTHER INCOME</v>
      </c>
      <c r="C121" s="11"/>
      <c r="D121" s="2">
        <f>0</f>
        <v>0</v>
      </c>
      <c r="E121" s="2"/>
      <c r="F121" s="22">
        <f t="shared" si="102"/>
        <v>0</v>
      </c>
      <c r="G121" s="2"/>
      <c r="H121" s="2"/>
      <c r="I121" s="2"/>
      <c r="J121" s="22">
        <f t="shared" si="103"/>
        <v>0</v>
      </c>
      <c r="K121" s="2"/>
      <c r="L121" s="2">
        <f t="shared" si="104"/>
        <v>0</v>
      </c>
      <c r="M121" s="2"/>
      <c r="N121" s="22">
        <f t="shared" si="105"/>
        <v>0</v>
      </c>
      <c r="O121" s="11"/>
      <c r="P121" s="2">
        <f>--825.18</f>
        <v>825.18</v>
      </c>
      <c r="Q121" s="2"/>
      <c r="R121" s="22">
        <f t="shared" si="106"/>
        <v>1.364410413091382E-2</v>
      </c>
      <c r="S121" s="2"/>
      <c r="T121" s="2"/>
      <c r="U121" s="2"/>
      <c r="V121" s="22">
        <f t="shared" si="107"/>
        <v>0</v>
      </c>
      <c r="W121" s="2"/>
      <c r="X121" s="2">
        <f t="shared" si="108"/>
        <v>825.18</v>
      </c>
      <c r="Y121" s="2"/>
      <c r="Z121" s="22">
        <f t="shared" si="109"/>
        <v>0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6" t="s">
        <v>3</v>
      </c>
      <c r="C123" s="26"/>
      <c r="D123" s="20">
        <f>+D28-D30+D117</f>
        <v>-118845.23000000001</v>
      </c>
      <c r="E123" s="13"/>
      <c r="F123" s="19">
        <f>IF(D$12=0,0,D123/D$12)</f>
        <v>-2.7307622314795883</v>
      </c>
      <c r="G123" s="13"/>
      <c r="H123" s="20">
        <f>+H28-H30+H117</f>
        <v>-118148.46642589101</v>
      </c>
      <c r="I123" s="13"/>
      <c r="J123" s="19">
        <f>IF(H$12=0,0,H123/H$12)</f>
        <v>-1.2506321138327212</v>
      </c>
      <c r="K123" s="15"/>
      <c r="L123" s="20">
        <f>+D123-H123</f>
        <v>-696.76357410900528</v>
      </c>
      <c r="M123" s="15"/>
      <c r="N123" s="19">
        <f>IF(H123=0,0,L123/H123)</f>
        <v>5.897356057059381E-3</v>
      </c>
      <c r="O123" s="25"/>
      <c r="P123" s="20">
        <f>+P28-P30+P117</f>
        <v>-529289.74999999977</v>
      </c>
      <c r="Q123" s="13"/>
      <c r="R123" s="19">
        <f>IF(P$12=0,0,P123/P$12)</f>
        <v>-8.7516474762177232</v>
      </c>
      <c r="S123" s="13"/>
      <c r="T123" s="20">
        <f>+T28-T30+T117</f>
        <v>-520764.28452824103</v>
      </c>
      <c r="U123" s="13"/>
      <c r="V123" s="19">
        <f>IF(T$12=0,0,T123/T$12)</f>
        <v>-2.8296562912455094</v>
      </c>
      <c r="W123" s="15"/>
      <c r="X123" s="20">
        <f>+P123-T123</f>
        <v>-8525.46547175874</v>
      </c>
      <c r="Y123" s="15"/>
      <c r="Z123" s="19">
        <f>IF(T123=0,0,X123/T123)</f>
        <v>1.6371064078409173E-2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2"/>
      <c r="B125" s="10" t="s">
        <v>14</v>
      </c>
      <c r="C125" s="10"/>
      <c r="D125" s="4">
        <v>9959.48</v>
      </c>
      <c r="E125" s="4"/>
      <c r="F125" s="12">
        <f>IF(D$12=0,0,D125/D$12)</f>
        <v>0.22884361306866355</v>
      </c>
      <c r="G125" s="4"/>
      <c r="H125" s="4">
        <v>17181</v>
      </c>
      <c r="I125" s="4"/>
      <c r="J125" s="12">
        <f>IF(H$12=0,0,H125/H$12)</f>
        <v>0.18186533433540453</v>
      </c>
      <c r="K125" s="4"/>
      <c r="L125" s="4">
        <f>+D125-H125</f>
        <v>-7221.52</v>
      </c>
      <c r="M125" s="4"/>
      <c r="N125" s="12">
        <f>IF(H125=0,0,L125/H125)</f>
        <v>-0.42032012106396605</v>
      </c>
      <c r="O125" s="10"/>
      <c r="P125" s="4">
        <v>13101.04</v>
      </c>
      <c r="Q125" s="4"/>
      <c r="R125" s="12">
        <f>IF(P$12=0,0,P125/P$12)</f>
        <v>0.21662177219911682</v>
      </c>
      <c r="S125" s="4"/>
      <c r="T125" s="4">
        <v>30130</v>
      </c>
      <c r="U125" s="4"/>
      <c r="V125" s="12">
        <f>IF(T$12=0,0,T125/T$12)</f>
        <v>0.16371618904791402</v>
      </c>
      <c r="W125" s="4"/>
      <c r="X125" s="4">
        <f>+P125-T125</f>
        <v>-17028.96</v>
      </c>
      <c r="Y125" s="4"/>
      <c r="Z125" s="12">
        <f>IF(T125=0,0,X125/T125)</f>
        <v>-0.56518287421174906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6" t="s">
        <v>4</v>
      </c>
      <c r="C127" s="26"/>
      <c r="D127" s="34">
        <f>+D123-D125</f>
        <v>-128804.71</v>
      </c>
      <c r="E127" s="13"/>
      <c r="F127" s="35">
        <f>IF(D$12=0,0,D127/D$12)</f>
        <v>-2.9596058445482516</v>
      </c>
      <c r="G127" s="13"/>
      <c r="H127" s="34">
        <f>+H123-H125</f>
        <v>-135329.46642589101</v>
      </c>
      <c r="I127" s="13"/>
      <c r="J127" s="35">
        <f>IF(H$12=0,0,H127/H$12)</f>
        <v>-1.4324974481681256</v>
      </c>
      <c r="K127" s="15"/>
      <c r="L127" s="34">
        <f>D127-H127</f>
        <v>6524.7564258909988</v>
      </c>
      <c r="M127" s="15"/>
      <c r="N127" s="35">
        <f>IF(H127=0,0,L127/H127)</f>
        <v>-4.8213863530335278E-2</v>
      </c>
      <c r="O127" s="25"/>
      <c r="P127" s="34">
        <f>+P123-P125</f>
        <v>-542390.7899999998</v>
      </c>
      <c r="Q127" s="13"/>
      <c r="R127" s="35">
        <f>IF(P$12=0,0,P127/P$12)</f>
        <v>-8.9682692484168403</v>
      </c>
      <c r="S127" s="13"/>
      <c r="T127" s="34">
        <f>+T123-T125</f>
        <v>-550894.28452824103</v>
      </c>
      <c r="U127" s="13"/>
      <c r="V127" s="35">
        <f>IF(T$12=0,0,T127/T$12)</f>
        <v>-2.9933724802934232</v>
      </c>
      <c r="W127" s="15"/>
      <c r="X127" s="34">
        <f>P127-T127</f>
        <v>8503.4945282412227</v>
      </c>
      <c r="Y127" s="15"/>
      <c r="Z127" s="35">
        <f>IF(T127=0,0,X127/T127)</f>
        <v>-1.5435800964105482E-2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6" t="s">
        <v>5</v>
      </c>
      <c r="C130" s="26"/>
      <c r="D130" s="30">
        <f>SUM(D127:D129)</f>
        <v>-128804.71</v>
      </c>
      <c r="E130" s="13"/>
      <c r="F130" s="32">
        <f>IF(D$12=0,0,D130/D$12)</f>
        <v>-2.9596058445482516</v>
      </c>
      <c r="G130" s="13"/>
      <c r="H130" s="30">
        <f>SUM(H127:H129)</f>
        <v>-135329.46642589101</v>
      </c>
      <c r="I130" s="13"/>
      <c r="J130" s="32">
        <f>IF(H$12=0,0,H130/H$12)</f>
        <v>-1.4324974481681256</v>
      </c>
      <c r="K130" s="15"/>
      <c r="L130" s="30">
        <f>+D130-H130</f>
        <v>6524.7564258909988</v>
      </c>
      <c r="M130" s="15"/>
      <c r="N130" s="32">
        <f>IF(H130=0,0,L130/H130)</f>
        <v>-4.8213863530335278E-2</v>
      </c>
      <c r="O130" s="25"/>
      <c r="P130" s="30">
        <f>SUM(P127:P129)</f>
        <v>-542390.7899999998</v>
      </c>
      <c r="Q130" s="13"/>
      <c r="R130" s="32">
        <f>IF(P$12=0,0,P130/P$12)</f>
        <v>-8.9682692484168403</v>
      </c>
      <c r="S130" s="13"/>
      <c r="T130" s="30">
        <f>SUM(T127:T129)</f>
        <v>-550894.28452824103</v>
      </c>
      <c r="U130" s="13"/>
      <c r="V130" s="32">
        <f>IF(T$12=0,0,T130/T$12)</f>
        <v>-2.9933724802934232</v>
      </c>
      <c r="W130" s="15"/>
      <c r="X130" s="30">
        <f>+P130-T130</f>
        <v>8503.4945282412227</v>
      </c>
      <c r="Y130" s="15"/>
      <c r="Z130" s="32">
        <f>IF(T130=0,0,X130/T130)</f>
        <v>-1.5435800964105482E-2</v>
      </c>
    </row>
    <row r="131" spans="1:26" ht="15.75" thickTop="1" x14ac:dyDescent="0.25">
      <c r="A131" s="9"/>
      <c r="C131" s="9"/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6" x14ac:dyDescent="0.25">
      <c r="A132" s="9"/>
      <c r="B132" s="60">
        <v>44151.567890775463</v>
      </c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58" t="s">
        <v>314</v>
      </c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53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43520.9</v>
      </c>
      <c r="E12" s="4"/>
      <c r="F12" s="12"/>
      <c r="G12" s="4"/>
      <c r="H12" s="4">
        <f>SUM(OSRRefH13x_0)</f>
        <v>27631</v>
      </c>
      <c r="I12" s="4"/>
      <c r="J12" s="12"/>
      <c r="K12" s="4"/>
      <c r="L12" s="4">
        <f t="shared" ref="L12:L18" si="0">+D12-H12</f>
        <v>15889.900000000001</v>
      </c>
      <c r="M12" s="4"/>
      <c r="N12" s="12">
        <f t="shared" ref="N12:N18" si="1">IF(H12=0,0,L12/H12)</f>
        <v>0.57507509681155233</v>
      </c>
      <c r="O12" s="10"/>
      <c r="P12" s="4">
        <f>SUM(OSRRefP13x_0)</f>
        <v>57892.400000000009</v>
      </c>
      <c r="Q12" s="4"/>
      <c r="R12" s="12"/>
      <c r="S12" s="4"/>
      <c r="T12" s="4">
        <f>SUM(OSRRefT13x_0)</f>
        <v>61516</v>
      </c>
      <c r="U12" s="4"/>
      <c r="V12" s="12"/>
      <c r="W12" s="4"/>
      <c r="X12" s="4">
        <f t="shared" ref="X12:X18" si="2">+P12-T12</f>
        <v>-3623.5999999999913</v>
      </c>
      <c r="Y12" s="4"/>
      <c r="Z12" s="12">
        <f t="shared" ref="Z12:Z18" si="3">IF(T12=0,0,X12/T12)</f>
        <v>-5.8905000325118528E-2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8594</v>
      </c>
      <c r="I13" s="2"/>
      <c r="J13" s="22"/>
      <c r="K13" s="2"/>
      <c r="L13" s="2">
        <f t="shared" si="0"/>
        <v>-8594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19133</v>
      </c>
      <c r="U13" s="2"/>
      <c r="V13" s="22"/>
      <c r="W13" s="2"/>
      <c r="X13" s="2">
        <f t="shared" si="2"/>
        <v>-19133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--6097.26</f>
        <v>6097.26</v>
      </c>
      <c r="E14" s="2"/>
      <c r="F14" s="22"/>
      <c r="G14" s="2"/>
      <c r="H14" s="2"/>
      <c r="I14" s="2"/>
      <c r="J14" s="22"/>
      <c r="K14" s="2"/>
      <c r="L14" s="2">
        <f t="shared" si="0"/>
        <v>6097.26</v>
      </c>
      <c r="M14" s="2"/>
      <c r="N14" s="22">
        <f t="shared" si="1"/>
        <v>0</v>
      </c>
      <c r="O14" s="11"/>
      <c r="P14" s="2">
        <f>--12749.94</f>
        <v>12749.94</v>
      </c>
      <c r="Q14" s="2"/>
      <c r="R14" s="22"/>
      <c r="S14" s="2"/>
      <c r="T14" s="2"/>
      <c r="U14" s="2"/>
      <c r="V14" s="22"/>
      <c r="W14" s="2"/>
      <c r="X14" s="2">
        <f t="shared" si="2"/>
        <v>12749.94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--30231.29</f>
        <v>30231.29</v>
      </c>
      <c r="E15" s="2"/>
      <c r="F15" s="22"/>
      <c r="G15" s="2"/>
      <c r="H15" s="2"/>
      <c r="I15" s="2"/>
      <c r="J15" s="22"/>
      <c r="K15" s="2"/>
      <c r="L15" s="2">
        <f t="shared" si="0"/>
        <v>30231.29</v>
      </c>
      <c r="M15" s="2"/>
      <c r="N15" s="22">
        <f t="shared" si="1"/>
        <v>0</v>
      </c>
      <c r="O15" s="11"/>
      <c r="P15" s="2">
        <f>--30231.29</f>
        <v>30231.29</v>
      </c>
      <c r="Q15" s="2"/>
      <c r="R15" s="22"/>
      <c r="S15" s="2"/>
      <c r="T15" s="2"/>
      <c r="U15" s="2"/>
      <c r="V15" s="22"/>
      <c r="W15" s="2"/>
      <c r="X15" s="2">
        <f t="shared" si="2"/>
        <v>30231.29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--974.91</f>
        <v>974.91</v>
      </c>
      <c r="Q16" s="2"/>
      <c r="R16" s="22"/>
      <c r="S16" s="2"/>
      <c r="T16" s="2"/>
      <c r="U16" s="2"/>
      <c r="V16" s="22"/>
      <c r="W16" s="2"/>
      <c r="X16" s="2">
        <f t="shared" si="2"/>
        <v>974.91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22"/>
      <c r="G17" s="2"/>
      <c r="H17" s="2">
        <v>19037</v>
      </c>
      <c r="I17" s="2"/>
      <c r="J17" s="22"/>
      <c r="K17" s="2"/>
      <c r="L17" s="2">
        <f t="shared" si="0"/>
        <v>-19037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42383</v>
      </c>
      <c r="U17" s="2"/>
      <c r="V17" s="22"/>
      <c r="W17" s="2"/>
      <c r="X17" s="2">
        <f t="shared" si="2"/>
        <v>-42383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"4151", " - ", "NON-TAXABLE SALES-FOOD")</f>
        <v xml:space="preserve">          4151 - NON-TAXABLE SALES-FOOD</v>
      </c>
      <c r="C18" s="11"/>
      <c r="D18" s="2">
        <f>--7192.35</f>
        <v>7192.35</v>
      </c>
      <c r="E18" s="2"/>
      <c r="F18" s="22"/>
      <c r="G18" s="2"/>
      <c r="H18" s="2"/>
      <c r="I18" s="2"/>
      <c r="J18" s="22"/>
      <c r="K18" s="2"/>
      <c r="L18" s="2">
        <f t="shared" si="0"/>
        <v>7192.35</v>
      </c>
      <c r="M18" s="2"/>
      <c r="N18" s="22">
        <f t="shared" si="1"/>
        <v>0</v>
      </c>
      <c r="O18" s="11"/>
      <c r="P18" s="2">
        <f>--13936.26</f>
        <v>13936.26</v>
      </c>
      <c r="Q18" s="2"/>
      <c r="R18" s="22"/>
      <c r="S18" s="2"/>
      <c r="T18" s="2"/>
      <c r="U18" s="2"/>
      <c r="V18" s="22"/>
      <c r="W18" s="2"/>
      <c r="X18" s="2">
        <f t="shared" si="2"/>
        <v>13936.26</v>
      </c>
      <c r="Y18" s="2"/>
      <c r="Z18" s="22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5" t="s">
        <v>8</v>
      </c>
      <c r="C20" s="10"/>
      <c r="D20" s="4">
        <f>SUM(OSRRefD16x_0)</f>
        <v>5796.07</v>
      </c>
      <c r="E20" s="4"/>
      <c r="F20" s="12">
        <f t="shared" ref="F20:F23" si="5">IF(D$12=0,0,D20/D$12)</f>
        <v>0.13317900135337274</v>
      </c>
      <c r="G20" s="4"/>
      <c r="H20" s="4">
        <f>SUM(OSRRefH16x_0)</f>
        <v>7460</v>
      </c>
      <c r="I20" s="4"/>
      <c r="J20" s="12">
        <f t="shared" ref="J20:J23" si="6">IF(H$12=0,0,H20/H$12)</f>
        <v>0.2699866092432413</v>
      </c>
      <c r="K20" s="4"/>
      <c r="L20" s="4">
        <f t="shared" ref="L20:L23" si="7">+D20-H20</f>
        <v>-1663.9300000000003</v>
      </c>
      <c r="M20" s="4"/>
      <c r="N20" s="12">
        <f t="shared" ref="N20:N23" si="8">IF(H20=0,0,L20/H20)</f>
        <v>-0.22304691689008047</v>
      </c>
      <c r="O20" s="10"/>
      <c r="P20" s="4">
        <f>SUM(OSRRefP16x_0)</f>
        <v>11812.47</v>
      </c>
      <c r="Q20" s="4"/>
      <c r="R20" s="12">
        <f t="shared" ref="R20:R23" si="9">IF(P$12=0,0,P20/P$12)</f>
        <v>0.20404180859663787</v>
      </c>
      <c r="S20" s="4"/>
      <c r="T20" s="4">
        <f>SUM(OSRRefT16x_0)</f>
        <v>19308</v>
      </c>
      <c r="U20" s="4"/>
      <c r="V20" s="12">
        <f t="shared" ref="V20:V23" si="10">IF(T$12=0,0,T20/T$12)</f>
        <v>0.31386956239027247</v>
      </c>
      <c r="W20" s="4"/>
      <c r="X20" s="4">
        <f t="shared" ref="X20:X23" si="11">+P20-T20</f>
        <v>-7495.5300000000007</v>
      </c>
      <c r="Y20" s="4"/>
      <c r="Z20" s="12">
        <f t="shared" ref="Z20:Z23" si="12">IF(T20=0,0,X20/T20)</f>
        <v>-0.38820851460534495</v>
      </c>
    </row>
    <row r="21" spans="1:26" s="24" customFormat="1" hidden="1" outlineLevel="1" x14ac:dyDescent="0.25">
      <c r="A21" s="51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22">
        <f t="shared" si="5"/>
        <v>0</v>
      </c>
      <c r="G21" s="2"/>
      <c r="H21" s="2">
        <v>7460</v>
      </c>
      <c r="I21" s="2"/>
      <c r="J21" s="22">
        <f t="shared" si="6"/>
        <v>0.2699866092432413</v>
      </c>
      <c r="K21" s="2"/>
      <c r="L21" s="2">
        <f t="shared" si="7"/>
        <v>-7460</v>
      </c>
      <c r="M21" s="2"/>
      <c r="N21" s="22">
        <f t="shared" si="8"/>
        <v>-1</v>
      </c>
      <c r="O21" s="11"/>
      <c r="P21" s="2"/>
      <c r="Q21" s="2"/>
      <c r="R21" s="22">
        <f t="shared" si="9"/>
        <v>0</v>
      </c>
      <c r="S21" s="2"/>
      <c r="T21" s="2">
        <v>19308</v>
      </c>
      <c r="U21" s="2"/>
      <c r="V21" s="22">
        <f t="shared" si="10"/>
        <v>0.31386956239027247</v>
      </c>
      <c r="W21" s="2"/>
      <c r="X21" s="2">
        <f t="shared" si="11"/>
        <v>-19308</v>
      </c>
      <c r="Y21" s="2"/>
      <c r="Z21" s="22">
        <f t="shared" si="12"/>
        <v>-1</v>
      </c>
    </row>
    <row r="22" spans="1:26" s="24" customFormat="1" hidden="1" outlineLevel="1" x14ac:dyDescent="0.25">
      <c r="A22" s="51"/>
      <c r="B22" s="11" t="str">
        <f>CONCATENATE("          ", "5053", " - ", "PURCHASES @ COST-FOOD")</f>
        <v xml:space="preserve">          5053 - PURCHASES @ COST-FOOD</v>
      </c>
      <c r="C22" s="11"/>
      <c r="D22" s="2">
        <v>4199.07</v>
      </c>
      <c r="E22" s="2"/>
      <c r="F22" s="22">
        <f t="shared" si="5"/>
        <v>9.6483988152818514E-2</v>
      </c>
      <c r="G22" s="2"/>
      <c r="H22" s="2"/>
      <c r="I22" s="2"/>
      <c r="J22" s="22">
        <f t="shared" si="6"/>
        <v>0</v>
      </c>
      <c r="K22" s="2"/>
      <c r="L22" s="2">
        <f t="shared" si="7"/>
        <v>4199.07</v>
      </c>
      <c r="M22" s="2"/>
      <c r="N22" s="22">
        <f t="shared" si="8"/>
        <v>0</v>
      </c>
      <c r="O22" s="11"/>
      <c r="P22" s="2">
        <v>9629.41</v>
      </c>
      <c r="Q22" s="2"/>
      <c r="R22" s="22">
        <f t="shared" si="9"/>
        <v>0.16633288652741982</v>
      </c>
      <c r="S22" s="2"/>
      <c r="T22" s="2"/>
      <c r="U22" s="2"/>
      <c r="V22" s="22">
        <f t="shared" si="10"/>
        <v>0</v>
      </c>
      <c r="W22" s="2"/>
      <c r="X22" s="2">
        <f t="shared" si="11"/>
        <v>9629.41</v>
      </c>
      <c r="Y22" s="2"/>
      <c r="Z22" s="22">
        <f t="shared" si="12"/>
        <v>0</v>
      </c>
    </row>
    <row r="23" spans="1:26" s="24" customFormat="1" hidden="1" outlineLevel="1" x14ac:dyDescent="0.25">
      <c r="A23" s="51"/>
      <c r="B23" s="11" t="str">
        <f>CONCATENATE("          ", "5059", " - ", "PURCHASES @ COST-FOOD")</f>
        <v xml:space="preserve">          5059 - PURCHASES @ COST-FOOD</v>
      </c>
      <c r="C23" s="11"/>
      <c r="D23" s="2">
        <v>1597</v>
      </c>
      <c r="E23" s="2"/>
      <c r="F23" s="22">
        <f t="shared" si="5"/>
        <v>3.6695013200554218E-2</v>
      </c>
      <c r="G23" s="2"/>
      <c r="H23" s="2"/>
      <c r="I23" s="2"/>
      <c r="J23" s="22">
        <f t="shared" si="6"/>
        <v>0</v>
      </c>
      <c r="K23" s="2"/>
      <c r="L23" s="2">
        <f t="shared" si="7"/>
        <v>1597</v>
      </c>
      <c r="M23" s="2"/>
      <c r="N23" s="22">
        <f t="shared" si="8"/>
        <v>0</v>
      </c>
      <c r="O23" s="11"/>
      <c r="P23" s="2">
        <v>2183.06</v>
      </c>
      <c r="Q23" s="2"/>
      <c r="R23" s="22">
        <f t="shared" si="9"/>
        <v>3.7708922069218061E-2</v>
      </c>
      <c r="S23" s="2"/>
      <c r="T23" s="2"/>
      <c r="U23" s="2"/>
      <c r="V23" s="22">
        <f t="shared" si="10"/>
        <v>0</v>
      </c>
      <c r="W23" s="2"/>
      <c r="X23" s="2">
        <f t="shared" si="11"/>
        <v>2183.06</v>
      </c>
      <c r="Y23" s="2"/>
      <c r="Z23" s="22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6" t="s">
        <v>6</v>
      </c>
      <c r="C25" s="26"/>
      <c r="D25" s="20">
        <f>D12-D20</f>
        <v>37724.83</v>
      </c>
      <c r="E25" s="13"/>
      <c r="F25" s="19">
        <f>IF(D$12=0,0,D25/D$12)</f>
        <v>0.86682099864662732</v>
      </c>
      <c r="G25" s="13"/>
      <c r="H25" s="20">
        <f>H12-H20</f>
        <v>20171</v>
      </c>
      <c r="I25" s="13"/>
      <c r="J25" s="19">
        <f>IF(H$12=0,0,H25/H$12)</f>
        <v>0.73001339075675875</v>
      </c>
      <c r="K25" s="15"/>
      <c r="L25" s="20">
        <f>+D25-H25</f>
        <v>17553.830000000002</v>
      </c>
      <c r="M25" s="15"/>
      <c r="N25" s="19">
        <f>IF(H25=0,0,L25/H25)</f>
        <v>0.87025085518814149</v>
      </c>
      <c r="O25" s="25"/>
      <c r="P25" s="20">
        <f>P12-P20</f>
        <v>46079.930000000008</v>
      </c>
      <c r="Q25" s="13"/>
      <c r="R25" s="19">
        <f>IF(P$12=0,0,P25/P$12)</f>
        <v>0.7959581914033621</v>
      </c>
      <c r="S25" s="13"/>
      <c r="T25" s="20">
        <f>T12-T20</f>
        <v>42208</v>
      </c>
      <c r="U25" s="13"/>
      <c r="V25" s="19">
        <f>IF(T$12=0,0,T25/T$12)</f>
        <v>0.68613043760972758</v>
      </c>
      <c r="W25" s="15"/>
      <c r="X25" s="20">
        <f>+P25-T25</f>
        <v>3871.9300000000076</v>
      </c>
      <c r="Y25" s="15"/>
      <c r="Z25" s="19">
        <f>IF(T25=0,0,X25/T25)</f>
        <v>9.1734505307050976E-2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5" t="s">
        <v>9</v>
      </c>
      <c r="C27" s="10"/>
      <c r="D27" s="21">
        <f>SUM(OSRRefD22x_0)</f>
        <v>117574.27</v>
      </c>
      <c r="E27" s="21"/>
      <c r="F27" s="31">
        <f t="shared" ref="F27:F37" si="13">IF(D$12=0,0,D27/D$12)</f>
        <v>2.7015587912933787</v>
      </c>
      <c r="G27" s="21"/>
      <c r="H27" s="21">
        <f>SUM(OSRRefH22x_0)</f>
        <v>121937.55249739099</v>
      </c>
      <c r="I27" s="21"/>
      <c r="J27" s="31">
        <f t="shared" ref="J27:J37" si="14">IF(H$12=0,0,H27/H$12)</f>
        <v>4.4130705547172013</v>
      </c>
      <c r="K27" s="4"/>
      <c r="L27" s="21">
        <f t="shared" ref="L27:L37" si="15">+D27-H27</f>
        <v>-4363.2824973909883</v>
      </c>
      <c r="M27" s="4"/>
      <c r="N27" s="31">
        <f t="shared" ref="N27:N37" si="16">IF(H27=0,0,L27/H27)</f>
        <v>-3.5782926654070298E-2</v>
      </c>
      <c r="O27" s="10"/>
      <c r="P27" s="21">
        <f>SUM(OSRRefP22x_0)</f>
        <v>447356.03000000009</v>
      </c>
      <c r="Q27" s="21"/>
      <c r="R27" s="31">
        <f t="shared" ref="R27:R37" si="17">IF(P$12=0,0,P27/P$12)</f>
        <v>7.7273706047771382</v>
      </c>
      <c r="S27" s="21"/>
      <c r="T27" s="21">
        <f>SUM(OSRRefT22x_0)</f>
        <v>442360.54688394099</v>
      </c>
      <c r="U27" s="21"/>
      <c r="V27" s="31">
        <f t="shared" ref="V27:V37" si="18">IF(T$12=0,0,T27/T$12)</f>
        <v>7.1909835958765358</v>
      </c>
      <c r="W27" s="4"/>
      <c r="X27" s="21">
        <f t="shared" ref="X27:X37" si="19">+P27-T27</f>
        <v>4995.4831160590984</v>
      </c>
      <c r="Y27" s="4"/>
      <c r="Z27" s="31">
        <f t="shared" ref="Z27:Z37" si="20">IF(T27=0,0,X27/T27)</f>
        <v>1.1292786283153158E-2</v>
      </c>
    </row>
    <row r="28" spans="1:26" s="27" customFormat="1" outlineLevel="1" collapsed="1" x14ac:dyDescent="0.25">
      <c r="A28" s="29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23261.620000000003</v>
      </c>
      <c r="E28" s="1"/>
      <c r="F28" s="5">
        <f t="shared" si="13"/>
        <v>0.53449308263386097</v>
      </c>
      <c r="G28" s="1"/>
      <c r="H28" s="1">
        <f>SUM(OSRRefH22_0x_0)</f>
        <v>15354.072048673077</v>
      </c>
      <c r="I28" s="1"/>
      <c r="J28" s="5">
        <f t="shared" si="14"/>
        <v>0.5556828217825297</v>
      </c>
      <c r="K28" s="1"/>
      <c r="L28" s="1">
        <f t="shared" si="15"/>
        <v>7907.5479513269256</v>
      </c>
      <c r="M28" s="1"/>
      <c r="N28" s="5">
        <f t="shared" si="16"/>
        <v>0.51501308097680243</v>
      </c>
      <c r="O28" s="14"/>
      <c r="P28" s="1">
        <f>SUM(OSRRefP22_0x_0)</f>
        <v>92093</v>
      </c>
      <c r="Q28" s="1"/>
      <c r="R28" s="5">
        <f t="shared" si="17"/>
        <v>1.5907614816452589</v>
      </c>
      <c r="S28" s="1"/>
      <c r="T28" s="1">
        <f>SUM(OSRRefT22_0x_0)</f>
        <v>57009.177935223081</v>
      </c>
      <c r="U28" s="1"/>
      <c r="V28" s="5">
        <f t="shared" si="18"/>
        <v>0.92673740059859355</v>
      </c>
      <c r="W28" s="1"/>
      <c r="X28" s="1">
        <f t="shared" si="19"/>
        <v>35083.822064776919</v>
      </c>
      <c r="Y28" s="1"/>
      <c r="Z28" s="5">
        <f t="shared" si="20"/>
        <v>0.61540655970589608</v>
      </c>
    </row>
    <row r="29" spans="1:26" s="24" customFormat="1" hidden="1" outlineLevel="2" x14ac:dyDescent="0.25">
      <c r="A29" s="28"/>
      <c r="B29" s="11" t="str">
        <f>CONCATENATE("          ", "6111", " - ", "F.I.C.A.")</f>
        <v xml:space="preserve">          6111 - F.I.C.A.</v>
      </c>
      <c r="C29" s="11"/>
      <c r="D29" s="7">
        <v>4927.41</v>
      </c>
      <c r="E29" s="2"/>
      <c r="F29" s="6">
        <f t="shared" si="13"/>
        <v>0.11321939573859915</v>
      </c>
      <c r="G29" s="2"/>
      <c r="H29" s="7">
        <v>1857.1736727115399</v>
      </c>
      <c r="I29" s="2"/>
      <c r="J29" s="6">
        <f t="shared" si="14"/>
        <v>6.7213407864772895E-2</v>
      </c>
      <c r="K29" s="2"/>
      <c r="L29" s="7">
        <f t="shared" si="15"/>
        <v>3070.23632728846</v>
      </c>
      <c r="M29" s="2"/>
      <c r="N29" s="6">
        <f t="shared" si="16"/>
        <v>1.6531767450729609</v>
      </c>
      <c r="O29" s="11"/>
      <c r="P29" s="7">
        <v>12347.79</v>
      </c>
      <c r="Q29" s="2"/>
      <c r="R29" s="6">
        <f t="shared" si="17"/>
        <v>0.21328861819513439</v>
      </c>
      <c r="S29" s="2"/>
      <c r="T29" s="7">
        <v>6878.8338817615422</v>
      </c>
      <c r="U29" s="2"/>
      <c r="V29" s="6">
        <f t="shared" si="18"/>
        <v>0.1118218655595543</v>
      </c>
      <c r="W29" s="2"/>
      <c r="X29" s="7">
        <f t="shared" si="19"/>
        <v>5468.9561182384587</v>
      </c>
      <c r="Y29" s="2"/>
      <c r="Z29" s="6">
        <f t="shared" si="20"/>
        <v>0.79504116718660456</v>
      </c>
    </row>
    <row r="30" spans="1:26" s="24" customFormat="1" hidden="1" outlineLevel="2" x14ac:dyDescent="0.25">
      <c r="A30" s="28"/>
      <c r="B30" s="11" t="str">
        <f>CONCATENATE("          ", "6112", " - ", "COMPENSATION INSURANCE")</f>
        <v xml:space="preserve">          6112 - COMPENSATION INSURANCE</v>
      </c>
      <c r="C30" s="11"/>
      <c r="D30" s="7">
        <v>656.61</v>
      </c>
      <c r="E30" s="2"/>
      <c r="F30" s="6">
        <f t="shared" si="13"/>
        <v>1.5087233949665563E-2</v>
      </c>
      <c r="G30" s="2"/>
      <c r="H30" s="7">
        <v>716.77637942307683</v>
      </c>
      <c r="I30" s="2"/>
      <c r="J30" s="6">
        <f t="shared" si="14"/>
        <v>2.594102201958224E-2</v>
      </c>
      <c r="K30" s="2"/>
      <c r="L30" s="7">
        <f t="shared" si="15"/>
        <v>-60.166379423076819</v>
      </c>
      <c r="M30" s="2"/>
      <c r="N30" s="6">
        <f t="shared" si="16"/>
        <v>-8.3940237360365988E-2</v>
      </c>
      <c r="O30" s="11"/>
      <c r="P30" s="7">
        <v>2664.1</v>
      </c>
      <c r="Q30" s="2"/>
      <c r="R30" s="6">
        <f t="shared" si="17"/>
        <v>4.6018130186345693E-2</v>
      </c>
      <c r="S30" s="2"/>
      <c r="T30" s="7">
        <v>2432.3813859230768</v>
      </c>
      <c r="U30" s="2"/>
      <c r="V30" s="6">
        <f t="shared" si="18"/>
        <v>3.9540629851145669E-2</v>
      </c>
      <c r="W30" s="2"/>
      <c r="X30" s="7">
        <f t="shared" si="19"/>
        <v>231.71861407692313</v>
      </c>
      <c r="Y30" s="2"/>
      <c r="Z30" s="6">
        <f t="shared" si="20"/>
        <v>9.5264096090337022E-2</v>
      </c>
    </row>
    <row r="31" spans="1:26" s="24" customFormat="1" hidden="1" outlineLevel="2" x14ac:dyDescent="0.25">
      <c r="A31" s="28"/>
      <c r="B31" s="11" t="str">
        <f>CONCATENATE("          ", "6113", " - ", "GROUP INSURANCE")</f>
        <v xml:space="preserve">          6113 - GROUP INSURANCE</v>
      </c>
      <c r="C31" s="11"/>
      <c r="D31" s="7">
        <v>8662.99</v>
      </c>
      <c r="E31" s="2"/>
      <c r="F31" s="6">
        <f t="shared" si="13"/>
        <v>0.19905355817549727</v>
      </c>
      <c r="G31" s="2"/>
      <c r="H31" s="7">
        <v>8037.6923076922994</v>
      </c>
      <c r="I31" s="2"/>
      <c r="J31" s="6">
        <f t="shared" si="14"/>
        <v>0.29089400700996343</v>
      </c>
      <c r="K31" s="2"/>
      <c r="L31" s="7">
        <f t="shared" si="15"/>
        <v>625.29769230770034</v>
      </c>
      <c r="M31" s="2"/>
      <c r="N31" s="6">
        <f t="shared" si="16"/>
        <v>7.7795674227199851E-2</v>
      </c>
      <c r="O31" s="11"/>
      <c r="P31" s="7">
        <v>43605.87</v>
      </c>
      <c r="Q31" s="2"/>
      <c r="R31" s="6">
        <f t="shared" si="17"/>
        <v>0.75322270280727688</v>
      </c>
      <c r="S31" s="2"/>
      <c r="T31" s="7">
        <v>30597.692307692298</v>
      </c>
      <c r="U31" s="2"/>
      <c r="V31" s="6">
        <f t="shared" si="18"/>
        <v>0.49739404882782201</v>
      </c>
      <c r="W31" s="2"/>
      <c r="X31" s="7">
        <f t="shared" si="19"/>
        <v>13008.177692307705</v>
      </c>
      <c r="Y31" s="2"/>
      <c r="Z31" s="6">
        <f t="shared" si="20"/>
        <v>0.42513590768534637</v>
      </c>
    </row>
    <row r="32" spans="1:26" s="24" customFormat="1" hidden="1" outlineLevel="2" x14ac:dyDescent="0.25">
      <c r="A32" s="28"/>
      <c r="B32" s="11" t="str">
        <f>CONCATENATE("          ", "6114", " - ", "STATE UNEMPLOYMENT INSURANCE")</f>
        <v xml:space="preserve">          6114 - STATE UNEMPLOYMENT INSURANCE</v>
      </c>
      <c r="C32" s="11"/>
      <c r="D32" s="7">
        <v>81.11</v>
      </c>
      <c r="E32" s="2"/>
      <c r="F32" s="6">
        <f t="shared" si="13"/>
        <v>1.86370226718657E-3</v>
      </c>
      <c r="G32" s="2"/>
      <c r="H32" s="7">
        <v>76.648685</v>
      </c>
      <c r="I32" s="2"/>
      <c r="J32" s="6">
        <f t="shared" si="14"/>
        <v>2.7740105316492345E-3</v>
      </c>
      <c r="K32" s="2"/>
      <c r="L32" s="7">
        <f t="shared" si="15"/>
        <v>4.461314999999999</v>
      </c>
      <c r="M32" s="2"/>
      <c r="N32" s="6">
        <f t="shared" si="16"/>
        <v>5.8204716754109986E-2</v>
      </c>
      <c r="O32" s="11"/>
      <c r="P32" s="7">
        <v>339.04</v>
      </c>
      <c r="Q32" s="2"/>
      <c r="R32" s="6">
        <f t="shared" si="17"/>
        <v>5.8563818394124266E-3</v>
      </c>
      <c r="S32" s="2"/>
      <c r="T32" s="7">
        <v>266.96474599999999</v>
      </c>
      <c r="U32" s="2"/>
      <c r="V32" s="6">
        <f t="shared" si="18"/>
        <v>4.3397611353143892E-3</v>
      </c>
      <c r="W32" s="2"/>
      <c r="X32" s="7">
        <f t="shared" si="19"/>
        <v>72.075254000000029</v>
      </c>
      <c r="Y32" s="2"/>
      <c r="Z32" s="6">
        <f t="shared" si="20"/>
        <v>0.26998041906252307</v>
      </c>
    </row>
    <row r="33" spans="1:26" s="24" customFormat="1" hidden="1" outlineLevel="2" x14ac:dyDescent="0.25">
      <c r="A33" s="28"/>
      <c r="B33" s="11" t="str">
        <f>CONCATENATE("          ", "6115", " - ", "P.E.R.S.")</f>
        <v xml:space="preserve">          6115 - P.E.R.S.</v>
      </c>
      <c r="C33" s="11"/>
      <c r="D33" s="7">
        <v>2662.31</v>
      </c>
      <c r="E33" s="2"/>
      <c r="F33" s="6">
        <f t="shared" si="13"/>
        <v>6.1173137504049777E-2</v>
      </c>
      <c r="G33" s="2"/>
      <c r="H33" s="7">
        <v>1732.6646576923099</v>
      </c>
      <c r="I33" s="2"/>
      <c r="J33" s="6">
        <f t="shared" si="14"/>
        <v>6.2707272906963554E-2</v>
      </c>
      <c r="K33" s="2"/>
      <c r="L33" s="7">
        <f t="shared" si="15"/>
        <v>929.64534230769004</v>
      </c>
      <c r="M33" s="2"/>
      <c r="N33" s="6">
        <f t="shared" si="16"/>
        <v>0.53654083505452232</v>
      </c>
      <c r="O33" s="11"/>
      <c r="P33" s="7">
        <v>12807.81</v>
      </c>
      <c r="Q33" s="2"/>
      <c r="R33" s="6">
        <f t="shared" si="17"/>
        <v>0.22123473892946219</v>
      </c>
      <c r="S33" s="2"/>
      <c r="T33" s="7">
        <v>6237.592767692312</v>
      </c>
      <c r="U33" s="2"/>
      <c r="V33" s="6">
        <f t="shared" si="18"/>
        <v>0.1013978927058377</v>
      </c>
      <c r="W33" s="2"/>
      <c r="X33" s="7">
        <f t="shared" si="19"/>
        <v>6570.2172323076875</v>
      </c>
      <c r="Y33" s="2"/>
      <c r="Z33" s="6">
        <f t="shared" si="20"/>
        <v>1.0533257743817788</v>
      </c>
    </row>
    <row r="34" spans="1:26" s="24" customFormat="1" hidden="1" outlineLevel="2" x14ac:dyDescent="0.25">
      <c r="A34" s="28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3"/>
        <v>0</v>
      </c>
      <c r="G34" s="2"/>
      <c r="H34" s="7">
        <v>0</v>
      </c>
      <c r="I34" s="2"/>
      <c r="J34" s="6">
        <f t="shared" si="14"/>
        <v>0</v>
      </c>
      <c r="K34" s="2"/>
      <c r="L34" s="7">
        <f t="shared" si="15"/>
        <v>0</v>
      </c>
      <c r="M34" s="2"/>
      <c r="N34" s="6">
        <f t="shared" si="16"/>
        <v>0</v>
      </c>
      <c r="O34" s="11"/>
      <c r="P34" s="7"/>
      <c r="Q34" s="2"/>
      <c r="R34" s="6">
        <f t="shared" si="17"/>
        <v>0</v>
      </c>
      <c r="S34" s="2"/>
      <c r="T34" s="7">
        <v>0</v>
      </c>
      <c r="U34" s="2"/>
      <c r="V34" s="6">
        <f t="shared" si="18"/>
        <v>0</v>
      </c>
      <c r="W34" s="2"/>
      <c r="X34" s="7">
        <f t="shared" si="19"/>
        <v>0</v>
      </c>
      <c r="Y34" s="2"/>
      <c r="Z34" s="6">
        <f t="shared" si="20"/>
        <v>0</v>
      </c>
    </row>
    <row r="35" spans="1:26" s="24" customFormat="1" hidden="1" outlineLevel="2" x14ac:dyDescent="0.25">
      <c r="A35" s="28"/>
      <c r="B35" s="11" t="str">
        <f>CONCATENATE("          ", "6118", " - ", "VACATION")</f>
        <v xml:space="preserve">          6118 - VACATION</v>
      </c>
      <c r="C35" s="11"/>
      <c r="D35" s="7">
        <v>3600.57</v>
      </c>
      <c r="E35" s="2"/>
      <c r="F35" s="6">
        <f t="shared" si="13"/>
        <v>8.2731974752360354E-2</v>
      </c>
      <c r="G35" s="2"/>
      <c r="H35" s="7">
        <v>1905.1900961538499</v>
      </c>
      <c r="I35" s="2"/>
      <c r="J35" s="6">
        <f t="shared" si="14"/>
        <v>6.8951181504608952E-2</v>
      </c>
      <c r="K35" s="2"/>
      <c r="L35" s="7">
        <f t="shared" si="15"/>
        <v>1695.3799038461502</v>
      </c>
      <c r="M35" s="2"/>
      <c r="N35" s="6">
        <f t="shared" si="16"/>
        <v>0.88987440532508577</v>
      </c>
      <c r="O35" s="11"/>
      <c r="P35" s="7">
        <v>11284.54</v>
      </c>
      <c r="Q35" s="2"/>
      <c r="R35" s="6">
        <f t="shared" si="17"/>
        <v>0.19492264960512951</v>
      </c>
      <c r="S35" s="2"/>
      <c r="T35" s="7">
        <v>6858.6843461538592</v>
      </c>
      <c r="U35" s="2"/>
      <c r="V35" s="6">
        <f t="shared" si="18"/>
        <v>0.11149431605035859</v>
      </c>
      <c r="W35" s="2"/>
      <c r="X35" s="7">
        <f t="shared" si="19"/>
        <v>4425.8556538461416</v>
      </c>
      <c r="Y35" s="2"/>
      <c r="Z35" s="6">
        <f t="shared" si="20"/>
        <v>0.64529222085107718</v>
      </c>
    </row>
    <row r="36" spans="1:26" s="24" customFormat="1" hidden="1" outlineLevel="2" x14ac:dyDescent="0.25">
      <c r="A36" s="28"/>
      <c r="B36" s="11" t="str">
        <f>CONCATENATE("          ", "6119", " - ", "SICK LEAVE")</f>
        <v xml:space="preserve">          6119 - SICK LEAVE</v>
      </c>
      <c r="C36" s="11"/>
      <c r="D36" s="7">
        <v>2052.15</v>
      </c>
      <c r="E36" s="2"/>
      <c r="F36" s="6">
        <f t="shared" si="13"/>
        <v>4.7153206850042165E-2</v>
      </c>
      <c r="G36" s="2"/>
      <c r="H36" s="7">
        <v>677.92624999999998</v>
      </c>
      <c r="I36" s="2"/>
      <c r="J36" s="6">
        <f t="shared" si="14"/>
        <v>2.4534987875936446E-2</v>
      </c>
      <c r="K36" s="2"/>
      <c r="L36" s="7">
        <f t="shared" si="15"/>
        <v>1374.2237500000001</v>
      </c>
      <c r="M36" s="2"/>
      <c r="N36" s="6">
        <f t="shared" si="16"/>
        <v>2.0270991866740671</v>
      </c>
      <c r="O36" s="11"/>
      <c r="P36" s="7">
        <v>6623.36</v>
      </c>
      <c r="Q36" s="2"/>
      <c r="R36" s="6">
        <f t="shared" si="17"/>
        <v>0.114408108836393</v>
      </c>
      <c r="S36" s="2"/>
      <c r="T36" s="7">
        <v>2337.0284999999999</v>
      </c>
      <c r="U36" s="2"/>
      <c r="V36" s="6">
        <f t="shared" si="18"/>
        <v>3.7990579686585604E-2</v>
      </c>
      <c r="W36" s="2"/>
      <c r="X36" s="7">
        <f t="shared" si="19"/>
        <v>4286.3315000000002</v>
      </c>
      <c r="Y36" s="2"/>
      <c r="Z36" s="6">
        <f t="shared" si="20"/>
        <v>1.8340946633727404</v>
      </c>
    </row>
    <row r="37" spans="1:26" s="24" customFormat="1" hidden="1" outlineLevel="2" x14ac:dyDescent="0.25">
      <c r="A37" s="28"/>
      <c r="B37" s="11" t="str">
        <f>CONCATENATE("          ", "6156", " - ", "EMPLOYEE MEALS")</f>
        <v xml:space="preserve">          6156 - EMPLOYEE MEALS</v>
      </c>
      <c r="C37" s="11"/>
      <c r="D37" s="7">
        <v>618.47</v>
      </c>
      <c r="E37" s="2"/>
      <c r="F37" s="6">
        <f t="shared" si="13"/>
        <v>1.4210873396460091E-2</v>
      </c>
      <c r="G37" s="2"/>
      <c r="H37" s="7">
        <v>350</v>
      </c>
      <c r="I37" s="2"/>
      <c r="J37" s="6">
        <f t="shared" si="14"/>
        <v>1.2666932069052875E-2</v>
      </c>
      <c r="K37" s="2"/>
      <c r="L37" s="7">
        <f t="shared" si="15"/>
        <v>268.47000000000003</v>
      </c>
      <c r="M37" s="2"/>
      <c r="N37" s="6">
        <f t="shared" si="16"/>
        <v>0.76705714285714288</v>
      </c>
      <c r="O37" s="11"/>
      <c r="P37" s="7">
        <v>2420.4899999999998</v>
      </c>
      <c r="Q37" s="2"/>
      <c r="R37" s="6">
        <f t="shared" si="17"/>
        <v>4.1810151246104835E-2</v>
      </c>
      <c r="S37" s="2"/>
      <c r="T37" s="7">
        <v>1400</v>
      </c>
      <c r="U37" s="2"/>
      <c r="V37" s="6">
        <f t="shared" si="18"/>
        <v>2.2758306781975421E-2</v>
      </c>
      <c r="W37" s="2"/>
      <c r="X37" s="7">
        <f t="shared" si="19"/>
        <v>1020.4899999999998</v>
      </c>
      <c r="Y37" s="2"/>
      <c r="Z37" s="6">
        <f t="shared" si="20"/>
        <v>0.72892142857142839</v>
      </c>
    </row>
    <row r="38" spans="1:26" s="27" customFormat="1" outlineLevel="1" collapsed="1" x14ac:dyDescent="0.25">
      <c r="A38" s="29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31757.640000000003</v>
      </c>
      <c r="E38" s="1"/>
      <c r="F38" s="5">
        <f t="shared" ref="F38:F48" si="21">IF(D$12=0,0,D38/D$12)</f>
        <v>0.7297100933114895</v>
      </c>
      <c r="G38" s="1"/>
      <c r="H38" s="1">
        <f>SUM(OSRRefH22_1x_0)</f>
        <v>26897.1471153846</v>
      </c>
      <c r="I38" s="1"/>
      <c r="J38" s="5">
        <f t="shared" ref="J38:J48" si="22">IF(H$12=0,0,H38/H$12)</f>
        <v>0.97344095817685206</v>
      </c>
      <c r="K38" s="1"/>
      <c r="L38" s="1">
        <f t="shared" ref="L38:L48" si="23">+D38-H38</f>
        <v>4860.4928846154035</v>
      </c>
      <c r="M38" s="1"/>
      <c r="N38" s="5">
        <f t="shared" ref="N38:N48" si="24">IF(H38=0,0,L38/H38)</f>
        <v>0.18070663270586435</v>
      </c>
      <c r="O38" s="14"/>
      <c r="P38" s="1">
        <f>SUM(OSRRefP22_1x_0)</f>
        <v>128945.52</v>
      </c>
      <c r="Q38" s="1"/>
      <c r="R38" s="5">
        <f t="shared" ref="R38:R48" si="25">IF(P$12=0,0,P38/P$12)</f>
        <v>2.2273307031665639</v>
      </c>
      <c r="S38" s="1"/>
      <c r="T38" s="1">
        <f>SUM(OSRRefT22_1x_0)</f>
        <v>93483.035615384579</v>
      </c>
      <c r="U38" s="1"/>
      <c r="V38" s="5">
        <f t="shared" ref="V38:V48" si="26">IF(T$12=0,0,T38/T$12)</f>
        <v>1.5196540024608975</v>
      </c>
      <c r="W38" s="1"/>
      <c r="X38" s="1">
        <f t="shared" ref="X38:X48" si="27">+P38-T38</f>
        <v>35462.484384615425</v>
      </c>
      <c r="Y38" s="1"/>
      <c r="Z38" s="5">
        <f t="shared" ref="Z38:Z48" si="28">IF(T38=0,0,X38/T38)</f>
        <v>0.37934673549239489</v>
      </c>
    </row>
    <row r="39" spans="1:26" s="24" customFormat="1" hidden="1" outlineLevel="2" x14ac:dyDescent="0.25">
      <c r="A39" s="28"/>
      <c r="B39" s="11" t="str">
        <f>CONCATENATE("          ", "6001", " - ", "ADMINISTRATIVE SALARIES")</f>
        <v xml:space="preserve">          6001 - ADMINISTRATIVE SALARIES</v>
      </c>
      <c r="C39" s="11"/>
      <c r="D39" s="7">
        <v>10516.14</v>
      </c>
      <c r="E39" s="2"/>
      <c r="F39" s="6">
        <f t="shared" si="21"/>
        <v>0.24163424929171959</v>
      </c>
      <c r="G39" s="2"/>
      <c r="H39" s="7">
        <v>12452.884615384599</v>
      </c>
      <c r="I39" s="2"/>
      <c r="J39" s="6">
        <f t="shared" si="22"/>
        <v>0.4506852671052296</v>
      </c>
      <c r="K39" s="2"/>
      <c r="L39" s="7">
        <f t="shared" si="23"/>
        <v>-1936.7446153845995</v>
      </c>
      <c r="M39" s="2"/>
      <c r="N39" s="6">
        <f t="shared" si="24"/>
        <v>-0.15552578179291068</v>
      </c>
      <c r="O39" s="11"/>
      <c r="P39" s="7">
        <v>43862.03</v>
      </c>
      <c r="Q39" s="2"/>
      <c r="R39" s="6">
        <f t="shared" si="25"/>
        <v>0.75764746322487908</v>
      </c>
      <c r="S39" s="2"/>
      <c r="T39" s="7">
        <v>44830.384615384581</v>
      </c>
      <c r="U39" s="2"/>
      <c r="V39" s="6">
        <f t="shared" si="26"/>
        <v>0.72875974730776683</v>
      </c>
      <c r="W39" s="2"/>
      <c r="X39" s="7">
        <f t="shared" si="27"/>
        <v>-968.35461538458185</v>
      </c>
      <c r="Y39" s="2"/>
      <c r="Z39" s="6">
        <f t="shared" si="28"/>
        <v>-2.1600408376872784E-2</v>
      </c>
    </row>
    <row r="40" spans="1:26" s="24" customFormat="1" hidden="1" outlineLevel="2" x14ac:dyDescent="0.25">
      <c r="A40" s="28"/>
      <c r="B40" s="11" t="str">
        <f>CONCATENATE("          ", "6002", " - ", "STAFF SALARIES")</f>
        <v xml:space="preserve">          6002 - STAFF SALARIES</v>
      </c>
      <c r="C40" s="11"/>
      <c r="D40" s="7">
        <v>16649.230000000003</v>
      </c>
      <c r="E40" s="2"/>
      <c r="F40" s="6">
        <f t="shared" si="21"/>
        <v>0.38255711623610733</v>
      </c>
      <c r="G40" s="2"/>
      <c r="H40" s="7">
        <v>5679.6524999999992</v>
      </c>
      <c r="I40" s="2"/>
      <c r="J40" s="6">
        <f t="shared" si="22"/>
        <v>0.2055536354095038</v>
      </c>
      <c r="K40" s="2"/>
      <c r="L40" s="7">
        <f t="shared" si="23"/>
        <v>10969.577500000003</v>
      </c>
      <c r="M40" s="2"/>
      <c r="N40" s="6">
        <f t="shared" si="24"/>
        <v>1.9313818054889811</v>
      </c>
      <c r="O40" s="11"/>
      <c r="P40" s="7">
        <v>67539.849999999991</v>
      </c>
      <c r="Q40" s="2"/>
      <c r="R40" s="6">
        <f t="shared" si="25"/>
        <v>1.1666444991052363</v>
      </c>
      <c r="S40" s="2"/>
      <c r="T40" s="7">
        <v>20446.749</v>
      </c>
      <c r="U40" s="2"/>
      <c r="V40" s="6">
        <f t="shared" si="26"/>
        <v>0.33238099031146368</v>
      </c>
      <c r="W40" s="2"/>
      <c r="X40" s="7">
        <f t="shared" si="27"/>
        <v>47093.100999999995</v>
      </c>
      <c r="Y40" s="2"/>
      <c r="Z40" s="6">
        <f t="shared" si="28"/>
        <v>2.3032072727062869</v>
      </c>
    </row>
    <row r="41" spans="1:26" s="24" customFormat="1" hidden="1" outlineLevel="2" x14ac:dyDescent="0.25">
      <c r="A41" s="28"/>
      <c r="B41" s="11" t="str">
        <f>CONCATENATE("          ", "6003", " - ", "STAFF HOURLY-9 MONTH")</f>
        <v xml:space="preserve">          6003 - STAFF HOURLY-9 MONTH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8"/>
      <c r="B42" s="11" t="str">
        <f>CONCATENATE("          ", "6004", " - ", "STAFF HOURLY")</f>
        <v xml:space="preserve">          6004 - STAFF HOURLY</v>
      </c>
      <c r="C42" s="11"/>
      <c r="D42" s="7">
        <v>4641.7</v>
      </c>
      <c r="E42" s="2"/>
      <c r="F42" s="6">
        <f t="shared" si="21"/>
        <v>0.1066545039279978</v>
      </c>
      <c r="G42" s="2"/>
      <c r="H42" s="7">
        <v>3708</v>
      </c>
      <c r="I42" s="2"/>
      <c r="J42" s="6">
        <f t="shared" si="22"/>
        <v>0.13419709746299446</v>
      </c>
      <c r="K42" s="2"/>
      <c r="L42" s="7">
        <f t="shared" si="23"/>
        <v>933.69999999999982</v>
      </c>
      <c r="M42" s="2"/>
      <c r="N42" s="6">
        <f t="shared" si="24"/>
        <v>0.25180690399136996</v>
      </c>
      <c r="O42" s="11"/>
      <c r="P42" s="7">
        <v>15347.3</v>
      </c>
      <c r="Q42" s="2"/>
      <c r="R42" s="6">
        <f t="shared" si="25"/>
        <v>0.26510042768999037</v>
      </c>
      <c r="S42" s="2"/>
      <c r="T42" s="7">
        <v>13348.8</v>
      </c>
      <c r="U42" s="2"/>
      <c r="V42" s="6">
        <f t="shared" si="26"/>
        <v>0.21699720397945249</v>
      </c>
      <c r="W42" s="2"/>
      <c r="X42" s="7">
        <f t="shared" si="27"/>
        <v>1998.5</v>
      </c>
      <c r="Y42" s="2"/>
      <c r="Z42" s="6">
        <f t="shared" si="28"/>
        <v>0.14971383195493229</v>
      </c>
    </row>
    <row r="43" spans="1:26" s="24" customFormat="1" hidden="1" outlineLevel="2" x14ac:dyDescent="0.25">
      <c r="A43" s="28"/>
      <c r="B43" s="11" t="str">
        <f>CONCATENATE("          ", "6005", " - ", "TEMPORARY WAGES-HOURLY")</f>
        <v xml:space="preserve">          6005 - TEMPORARY WAGES-HOURLY</v>
      </c>
      <c r="C43" s="11"/>
      <c r="D43" s="7">
        <v>704.86</v>
      </c>
      <c r="E43" s="2"/>
      <c r="F43" s="6">
        <f t="shared" si="21"/>
        <v>1.6195896684121882E-2</v>
      </c>
      <c r="G43" s="2"/>
      <c r="H43" s="7">
        <v>1815.84</v>
      </c>
      <c r="I43" s="2"/>
      <c r="J43" s="6">
        <f t="shared" si="22"/>
        <v>6.5717491223625635E-2</v>
      </c>
      <c r="K43" s="2"/>
      <c r="L43" s="7">
        <f t="shared" si="23"/>
        <v>-1110.98</v>
      </c>
      <c r="M43" s="2"/>
      <c r="N43" s="6">
        <f t="shared" si="24"/>
        <v>-0.61182703321878584</v>
      </c>
      <c r="O43" s="11"/>
      <c r="P43" s="7">
        <v>2126.63</v>
      </c>
      <c r="Q43" s="2"/>
      <c r="R43" s="6">
        <f t="shared" si="25"/>
        <v>3.6734182725193631E-2</v>
      </c>
      <c r="S43" s="2"/>
      <c r="T43" s="7">
        <v>6975.8519999999999</v>
      </c>
      <c r="U43" s="2"/>
      <c r="V43" s="6">
        <f t="shared" si="26"/>
        <v>0.11339898562975485</v>
      </c>
      <c r="W43" s="2"/>
      <c r="X43" s="7">
        <f t="shared" si="27"/>
        <v>-4849.2219999999998</v>
      </c>
      <c r="Y43" s="2"/>
      <c r="Z43" s="6">
        <f t="shared" si="28"/>
        <v>-0.69514404835423682</v>
      </c>
    </row>
    <row r="44" spans="1:26" s="24" customFormat="1" hidden="1" outlineLevel="2" x14ac:dyDescent="0.25">
      <c r="A44" s="28"/>
      <c r="B44" s="11" t="str">
        <f>CONCATENATE("          ", "6006", " - ", "TEMPORARY PART TIME")</f>
        <v xml:space="preserve">          6006 - TEMPORARY PART TIME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8"/>
      <c r="B45" s="11" t="str">
        <f>CONCATENATE("          ", "6007", " - ", "STUDENT HOURLY")</f>
        <v xml:space="preserve">          6007 - STUDENT HOURLY</v>
      </c>
      <c r="C45" s="11"/>
      <c r="D45" s="7">
        <v>-754.29</v>
      </c>
      <c r="E45" s="2"/>
      <c r="F45" s="6">
        <f t="shared" si="21"/>
        <v>-1.7331672828457132E-2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-754.29</v>
      </c>
      <c r="M45" s="2"/>
      <c r="N45" s="6">
        <f t="shared" si="24"/>
        <v>0</v>
      </c>
      <c r="O45" s="11"/>
      <c r="P45" s="7">
        <v>69.709999999999994</v>
      </c>
      <c r="Q45" s="2"/>
      <c r="R45" s="6">
        <f t="shared" si="25"/>
        <v>1.2041304212642762E-3</v>
      </c>
      <c r="S45" s="2"/>
      <c r="T45" s="7">
        <v>2446.34</v>
      </c>
      <c r="U45" s="2"/>
      <c r="V45" s="6">
        <f t="shared" si="26"/>
        <v>3.9767540152155542E-2</v>
      </c>
      <c r="W45" s="2"/>
      <c r="X45" s="7">
        <f t="shared" si="27"/>
        <v>-2376.63</v>
      </c>
      <c r="Y45" s="2"/>
      <c r="Z45" s="6">
        <f t="shared" si="28"/>
        <v>-0.97150436979324217</v>
      </c>
    </row>
    <row r="46" spans="1:26" s="24" customFormat="1" hidden="1" outlineLevel="2" x14ac:dyDescent="0.25">
      <c r="A46" s="28"/>
      <c r="B46" s="11" t="str">
        <f>CONCATENATE("          ", "6008", " - ", "STUDENT HOURLY-FICA EXEMPT")</f>
        <v xml:space="preserve">          6008 - STUDENT HOURLY-FICA EXEMPT</v>
      </c>
      <c r="C46" s="11"/>
      <c r="D46" s="7"/>
      <c r="E46" s="2"/>
      <c r="F46" s="6">
        <f t="shared" si="21"/>
        <v>0</v>
      </c>
      <c r="G46" s="2"/>
      <c r="H46" s="7">
        <v>3240.77</v>
      </c>
      <c r="I46" s="2"/>
      <c r="J46" s="6">
        <f t="shared" si="22"/>
        <v>0.11728746697549854</v>
      </c>
      <c r="K46" s="2"/>
      <c r="L46" s="7">
        <f t="shared" si="23"/>
        <v>-3240.77</v>
      </c>
      <c r="M46" s="2"/>
      <c r="N46" s="6">
        <f t="shared" si="24"/>
        <v>-1</v>
      </c>
      <c r="O46" s="11"/>
      <c r="P46" s="7"/>
      <c r="Q46" s="2"/>
      <c r="R46" s="6">
        <f t="shared" si="25"/>
        <v>0</v>
      </c>
      <c r="S46" s="2"/>
      <c r="T46" s="7">
        <v>5434.91</v>
      </c>
      <c r="U46" s="2"/>
      <c r="V46" s="6">
        <f t="shared" si="26"/>
        <v>8.8349535080304312E-2</v>
      </c>
      <c r="W46" s="2"/>
      <c r="X46" s="7">
        <f t="shared" si="27"/>
        <v>-5434.91</v>
      </c>
      <c r="Y46" s="2"/>
      <c r="Z46" s="6">
        <f t="shared" si="28"/>
        <v>-1</v>
      </c>
    </row>
    <row r="47" spans="1:26" s="24" customFormat="1" hidden="1" outlineLevel="2" x14ac:dyDescent="0.25">
      <c r="A47" s="28"/>
      <c r="B47" s="11" t="str">
        <f>CONCATENATE("          ", "6009", " - ", "TEMPORARY-SEASONAL")</f>
        <v xml:space="preserve">          6009 - TEMPORARY-SEASONAL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4" customFormat="1" hidden="1" outlineLevel="2" x14ac:dyDescent="0.25">
      <c r="A48" s="28"/>
      <c r="B48" s="11" t="str">
        <f>CONCATENATE("          ", "6010", " - ", "GRATUITY")</f>
        <v xml:space="preserve">          6010 - GRATUITY</v>
      </c>
      <c r="C48" s="11"/>
      <c r="D48" s="7"/>
      <c r="E48" s="2"/>
      <c r="F48" s="6">
        <f t="shared" si="21"/>
        <v>0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0</v>
      </c>
      <c r="M48" s="2"/>
      <c r="N48" s="6">
        <f t="shared" si="24"/>
        <v>0</v>
      </c>
      <c r="O48" s="11"/>
      <c r="P48" s="7"/>
      <c r="Q48" s="2"/>
      <c r="R48" s="6">
        <f t="shared" si="25"/>
        <v>0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0</v>
      </c>
      <c r="Y48" s="2"/>
      <c r="Z48" s="6">
        <f t="shared" si="28"/>
        <v>0</v>
      </c>
    </row>
    <row r="49" spans="1:26" s="27" customFormat="1" outlineLevel="1" collapsed="1" x14ac:dyDescent="0.25">
      <c r="A49" s="29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15.05</v>
      </c>
      <c r="E49" s="1"/>
      <c r="F49" s="5">
        <f t="shared" ref="F49:F58" si="29">IF(D$12=0,0,D49/D$12)</f>
        <v>3.4581086328637505E-4</v>
      </c>
      <c r="G49" s="1"/>
      <c r="H49" s="1">
        <f>SUM(OSRRefH22_2x_0)</f>
        <v>575</v>
      </c>
      <c r="I49" s="1"/>
      <c r="J49" s="5">
        <f t="shared" ref="J49:J58" si="30">IF(H$12=0,0,H49/H$12)</f>
        <v>2.0809959827729724E-2</v>
      </c>
      <c r="K49" s="1"/>
      <c r="L49" s="1">
        <f t="shared" ref="L49:L58" si="31">+D49-H49</f>
        <v>-559.95000000000005</v>
      </c>
      <c r="M49" s="1"/>
      <c r="N49" s="5">
        <f t="shared" ref="N49:N58" si="32">IF(H49=0,0,L49/H49)</f>
        <v>-0.97382608695652184</v>
      </c>
      <c r="O49" s="14"/>
      <c r="P49" s="1">
        <f>SUM(OSRRefP22_2x_0)</f>
        <v>110.63</v>
      </c>
      <c r="Q49" s="1"/>
      <c r="R49" s="5">
        <f t="shared" ref="R49:R58" si="33">IF(P$12=0,0,P49/P$12)</f>
        <v>1.9109589514340393E-3</v>
      </c>
      <c r="S49" s="1"/>
      <c r="T49" s="1">
        <f>SUM(OSRRefT22_2x_0)</f>
        <v>2488</v>
      </c>
      <c r="U49" s="1"/>
      <c r="V49" s="5">
        <f t="shared" ref="V49:V58" si="34">IF(T$12=0,0,T49/T$12)</f>
        <v>4.0444762338253462E-2</v>
      </c>
      <c r="W49" s="1"/>
      <c r="X49" s="1">
        <f t="shared" ref="X49:X58" si="35">+P49-T49</f>
        <v>-2377.37</v>
      </c>
      <c r="Y49" s="1"/>
      <c r="Z49" s="5">
        <f t="shared" ref="Z49:Z58" si="36">IF(T49=0,0,X49/T49)</f>
        <v>-0.95553456591639863</v>
      </c>
    </row>
    <row r="50" spans="1:26" s="24" customFormat="1" hidden="1" outlineLevel="2" x14ac:dyDescent="0.25">
      <c r="A50" s="28"/>
      <c r="B50" s="11" t="str">
        <f>CONCATENATE("          ", "6362", " - ", "ADVERTISING EXPENSE")</f>
        <v xml:space="preserve">          6362 - ADVERTISING EXPENSE</v>
      </c>
      <c r="C50" s="11"/>
      <c r="D50" s="7">
        <v>15.05</v>
      </c>
      <c r="E50" s="2"/>
      <c r="F50" s="6">
        <f t="shared" si="29"/>
        <v>3.4581086328637505E-4</v>
      </c>
      <c r="G50" s="2"/>
      <c r="H50" s="7">
        <v>575</v>
      </c>
      <c r="I50" s="2"/>
      <c r="J50" s="6">
        <f t="shared" si="30"/>
        <v>2.0809959827729724E-2</v>
      </c>
      <c r="K50" s="2"/>
      <c r="L50" s="7">
        <f t="shared" si="31"/>
        <v>-559.95000000000005</v>
      </c>
      <c r="M50" s="2"/>
      <c r="N50" s="6">
        <f t="shared" si="32"/>
        <v>-0.97382608695652184</v>
      </c>
      <c r="O50" s="11"/>
      <c r="P50" s="7">
        <v>110.63</v>
      </c>
      <c r="Q50" s="2"/>
      <c r="R50" s="6">
        <f t="shared" si="33"/>
        <v>1.9109589514340393E-3</v>
      </c>
      <c r="S50" s="2"/>
      <c r="T50" s="7">
        <v>2488</v>
      </c>
      <c r="U50" s="2"/>
      <c r="V50" s="6">
        <f t="shared" si="34"/>
        <v>4.0444762338253462E-2</v>
      </c>
      <c r="W50" s="2"/>
      <c r="X50" s="7">
        <f t="shared" si="35"/>
        <v>-2377.37</v>
      </c>
      <c r="Y50" s="2"/>
      <c r="Z50" s="6">
        <f t="shared" si="36"/>
        <v>-0.95553456591639863</v>
      </c>
    </row>
    <row r="51" spans="1:26" s="27" customFormat="1" outlineLevel="1" collapsed="1" x14ac:dyDescent="0.25">
      <c r="A51" s="29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1531.8</v>
      </c>
      <c r="E51" s="1"/>
      <c r="F51" s="5">
        <f t="shared" si="29"/>
        <v>3.5196882417413242E-2</v>
      </c>
      <c r="G51" s="1"/>
      <c r="H51" s="1">
        <f>SUM(OSRRefH22_3x_0)</f>
        <v>20</v>
      </c>
      <c r="I51" s="1"/>
      <c r="J51" s="5">
        <f t="shared" si="30"/>
        <v>7.2382468966016435E-4</v>
      </c>
      <c r="K51" s="1"/>
      <c r="L51" s="1">
        <f t="shared" si="31"/>
        <v>1511.8</v>
      </c>
      <c r="M51" s="1"/>
      <c r="N51" s="5">
        <f t="shared" si="32"/>
        <v>75.59</v>
      </c>
      <c r="O51" s="14"/>
      <c r="P51" s="1">
        <f>SUM(OSRRefP22_3x_0)</f>
        <v>1338.28</v>
      </c>
      <c r="Q51" s="1"/>
      <c r="R51" s="5">
        <f t="shared" si="33"/>
        <v>2.311667852775148E-2</v>
      </c>
      <c r="S51" s="1"/>
      <c r="T51" s="1">
        <f>SUM(OSRRefT22_3x_0)</f>
        <v>45</v>
      </c>
      <c r="U51" s="1"/>
      <c r="V51" s="5">
        <f t="shared" si="34"/>
        <v>7.3151700370635282E-4</v>
      </c>
      <c r="W51" s="1"/>
      <c r="X51" s="1">
        <f t="shared" si="35"/>
        <v>1293.28</v>
      </c>
      <c r="Y51" s="1"/>
      <c r="Z51" s="5">
        <f t="shared" si="36"/>
        <v>28.739555555555555</v>
      </c>
    </row>
    <row r="52" spans="1:26" s="24" customFormat="1" hidden="1" outlineLevel="2" x14ac:dyDescent="0.25">
      <c r="A52" s="28"/>
      <c r="B52" s="11" t="str">
        <f>CONCATENATE("          ", "6272", " - ", "CASH (OVER/SHORT)")</f>
        <v xml:space="preserve">          6272 - CASH (OVER/SHORT)</v>
      </c>
      <c r="C52" s="11"/>
      <c r="D52" s="7">
        <v>1531.8</v>
      </c>
      <c r="E52" s="2"/>
      <c r="F52" s="6">
        <f t="shared" si="29"/>
        <v>3.5196882417413242E-2</v>
      </c>
      <c r="G52" s="2"/>
      <c r="H52" s="7">
        <v>20</v>
      </c>
      <c r="I52" s="2"/>
      <c r="J52" s="6">
        <f t="shared" si="30"/>
        <v>7.2382468966016435E-4</v>
      </c>
      <c r="K52" s="2"/>
      <c r="L52" s="7">
        <f t="shared" si="31"/>
        <v>1511.8</v>
      </c>
      <c r="M52" s="2"/>
      <c r="N52" s="6">
        <f t="shared" si="32"/>
        <v>75.59</v>
      </c>
      <c r="O52" s="11"/>
      <c r="P52" s="7">
        <v>1338.28</v>
      </c>
      <c r="Q52" s="2"/>
      <c r="R52" s="6">
        <f t="shared" si="33"/>
        <v>2.311667852775148E-2</v>
      </c>
      <c r="S52" s="2"/>
      <c r="T52" s="7">
        <v>45</v>
      </c>
      <c r="U52" s="2"/>
      <c r="V52" s="6">
        <f t="shared" si="34"/>
        <v>7.3151700370635282E-4</v>
      </c>
      <c r="W52" s="2"/>
      <c r="X52" s="7">
        <f t="shared" si="35"/>
        <v>1293.28</v>
      </c>
      <c r="Y52" s="2"/>
      <c r="Z52" s="6">
        <f t="shared" si="36"/>
        <v>28.739555555555555</v>
      </c>
    </row>
    <row r="53" spans="1:26" s="27" customFormat="1" outlineLevel="1" collapsed="1" x14ac:dyDescent="0.25">
      <c r="A53" s="29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758.49</v>
      </c>
      <c r="E53" s="1"/>
      <c r="F53" s="5">
        <f t="shared" si="29"/>
        <v>1.7428178185653329E-2</v>
      </c>
      <c r="G53" s="1"/>
      <c r="H53" s="1">
        <f>SUM(OSRRefH22_4x_0)</f>
        <v>5588</v>
      </c>
      <c r="I53" s="1"/>
      <c r="J53" s="5">
        <f t="shared" si="30"/>
        <v>0.20223661829104991</v>
      </c>
      <c r="K53" s="1"/>
      <c r="L53" s="1">
        <f t="shared" si="31"/>
        <v>-4829.51</v>
      </c>
      <c r="M53" s="1"/>
      <c r="N53" s="5">
        <f t="shared" si="32"/>
        <v>-0.86426449534717253</v>
      </c>
      <c r="O53" s="14"/>
      <c r="P53" s="1">
        <f>SUM(OSRRefP22_4x_0)</f>
        <v>1867.81</v>
      </c>
      <c r="Q53" s="1"/>
      <c r="R53" s="5">
        <f t="shared" si="33"/>
        <v>3.2263474998445389E-2</v>
      </c>
      <c r="S53" s="1"/>
      <c r="T53" s="1">
        <f>SUM(OSRRefT22_4x_0)</f>
        <v>11980</v>
      </c>
      <c r="U53" s="1"/>
      <c r="V53" s="5">
        <f t="shared" si="34"/>
        <v>0.19474608232004681</v>
      </c>
      <c r="W53" s="1"/>
      <c r="X53" s="1">
        <f t="shared" si="35"/>
        <v>-10112.19</v>
      </c>
      <c r="Y53" s="1"/>
      <c r="Z53" s="5">
        <f t="shared" si="36"/>
        <v>-0.84408931552587652</v>
      </c>
    </row>
    <row r="54" spans="1:26" s="24" customFormat="1" hidden="1" outlineLevel="2" x14ac:dyDescent="0.25">
      <c r="A54" s="28"/>
      <c r="B54" s="11" t="str">
        <f>CONCATENATE("          ", "6381", " - ", "BANK/CREDIT CARD FEES")</f>
        <v xml:space="preserve">          6381 - BANK/CREDIT CARD FEES</v>
      </c>
      <c r="C54" s="11"/>
      <c r="D54" s="7">
        <v>758.49</v>
      </c>
      <c r="E54" s="2"/>
      <c r="F54" s="6">
        <f t="shared" si="29"/>
        <v>1.7428178185653329E-2</v>
      </c>
      <c r="G54" s="2"/>
      <c r="H54" s="7">
        <v>5588</v>
      </c>
      <c r="I54" s="2"/>
      <c r="J54" s="6">
        <f t="shared" si="30"/>
        <v>0.20223661829104991</v>
      </c>
      <c r="K54" s="2"/>
      <c r="L54" s="7">
        <f t="shared" si="31"/>
        <v>-4829.51</v>
      </c>
      <c r="M54" s="2"/>
      <c r="N54" s="6">
        <f t="shared" si="32"/>
        <v>-0.86426449534717253</v>
      </c>
      <c r="O54" s="11"/>
      <c r="P54" s="7">
        <v>1867.81</v>
      </c>
      <c r="Q54" s="2"/>
      <c r="R54" s="6">
        <f t="shared" si="33"/>
        <v>3.2263474998445389E-2</v>
      </c>
      <c r="S54" s="2"/>
      <c r="T54" s="7">
        <v>11980</v>
      </c>
      <c r="U54" s="2"/>
      <c r="V54" s="6">
        <f t="shared" si="34"/>
        <v>0.19474608232004681</v>
      </c>
      <c r="W54" s="2"/>
      <c r="X54" s="7">
        <f t="shared" si="35"/>
        <v>-10112.19</v>
      </c>
      <c r="Y54" s="2"/>
      <c r="Z54" s="6">
        <f t="shared" si="36"/>
        <v>-0.84408931552587652</v>
      </c>
    </row>
    <row r="55" spans="1:26" s="27" customFormat="1" outlineLevel="1" collapsed="1" x14ac:dyDescent="0.25">
      <c r="A55" s="29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36778.129999999997</v>
      </c>
      <c r="E55" s="1"/>
      <c r="F55" s="5">
        <f t="shared" si="29"/>
        <v>0.84506823158528421</v>
      </c>
      <c r="G55" s="1"/>
      <c r="H55" s="1">
        <f>SUM(OSRRefH22_5x_0)</f>
        <v>37774</v>
      </c>
      <c r="I55" s="1"/>
      <c r="J55" s="5">
        <f t="shared" si="30"/>
        <v>1.3670876913611523</v>
      </c>
      <c r="K55" s="1"/>
      <c r="L55" s="1">
        <f t="shared" si="31"/>
        <v>-995.87000000000262</v>
      </c>
      <c r="M55" s="1"/>
      <c r="N55" s="5">
        <f t="shared" si="32"/>
        <v>-2.6363901095992022E-2</v>
      </c>
      <c r="O55" s="14"/>
      <c r="P55" s="1">
        <f>SUM(OSRRefP22_5x_0)</f>
        <v>149706.56</v>
      </c>
      <c r="Q55" s="1"/>
      <c r="R55" s="5">
        <f t="shared" si="33"/>
        <v>2.5859449599602016</v>
      </c>
      <c r="S55" s="1"/>
      <c r="T55" s="1">
        <f>SUM(OSRRefT22_5x_0)</f>
        <v>153472</v>
      </c>
      <c r="U55" s="1"/>
      <c r="V55" s="5">
        <f t="shared" si="34"/>
        <v>2.4948306131738085</v>
      </c>
      <c r="W55" s="1"/>
      <c r="X55" s="1">
        <f t="shared" si="35"/>
        <v>-3765.4400000000023</v>
      </c>
      <c r="Y55" s="1"/>
      <c r="Z55" s="5">
        <f t="shared" si="36"/>
        <v>-2.453502919099251E-2</v>
      </c>
    </row>
    <row r="56" spans="1:26" s="24" customFormat="1" hidden="1" outlineLevel="2" x14ac:dyDescent="0.25">
      <c r="A56" s="28"/>
      <c r="B56" s="11" t="str">
        <f>CONCATENATE("          ", "6321", " - ", "BUILDING DEPRECIATION")</f>
        <v xml:space="preserve">          6321 - BUILDING DEPRECIATION</v>
      </c>
      <c r="C56" s="11"/>
      <c r="D56" s="7">
        <v>23583.489999999998</v>
      </c>
      <c r="E56" s="2"/>
      <c r="F56" s="6">
        <f t="shared" si="29"/>
        <v>0.54188883961498946</v>
      </c>
      <c r="G56" s="2"/>
      <c r="H56" s="7"/>
      <c r="I56" s="2"/>
      <c r="J56" s="6">
        <f t="shared" si="30"/>
        <v>0</v>
      </c>
      <c r="K56" s="2"/>
      <c r="L56" s="7">
        <f t="shared" si="31"/>
        <v>23583.489999999998</v>
      </c>
      <c r="M56" s="2"/>
      <c r="N56" s="6">
        <f t="shared" si="32"/>
        <v>0</v>
      </c>
      <c r="O56" s="11"/>
      <c r="P56" s="7">
        <v>95118.150000000009</v>
      </c>
      <c r="Q56" s="2"/>
      <c r="R56" s="6">
        <f t="shared" si="33"/>
        <v>1.6430161817440629</v>
      </c>
      <c r="S56" s="2"/>
      <c r="T56" s="7"/>
      <c r="U56" s="2"/>
      <c r="V56" s="6">
        <f t="shared" si="34"/>
        <v>0</v>
      </c>
      <c r="W56" s="2"/>
      <c r="X56" s="7">
        <f t="shared" si="35"/>
        <v>95118.150000000009</v>
      </c>
      <c r="Y56" s="2"/>
      <c r="Z56" s="6">
        <f t="shared" si="36"/>
        <v>0</v>
      </c>
    </row>
    <row r="57" spans="1:26" s="24" customFormat="1" hidden="1" outlineLevel="2" x14ac:dyDescent="0.25">
      <c r="A57" s="28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13194.64</v>
      </c>
      <c r="E57" s="2"/>
      <c r="F57" s="6">
        <f t="shared" si="29"/>
        <v>0.3031793919702947</v>
      </c>
      <c r="G57" s="2"/>
      <c r="H57" s="7">
        <v>37224</v>
      </c>
      <c r="I57" s="2"/>
      <c r="J57" s="6">
        <f t="shared" si="30"/>
        <v>1.3471825123954979</v>
      </c>
      <c r="K57" s="2"/>
      <c r="L57" s="7">
        <f t="shared" si="31"/>
        <v>-24029.360000000001</v>
      </c>
      <c r="M57" s="2"/>
      <c r="N57" s="6">
        <f t="shared" si="32"/>
        <v>-0.64553406404470237</v>
      </c>
      <c r="O57" s="11"/>
      <c r="P57" s="7">
        <v>54588.409999999996</v>
      </c>
      <c r="Q57" s="2"/>
      <c r="R57" s="6">
        <f t="shared" si="33"/>
        <v>0.94292877821613874</v>
      </c>
      <c r="S57" s="2"/>
      <c r="T57" s="7">
        <v>151272</v>
      </c>
      <c r="U57" s="2"/>
      <c r="V57" s="6">
        <f t="shared" si="34"/>
        <v>2.4590675596592755</v>
      </c>
      <c r="W57" s="2"/>
      <c r="X57" s="7">
        <f t="shared" si="35"/>
        <v>-96683.59</v>
      </c>
      <c r="Y57" s="2"/>
      <c r="Z57" s="6">
        <f t="shared" si="36"/>
        <v>-0.63913738167010414</v>
      </c>
    </row>
    <row r="58" spans="1:26" s="24" customFormat="1" hidden="1" outlineLevel="2" x14ac:dyDescent="0.25">
      <c r="A58" s="28"/>
      <c r="B58" s="11" t="str">
        <f>CONCATENATE("          ", "6326", " - ", "VEHICLES DEPRECIATION EXPENSE")</f>
        <v xml:space="preserve">          6326 - VEHICLES DEPRECIATION EXPENSE</v>
      </c>
      <c r="C58" s="11"/>
      <c r="D58" s="7"/>
      <c r="E58" s="2"/>
      <c r="F58" s="6">
        <f t="shared" si="29"/>
        <v>0</v>
      </c>
      <c r="G58" s="2"/>
      <c r="H58" s="7">
        <v>550</v>
      </c>
      <c r="I58" s="2"/>
      <c r="J58" s="6">
        <f t="shared" si="30"/>
        <v>1.9905178965654517E-2</v>
      </c>
      <c r="K58" s="2"/>
      <c r="L58" s="7">
        <f t="shared" si="31"/>
        <v>-550</v>
      </c>
      <c r="M58" s="2"/>
      <c r="N58" s="6">
        <f t="shared" si="32"/>
        <v>-1</v>
      </c>
      <c r="O58" s="11"/>
      <c r="P58" s="7"/>
      <c r="Q58" s="2"/>
      <c r="R58" s="6">
        <f t="shared" si="33"/>
        <v>0</v>
      </c>
      <c r="S58" s="2"/>
      <c r="T58" s="7">
        <v>2200</v>
      </c>
      <c r="U58" s="2"/>
      <c r="V58" s="6">
        <f t="shared" si="34"/>
        <v>3.5763053514532801E-2</v>
      </c>
      <c r="W58" s="2"/>
      <c r="X58" s="7">
        <f t="shared" si="35"/>
        <v>-2200</v>
      </c>
      <c r="Y58" s="2"/>
      <c r="Z58" s="6">
        <f t="shared" si="36"/>
        <v>-1</v>
      </c>
    </row>
    <row r="59" spans="1:26" s="27" customFormat="1" outlineLevel="1" collapsed="1" x14ac:dyDescent="0.25">
      <c r="A59" s="29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SUM(OSRRefD22_6x_0)</f>
        <v>0</v>
      </c>
      <c r="E59" s="1"/>
      <c r="F59" s="5">
        <f t="shared" ref="F59:F77" si="37">IF(D$12=0,0,D59/D$12)</f>
        <v>0</v>
      </c>
      <c r="G59" s="1"/>
      <c r="H59" s="1">
        <f>SUM(OSRRefH22_6x_0)</f>
        <v>0</v>
      </c>
      <c r="I59" s="1"/>
      <c r="J59" s="5">
        <f t="shared" ref="J59:J77" si="38">IF(H$12=0,0,H59/H$12)</f>
        <v>0</v>
      </c>
      <c r="K59" s="1"/>
      <c r="L59" s="1">
        <f t="shared" ref="L59:L77" si="39">+D59-H59</f>
        <v>0</v>
      </c>
      <c r="M59" s="1"/>
      <c r="N59" s="5">
        <f t="shared" ref="N59:N77" si="40">IF(H59=0,0,L59/H59)</f>
        <v>0</v>
      </c>
      <c r="O59" s="14"/>
      <c r="P59" s="1">
        <f>SUM(OSRRefP22_6x_0)</f>
        <v>0</v>
      </c>
      <c r="Q59" s="1"/>
      <c r="R59" s="5">
        <f t="shared" ref="R59:R77" si="41">IF(P$12=0,0,P59/P$12)</f>
        <v>0</v>
      </c>
      <c r="S59" s="1"/>
      <c r="T59" s="1">
        <f>SUM(OSRRefT22_6x_0)</f>
        <v>0</v>
      </c>
      <c r="U59" s="1"/>
      <c r="V59" s="5">
        <f t="shared" ref="V59:V77" si="42">IF(T$12=0,0,T59/T$12)</f>
        <v>0</v>
      </c>
      <c r="W59" s="1"/>
      <c r="X59" s="1">
        <f t="shared" ref="X59:X77" si="43">+P59-T59</f>
        <v>0</v>
      </c>
      <c r="Y59" s="1"/>
      <c r="Z59" s="5">
        <f t="shared" ref="Z59:Z77" si="44">IF(T59=0,0,X59/T59)</f>
        <v>0</v>
      </c>
    </row>
    <row r="60" spans="1:26" s="24" customFormat="1" hidden="1" outlineLevel="2" x14ac:dyDescent="0.25">
      <c r="A60" s="28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37"/>
        <v>0</v>
      </c>
      <c r="G60" s="2"/>
      <c r="H60" s="7">
        <v>0</v>
      </c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/>
      <c r="Q60" s="2"/>
      <c r="R60" s="6">
        <f t="shared" si="41"/>
        <v>0</v>
      </c>
      <c r="S60" s="2"/>
      <c r="T60" s="7">
        <v>0</v>
      </c>
      <c r="U60" s="2"/>
      <c r="V60" s="6">
        <f t="shared" si="42"/>
        <v>0</v>
      </c>
      <c r="W60" s="2"/>
      <c r="X60" s="7">
        <f t="shared" si="43"/>
        <v>0</v>
      </c>
      <c r="Y60" s="2"/>
      <c r="Z60" s="6">
        <f t="shared" si="44"/>
        <v>0</v>
      </c>
    </row>
    <row r="61" spans="1:26" s="27" customFormat="1" outlineLevel="1" collapsed="1" x14ac:dyDescent="0.25">
      <c r="A61" s="29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SUM(OSRRefD22_7x_0)</f>
        <v>1984.06</v>
      </c>
      <c r="E61" s="1"/>
      <c r="F61" s="5">
        <f t="shared" si="37"/>
        <v>4.5588671190163806E-2</v>
      </c>
      <c r="G61" s="1"/>
      <c r="H61" s="1">
        <f>SUM(OSRRefH22_7x_0)</f>
        <v>332.33333333333297</v>
      </c>
      <c r="I61" s="1"/>
      <c r="J61" s="5">
        <f t="shared" si="38"/>
        <v>1.2027553593186384E-2</v>
      </c>
      <c r="K61" s="1"/>
      <c r="L61" s="1">
        <f t="shared" si="39"/>
        <v>1651.7266666666669</v>
      </c>
      <c r="M61" s="1"/>
      <c r="N61" s="5">
        <f t="shared" si="40"/>
        <v>4.9700902708124435</v>
      </c>
      <c r="O61" s="14"/>
      <c r="P61" s="1">
        <f>SUM(OSRRefP22_7x_0)</f>
        <v>3300.67</v>
      </c>
      <c r="Q61" s="1"/>
      <c r="R61" s="5">
        <f t="shared" si="41"/>
        <v>5.7013874014551123E-2</v>
      </c>
      <c r="S61" s="1"/>
      <c r="T61" s="1">
        <f>SUM(OSRRefT22_7x_0)</f>
        <v>1306.3333333333319</v>
      </c>
      <c r="U61" s="1"/>
      <c r="V61" s="5">
        <f t="shared" si="42"/>
        <v>2.1235667685371804E-2</v>
      </c>
      <c r="W61" s="1"/>
      <c r="X61" s="1">
        <f t="shared" si="43"/>
        <v>1994.3366666666682</v>
      </c>
      <c r="Y61" s="1"/>
      <c r="Z61" s="5">
        <f t="shared" si="44"/>
        <v>1.5266675172237845</v>
      </c>
    </row>
    <row r="62" spans="1:26" s="24" customFormat="1" hidden="1" outlineLevel="2" x14ac:dyDescent="0.25">
      <c r="A62" s="28"/>
      <c r="B62" s="11" t="str">
        <f>CONCATENATE("          ", "6351", " - ", "EQUIPMENT RENTAL")</f>
        <v xml:space="preserve">          6351 - EQUIPMENT RENTAL</v>
      </c>
      <c r="C62" s="11"/>
      <c r="D62" s="7">
        <v>1984.06</v>
      </c>
      <c r="E62" s="2"/>
      <c r="F62" s="6">
        <f t="shared" si="37"/>
        <v>4.5588671190163806E-2</v>
      </c>
      <c r="G62" s="2"/>
      <c r="H62" s="7">
        <v>332.33333333333297</v>
      </c>
      <c r="I62" s="2"/>
      <c r="J62" s="6">
        <f t="shared" si="38"/>
        <v>1.2027553593186384E-2</v>
      </c>
      <c r="K62" s="2"/>
      <c r="L62" s="7">
        <f t="shared" si="39"/>
        <v>1651.7266666666669</v>
      </c>
      <c r="M62" s="2"/>
      <c r="N62" s="6">
        <f t="shared" si="40"/>
        <v>4.9700902708124435</v>
      </c>
      <c r="O62" s="11"/>
      <c r="P62" s="7">
        <v>3300.67</v>
      </c>
      <c r="Q62" s="2"/>
      <c r="R62" s="6">
        <f t="shared" si="41"/>
        <v>5.7013874014551123E-2</v>
      </c>
      <c r="S62" s="2"/>
      <c r="T62" s="7">
        <v>1306.3333333333319</v>
      </c>
      <c r="U62" s="2"/>
      <c r="V62" s="6">
        <f t="shared" si="42"/>
        <v>2.1235667685371804E-2</v>
      </c>
      <c r="W62" s="2"/>
      <c r="X62" s="7">
        <f t="shared" si="43"/>
        <v>1994.3366666666682</v>
      </c>
      <c r="Y62" s="2"/>
      <c r="Z62" s="6">
        <f t="shared" si="44"/>
        <v>1.5266675172237845</v>
      </c>
    </row>
    <row r="63" spans="1:26" s="27" customFormat="1" outlineLevel="1" collapsed="1" x14ac:dyDescent="0.25">
      <c r="A63" s="29"/>
      <c r="B63" s="14" t="str">
        <f>CONCATENATE("     ","Freight out/Postage                               ")</f>
        <v xml:space="preserve">     Freight out/Postage                               </v>
      </c>
      <c r="C63" s="14"/>
      <c r="D63" s="1">
        <f>SUM(OSRRefD22_8x_0)</f>
        <v>0</v>
      </c>
      <c r="E63" s="1"/>
      <c r="F63" s="5">
        <f t="shared" si="37"/>
        <v>0</v>
      </c>
      <c r="G63" s="1"/>
      <c r="H63" s="1">
        <f>SUM(OSRRefH22_8x_0)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4"/>
      <c r="P63" s="1">
        <f>SUM(OSRRefP22_8x_0)</f>
        <v>-5.41</v>
      </c>
      <c r="Q63" s="1"/>
      <c r="R63" s="5">
        <f t="shared" si="41"/>
        <v>-9.3449226496051277E-5</v>
      </c>
      <c r="S63" s="1"/>
      <c r="T63" s="1">
        <f>SUM(OSRRefT22_8x_0)</f>
        <v>0</v>
      </c>
      <c r="U63" s="1"/>
      <c r="V63" s="5">
        <f t="shared" si="42"/>
        <v>0</v>
      </c>
      <c r="W63" s="1"/>
      <c r="X63" s="1">
        <f t="shared" si="43"/>
        <v>-5.41</v>
      </c>
      <c r="Y63" s="1"/>
      <c r="Z63" s="5">
        <f t="shared" si="44"/>
        <v>0</v>
      </c>
    </row>
    <row r="64" spans="1:26" s="24" customFormat="1" hidden="1" outlineLevel="2" x14ac:dyDescent="0.25">
      <c r="A64" s="28"/>
      <c r="B64" s="11" t="str">
        <f>CONCATENATE("          ", "6307", " - ", "POSTAGE")</f>
        <v xml:space="preserve">          6307 - POSTAGE</v>
      </c>
      <c r="C64" s="11"/>
      <c r="D64" s="7"/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>
        <v>-5.41</v>
      </c>
      <c r="Q64" s="2"/>
      <c r="R64" s="6">
        <f t="shared" si="41"/>
        <v>-9.3449226496051277E-5</v>
      </c>
      <c r="S64" s="2"/>
      <c r="T64" s="7"/>
      <c r="U64" s="2"/>
      <c r="V64" s="6">
        <f t="shared" si="42"/>
        <v>0</v>
      </c>
      <c r="W64" s="2"/>
      <c r="X64" s="7">
        <f t="shared" si="43"/>
        <v>-5.41</v>
      </c>
      <c r="Y64" s="2"/>
      <c r="Z64" s="6">
        <f t="shared" si="44"/>
        <v>0</v>
      </c>
    </row>
    <row r="65" spans="1:26" s="27" customFormat="1" outlineLevel="1" collapsed="1" x14ac:dyDescent="0.25">
      <c r="A65" s="29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0</v>
      </c>
      <c r="E65" s="1"/>
      <c r="F65" s="5">
        <f t="shared" si="37"/>
        <v>0</v>
      </c>
      <c r="G65" s="1"/>
      <c r="H65" s="1">
        <f>SUM(OSRRefH22_9x_0)</f>
        <v>0</v>
      </c>
      <c r="I65" s="1"/>
      <c r="J65" s="5">
        <f t="shared" si="38"/>
        <v>0</v>
      </c>
      <c r="K65" s="1"/>
      <c r="L65" s="1">
        <f t="shared" si="39"/>
        <v>0</v>
      </c>
      <c r="M65" s="1"/>
      <c r="N65" s="5">
        <f t="shared" si="40"/>
        <v>0</v>
      </c>
      <c r="O65" s="14"/>
      <c r="P65" s="1">
        <f>SUM(OSRRefP22_9x_0)</f>
        <v>3766.45</v>
      </c>
      <c r="Q65" s="1"/>
      <c r="R65" s="5">
        <f t="shared" si="41"/>
        <v>6.5059489673946827E-2</v>
      </c>
      <c r="S65" s="1"/>
      <c r="T65" s="1">
        <f>SUM(OSRRefT22_9x_0)</f>
        <v>4355</v>
      </c>
      <c r="U65" s="1"/>
      <c r="V65" s="5">
        <f t="shared" si="42"/>
        <v>7.0794590025359261E-2</v>
      </c>
      <c r="W65" s="1"/>
      <c r="X65" s="1">
        <f t="shared" si="43"/>
        <v>-588.55000000000018</v>
      </c>
      <c r="Y65" s="1"/>
      <c r="Z65" s="5">
        <f t="shared" si="44"/>
        <v>-0.13514351320321474</v>
      </c>
    </row>
    <row r="66" spans="1:26" s="24" customFormat="1" hidden="1" outlineLevel="2" x14ac:dyDescent="0.25">
      <c r="A66" s="28"/>
      <c r="B66" s="11" t="str">
        <f>CONCATENATE("          ", "6279", " - ", "GENERAL EXPENSE")</f>
        <v xml:space="preserve">          6279 - GENERAL EXPENSE</v>
      </c>
      <c r="C66" s="11"/>
      <c r="D66" s="7"/>
      <c r="E66" s="2"/>
      <c r="F66" s="6">
        <f t="shared" si="37"/>
        <v>0</v>
      </c>
      <c r="G66" s="2"/>
      <c r="H66" s="7">
        <v>0</v>
      </c>
      <c r="I66" s="2"/>
      <c r="J66" s="6">
        <f t="shared" si="38"/>
        <v>0</v>
      </c>
      <c r="K66" s="2"/>
      <c r="L66" s="7">
        <f t="shared" si="39"/>
        <v>0</v>
      </c>
      <c r="M66" s="2"/>
      <c r="N66" s="6">
        <f t="shared" si="40"/>
        <v>0</v>
      </c>
      <c r="O66" s="11"/>
      <c r="P66" s="7">
        <v>3766.45</v>
      </c>
      <c r="Q66" s="2"/>
      <c r="R66" s="6">
        <f t="shared" si="41"/>
        <v>6.5059489673946827E-2</v>
      </c>
      <c r="S66" s="2"/>
      <c r="T66" s="7">
        <v>4355</v>
      </c>
      <c r="U66" s="2"/>
      <c r="V66" s="6">
        <f t="shared" si="42"/>
        <v>7.0794590025359261E-2</v>
      </c>
      <c r="W66" s="2"/>
      <c r="X66" s="7">
        <f t="shared" si="43"/>
        <v>-588.55000000000018</v>
      </c>
      <c r="Y66" s="2"/>
      <c r="Z66" s="6">
        <f t="shared" si="44"/>
        <v>-0.13514351320321474</v>
      </c>
    </row>
    <row r="67" spans="1:26" s="27" customFormat="1" outlineLevel="1" collapsed="1" x14ac:dyDescent="0.25">
      <c r="A67" s="29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10352.129999999999</v>
      </c>
      <c r="E67" s="1"/>
      <c r="F67" s="5">
        <f t="shared" si="37"/>
        <v>0.23786571509320806</v>
      </c>
      <c r="G67" s="1"/>
      <c r="H67" s="1">
        <f>SUM(OSRRefH22_10x_0)</f>
        <v>4565</v>
      </c>
      <c r="I67" s="1"/>
      <c r="J67" s="5">
        <f t="shared" si="38"/>
        <v>0.16521298541493251</v>
      </c>
      <c r="K67" s="1"/>
      <c r="L67" s="1">
        <f t="shared" si="39"/>
        <v>5787.1299999999992</v>
      </c>
      <c r="M67" s="1"/>
      <c r="N67" s="5">
        <f t="shared" si="40"/>
        <v>1.2677174151150052</v>
      </c>
      <c r="O67" s="14"/>
      <c r="P67" s="1">
        <f>SUM(OSRRefP22_10x_0)</f>
        <v>23072.52</v>
      </c>
      <c r="Q67" s="1"/>
      <c r="R67" s="5">
        <f t="shared" si="41"/>
        <v>0.39854143203598397</v>
      </c>
      <c r="S67" s="1"/>
      <c r="T67" s="1">
        <f>SUM(OSRRefT22_10x_0)</f>
        <v>18260</v>
      </c>
      <c r="U67" s="1"/>
      <c r="V67" s="5">
        <f t="shared" si="42"/>
        <v>0.29683334417062229</v>
      </c>
      <c r="W67" s="1"/>
      <c r="X67" s="1">
        <f t="shared" si="43"/>
        <v>4812.5200000000004</v>
      </c>
      <c r="Y67" s="1"/>
      <c r="Z67" s="5">
        <f t="shared" si="44"/>
        <v>0.26355531215772182</v>
      </c>
    </row>
    <row r="68" spans="1:26" s="24" customFormat="1" hidden="1" outlineLevel="2" x14ac:dyDescent="0.25">
      <c r="A68" s="28"/>
      <c r="B68" s="11" t="str">
        <f>CONCATENATE("          ", "6314", " - ", "LIABILITY INSURANCE")</f>
        <v xml:space="preserve">          6314 - LIABILITY INSURANCE</v>
      </c>
      <c r="C68" s="11"/>
      <c r="D68" s="7">
        <v>10352.129999999999</v>
      </c>
      <c r="E68" s="2"/>
      <c r="F68" s="6">
        <f t="shared" si="37"/>
        <v>0.23786571509320806</v>
      </c>
      <c r="G68" s="2"/>
      <c r="H68" s="7">
        <v>4565</v>
      </c>
      <c r="I68" s="2"/>
      <c r="J68" s="6">
        <f t="shared" si="38"/>
        <v>0.16521298541493251</v>
      </c>
      <c r="K68" s="2"/>
      <c r="L68" s="7">
        <f t="shared" si="39"/>
        <v>5787.1299999999992</v>
      </c>
      <c r="M68" s="2"/>
      <c r="N68" s="6">
        <f t="shared" si="40"/>
        <v>1.2677174151150052</v>
      </c>
      <c r="O68" s="11"/>
      <c r="P68" s="7">
        <v>23072.52</v>
      </c>
      <c r="Q68" s="2"/>
      <c r="R68" s="6">
        <f t="shared" si="41"/>
        <v>0.39854143203598397</v>
      </c>
      <c r="S68" s="2"/>
      <c r="T68" s="7">
        <v>18260</v>
      </c>
      <c r="U68" s="2"/>
      <c r="V68" s="6">
        <f t="shared" si="42"/>
        <v>0.29683334417062229</v>
      </c>
      <c r="W68" s="2"/>
      <c r="X68" s="7">
        <f t="shared" si="43"/>
        <v>4812.5200000000004</v>
      </c>
      <c r="Y68" s="2"/>
      <c r="Z68" s="6">
        <f t="shared" si="44"/>
        <v>0.26355531215772182</v>
      </c>
    </row>
    <row r="69" spans="1:26" s="27" customFormat="1" outlineLevel="1" collapsed="1" x14ac:dyDescent="0.25">
      <c r="A69" s="29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7023.15</v>
      </c>
      <c r="E69" s="1"/>
      <c r="F69" s="5">
        <f t="shared" si="37"/>
        <v>0.16137419033154185</v>
      </c>
      <c r="G69" s="1"/>
      <c r="H69" s="1">
        <f>SUM(OSRRefH22_11x_0)</f>
        <v>7510</v>
      </c>
      <c r="I69" s="1"/>
      <c r="J69" s="5">
        <f t="shared" si="38"/>
        <v>0.27179617096739167</v>
      </c>
      <c r="K69" s="1"/>
      <c r="L69" s="1">
        <f t="shared" si="39"/>
        <v>-486.85000000000036</v>
      </c>
      <c r="M69" s="1"/>
      <c r="N69" s="5">
        <f t="shared" si="40"/>
        <v>-6.4826897470040001E-2</v>
      </c>
      <c r="O69" s="14"/>
      <c r="P69" s="1">
        <f>SUM(OSRRefP22_11x_0)</f>
        <v>29553.15</v>
      </c>
      <c r="Q69" s="1"/>
      <c r="R69" s="5">
        <f t="shared" si="41"/>
        <v>0.51048410499478336</v>
      </c>
      <c r="S69" s="1"/>
      <c r="T69" s="1">
        <f>SUM(OSRRefT22_11x_0)</f>
        <v>30040</v>
      </c>
      <c r="U69" s="1"/>
      <c r="V69" s="5">
        <f t="shared" si="42"/>
        <v>0.48832823980752976</v>
      </c>
      <c r="W69" s="1"/>
      <c r="X69" s="1">
        <f t="shared" si="43"/>
        <v>-486.84999999999854</v>
      </c>
      <c r="Y69" s="1"/>
      <c r="Z69" s="5">
        <f t="shared" si="44"/>
        <v>-1.6206724367509938E-2</v>
      </c>
    </row>
    <row r="70" spans="1:26" s="24" customFormat="1" hidden="1" outlineLevel="2" x14ac:dyDescent="0.25">
      <c r="A70" s="28"/>
      <c r="B70" s="11" t="str">
        <f>CONCATENATE("          ", "6401", " - ", "INTEREST EXPENSE")</f>
        <v xml:space="preserve">          6401 - INTEREST EXPENSE</v>
      </c>
      <c r="C70" s="11"/>
      <c r="D70" s="7">
        <v>7023.15</v>
      </c>
      <c r="E70" s="2"/>
      <c r="F70" s="6">
        <f t="shared" si="37"/>
        <v>0.16137419033154185</v>
      </c>
      <c r="G70" s="2"/>
      <c r="H70" s="7">
        <v>7510</v>
      </c>
      <c r="I70" s="2"/>
      <c r="J70" s="6">
        <f t="shared" si="38"/>
        <v>0.27179617096739167</v>
      </c>
      <c r="K70" s="2"/>
      <c r="L70" s="7">
        <f t="shared" si="39"/>
        <v>-486.85000000000036</v>
      </c>
      <c r="M70" s="2"/>
      <c r="N70" s="6">
        <f t="shared" si="40"/>
        <v>-6.4826897470040001E-2</v>
      </c>
      <c r="O70" s="11"/>
      <c r="P70" s="7">
        <v>29553.15</v>
      </c>
      <c r="Q70" s="2"/>
      <c r="R70" s="6">
        <f t="shared" si="41"/>
        <v>0.51048410499478336</v>
      </c>
      <c r="S70" s="2"/>
      <c r="T70" s="7">
        <v>30040</v>
      </c>
      <c r="U70" s="2"/>
      <c r="V70" s="6">
        <f t="shared" si="42"/>
        <v>0.48832823980752976</v>
      </c>
      <c r="W70" s="2"/>
      <c r="X70" s="7">
        <f t="shared" si="43"/>
        <v>-486.84999999999854</v>
      </c>
      <c r="Y70" s="2"/>
      <c r="Z70" s="6">
        <f t="shared" si="44"/>
        <v>-1.6206724367509938E-2</v>
      </c>
    </row>
    <row r="71" spans="1:26" s="27" customFormat="1" outlineLevel="1" collapsed="1" x14ac:dyDescent="0.25">
      <c r="A71" s="29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SUM(OSRRefD22_12x_0)</f>
        <v>0</v>
      </c>
      <c r="E71" s="1"/>
      <c r="F71" s="5">
        <f t="shared" si="37"/>
        <v>0</v>
      </c>
      <c r="G71" s="1"/>
      <c r="H71" s="1">
        <f>SUM(OSRRefH22_12x_0)</f>
        <v>1943</v>
      </c>
      <c r="I71" s="1"/>
      <c r="J71" s="5">
        <f t="shared" si="38"/>
        <v>7.0319568600484966E-2</v>
      </c>
      <c r="K71" s="1"/>
      <c r="L71" s="1">
        <f t="shared" si="39"/>
        <v>-1943</v>
      </c>
      <c r="M71" s="1"/>
      <c r="N71" s="5">
        <f t="shared" si="40"/>
        <v>-1</v>
      </c>
      <c r="O71" s="14"/>
      <c r="P71" s="1">
        <f>SUM(OSRRefP22_12x_0)</f>
        <v>5550</v>
      </c>
      <c r="Q71" s="1"/>
      <c r="R71" s="5">
        <f t="shared" si="41"/>
        <v>9.5867505924784588E-2</v>
      </c>
      <c r="S71" s="1"/>
      <c r="T71" s="1">
        <f>SUM(OSRRefT22_12x_0)</f>
        <v>7772</v>
      </c>
      <c r="U71" s="1"/>
      <c r="V71" s="5">
        <f t="shared" si="42"/>
        <v>0.12634111450679497</v>
      </c>
      <c r="W71" s="1"/>
      <c r="X71" s="1">
        <f t="shared" si="43"/>
        <v>-2222</v>
      </c>
      <c r="Y71" s="1"/>
      <c r="Z71" s="5">
        <f t="shared" si="44"/>
        <v>-0.28589809572825525</v>
      </c>
    </row>
    <row r="72" spans="1:26" s="24" customFormat="1" hidden="1" outlineLevel="2" x14ac:dyDescent="0.25">
      <c r="A72" s="28"/>
      <c r="B72" s="11" t="str">
        <f>CONCATENATE("          ", "6273", " - ", "RENT")</f>
        <v xml:space="preserve">          6273 - RENT</v>
      </c>
      <c r="C72" s="11"/>
      <c r="D72" s="7"/>
      <c r="E72" s="2"/>
      <c r="F72" s="6">
        <f t="shared" si="37"/>
        <v>0</v>
      </c>
      <c r="G72" s="2"/>
      <c r="H72" s="7">
        <v>1943</v>
      </c>
      <c r="I72" s="2"/>
      <c r="J72" s="6">
        <f t="shared" si="38"/>
        <v>7.0319568600484966E-2</v>
      </c>
      <c r="K72" s="2"/>
      <c r="L72" s="7">
        <f t="shared" si="39"/>
        <v>-1943</v>
      </c>
      <c r="M72" s="2"/>
      <c r="N72" s="6">
        <f t="shared" si="40"/>
        <v>-1</v>
      </c>
      <c r="O72" s="11"/>
      <c r="P72" s="7">
        <v>5550</v>
      </c>
      <c r="Q72" s="2"/>
      <c r="R72" s="6">
        <f t="shared" si="41"/>
        <v>9.5867505924784588E-2</v>
      </c>
      <c r="S72" s="2"/>
      <c r="T72" s="7">
        <v>7772</v>
      </c>
      <c r="U72" s="2"/>
      <c r="V72" s="6">
        <f t="shared" si="42"/>
        <v>0.12634111450679497</v>
      </c>
      <c r="W72" s="2"/>
      <c r="X72" s="7">
        <f t="shared" si="43"/>
        <v>-2222</v>
      </c>
      <c r="Y72" s="2"/>
      <c r="Z72" s="6">
        <f t="shared" si="44"/>
        <v>-0.28589809572825525</v>
      </c>
    </row>
    <row r="73" spans="1:26" s="27" customFormat="1" outlineLevel="1" collapsed="1" x14ac:dyDescent="0.25">
      <c r="A73" s="29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SUM(OSRRefD22_13x_0)</f>
        <v>3999.3799999999997</v>
      </c>
      <c r="E73" s="1"/>
      <c r="F73" s="5">
        <f t="shared" si="37"/>
        <v>9.1895617967459306E-2</v>
      </c>
      <c r="G73" s="1"/>
      <c r="H73" s="1">
        <f>SUM(OSRRefH22_13x_0)</f>
        <v>7332</v>
      </c>
      <c r="I73" s="1"/>
      <c r="J73" s="5">
        <f t="shared" si="38"/>
        <v>0.26535413122941626</v>
      </c>
      <c r="K73" s="1"/>
      <c r="L73" s="1">
        <f t="shared" si="39"/>
        <v>-3332.6200000000003</v>
      </c>
      <c r="M73" s="1"/>
      <c r="N73" s="5">
        <f t="shared" si="40"/>
        <v>-0.45453082378614296</v>
      </c>
      <c r="O73" s="14"/>
      <c r="P73" s="1">
        <f>SUM(OSRRefP22_13x_0)</f>
        <v>15007.130000000001</v>
      </c>
      <c r="Q73" s="1"/>
      <c r="R73" s="5">
        <f t="shared" si="41"/>
        <v>0.25922452688090319</v>
      </c>
      <c r="S73" s="1"/>
      <c r="T73" s="1">
        <f>SUM(OSRRefT22_13x_0)</f>
        <v>9162</v>
      </c>
      <c r="U73" s="1"/>
      <c r="V73" s="5">
        <f t="shared" si="42"/>
        <v>0.14893686195461345</v>
      </c>
      <c r="W73" s="1"/>
      <c r="X73" s="1">
        <f t="shared" si="43"/>
        <v>5845.130000000001</v>
      </c>
      <c r="Y73" s="1"/>
      <c r="Z73" s="5">
        <f t="shared" si="44"/>
        <v>0.63797533289674757</v>
      </c>
    </row>
    <row r="74" spans="1:26" s="24" customFormat="1" hidden="1" outlineLevel="2" x14ac:dyDescent="0.25">
      <c r="A74" s="28"/>
      <c r="B74" s="11" t="str">
        <f>CONCATENATE("          ", "6371", " - ", "COMPUTER SOFTWARE MAINTENANCE")</f>
        <v xml:space="preserve">          6371 - COMPUTER SOFTWARE MAINTENANCE</v>
      </c>
      <c r="C74" s="11"/>
      <c r="D74" s="7"/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0</v>
      </c>
      <c r="M74" s="2"/>
      <c r="N74" s="6">
        <f t="shared" si="40"/>
        <v>0</v>
      </c>
      <c r="O74" s="11"/>
      <c r="P74" s="7"/>
      <c r="Q74" s="2"/>
      <c r="R74" s="6">
        <f t="shared" si="41"/>
        <v>0</v>
      </c>
      <c r="S74" s="2"/>
      <c r="T74" s="7">
        <v>0</v>
      </c>
      <c r="U74" s="2"/>
      <c r="V74" s="6">
        <f t="shared" si="42"/>
        <v>0</v>
      </c>
      <c r="W74" s="2"/>
      <c r="X74" s="7">
        <f t="shared" si="43"/>
        <v>0</v>
      </c>
      <c r="Y74" s="2"/>
      <c r="Z74" s="6">
        <f t="shared" si="44"/>
        <v>0</v>
      </c>
    </row>
    <row r="75" spans="1:26" s="24" customFormat="1" hidden="1" outlineLevel="2" x14ac:dyDescent="0.25">
      <c r="A75" s="28"/>
      <c r="B75" s="11" t="str">
        <f>CONCATENATE("          ", "6372", " - ", "COMPUTER HARDWARE MAINTENANCE")</f>
        <v xml:space="preserve">          6372 - COMPUTER HARDWARE MAINTENANCE</v>
      </c>
      <c r="C75" s="11"/>
      <c r="D75" s="7"/>
      <c r="E75" s="2"/>
      <c r="F75" s="6">
        <f t="shared" si="37"/>
        <v>0</v>
      </c>
      <c r="G75" s="2"/>
      <c r="H75" s="7"/>
      <c r="I75" s="2"/>
      <c r="J75" s="6">
        <f t="shared" si="38"/>
        <v>0</v>
      </c>
      <c r="K75" s="2"/>
      <c r="L75" s="7">
        <f t="shared" si="39"/>
        <v>0</v>
      </c>
      <c r="M75" s="2"/>
      <c r="N75" s="6">
        <f t="shared" si="40"/>
        <v>0</v>
      </c>
      <c r="O75" s="11"/>
      <c r="P75" s="7"/>
      <c r="Q75" s="2"/>
      <c r="R75" s="6">
        <f t="shared" si="41"/>
        <v>0</v>
      </c>
      <c r="S75" s="2"/>
      <c r="T75" s="7">
        <v>0</v>
      </c>
      <c r="U75" s="2"/>
      <c r="V75" s="6">
        <f t="shared" si="42"/>
        <v>0</v>
      </c>
      <c r="W75" s="2"/>
      <c r="X75" s="7">
        <f t="shared" si="43"/>
        <v>0</v>
      </c>
      <c r="Y75" s="2"/>
      <c r="Z75" s="6">
        <f t="shared" si="44"/>
        <v>0</v>
      </c>
    </row>
    <row r="76" spans="1:26" s="24" customFormat="1" hidden="1" outlineLevel="2" x14ac:dyDescent="0.25">
      <c r="A76" s="28"/>
      <c r="B76" s="11" t="str">
        <f>CONCATENATE("          ", "6373", " - ", "MAINTENANCE CONTRACTS")</f>
        <v xml:space="preserve">          6373 - MAINTENANCE CONTRACTS</v>
      </c>
      <c r="C76" s="11"/>
      <c r="D76" s="7">
        <v>3179.47</v>
      </c>
      <c r="E76" s="2"/>
      <c r="F76" s="6">
        <f t="shared" si="37"/>
        <v>7.3056163820141587E-2</v>
      </c>
      <c r="G76" s="2"/>
      <c r="H76" s="7">
        <v>103</v>
      </c>
      <c r="I76" s="2"/>
      <c r="J76" s="6">
        <f t="shared" si="38"/>
        <v>3.7276971517498461E-3</v>
      </c>
      <c r="K76" s="2"/>
      <c r="L76" s="7">
        <f t="shared" si="39"/>
        <v>3076.47</v>
      </c>
      <c r="M76" s="2"/>
      <c r="N76" s="6">
        <f t="shared" si="40"/>
        <v>29.868640776699028</v>
      </c>
      <c r="O76" s="11"/>
      <c r="P76" s="7">
        <v>8877.18</v>
      </c>
      <c r="Q76" s="2"/>
      <c r="R76" s="6">
        <f t="shared" si="41"/>
        <v>0.15333929842259086</v>
      </c>
      <c r="S76" s="2"/>
      <c r="T76" s="7">
        <v>103</v>
      </c>
      <c r="U76" s="2"/>
      <c r="V76" s="6">
        <f t="shared" si="42"/>
        <v>1.6743611418167631E-3</v>
      </c>
      <c r="W76" s="2"/>
      <c r="X76" s="7">
        <f t="shared" si="43"/>
        <v>8774.18</v>
      </c>
      <c r="Y76" s="2"/>
      <c r="Z76" s="6">
        <f t="shared" si="44"/>
        <v>85.186213592233017</v>
      </c>
    </row>
    <row r="77" spans="1:26" s="24" customFormat="1" hidden="1" outlineLevel="2" x14ac:dyDescent="0.25">
      <c r="A77" s="28"/>
      <c r="B77" s="11" t="str">
        <f>CONCATENATE("          ", "6375", " - ", "OUTSIDE REPAIRS &amp; MAINTENANCE")</f>
        <v xml:space="preserve">          6375 - OUTSIDE REPAIRS &amp; MAINTENANCE</v>
      </c>
      <c r="C77" s="11"/>
      <c r="D77" s="7">
        <v>819.91</v>
      </c>
      <c r="E77" s="2"/>
      <c r="F77" s="6">
        <f t="shared" si="37"/>
        <v>1.8839454147317723E-2</v>
      </c>
      <c r="G77" s="2"/>
      <c r="H77" s="7">
        <v>7229</v>
      </c>
      <c r="I77" s="2"/>
      <c r="J77" s="6">
        <f t="shared" si="38"/>
        <v>0.26162643407766639</v>
      </c>
      <c r="K77" s="2"/>
      <c r="L77" s="7">
        <f t="shared" si="39"/>
        <v>-6409.09</v>
      </c>
      <c r="M77" s="2"/>
      <c r="N77" s="6">
        <f t="shared" si="40"/>
        <v>-0.8865804398948679</v>
      </c>
      <c r="O77" s="11"/>
      <c r="P77" s="7">
        <v>6129.95</v>
      </c>
      <c r="Q77" s="2"/>
      <c r="R77" s="6">
        <f t="shared" si="41"/>
        <v>0.1058852284583123</v>
      </c>
      <c r="S77" s="2"/>
      <c r="T77" s="7">
        <v>9059</v>
      </c>
      <c r="U77" s="2"/>
      <c r="V77" s="6">
        <f t="shared" si="42"/>
        <v>0.14726250081279668</v>
      </c>
      <c r="W77" s="2"/>
      <c r="X77" s="7">
        <f t="shared" si="43"/>
        <v>-2929.05</v>
      </c>
      <c r="Y77" s="2"/>
      <c r="Z77" s="6">
        <f t="shared" si="44"/>
        <v>-0.32333038966773375</v>
      </c>
    </row>
    <row r="78" spans="1:26" s="27" customFormat="1" outlineLevel="1" collapsed="1" x14ac:dyDescent="0.25">
      <c r="A78" s="29"/>
      <c r="B78" s="14" t="str">
        <f>CONCATENATE("     ","Royalty &amp; Commissions                             ")</f>
        <v xml:space="preserve">     Royalty &amp; Commissions                             </v>
      </c>
      <c r="C78" s="14"/>
      <c r="D78" s="1">
        <f>SUM(OSRRefD22_14x_0)</f>
        <v>0</v>
      </c>
      <c r="E78" s="1"/>
      <c r="F78" s="5">
        <f t="shared" ref="F78:F80" si="45">IF(D$12=0,0,D78/D$12)</f>
        <v>0</v>
      </c>
      <c r="G78" s="1"/>
      <c r="H78" s="1">
        <f>SUM(OSRRefH22_14x_0)</f>
        <v>0</v>
      </c>
      <c r="I78" s="1"/>
      <c r="J78" s="5">
        <f t="shared" ref="J78:J80" si="46">IF(H$12=0,0,H78/H$12)</f>
        <v>0</v>
      </c>
      <c r="K78" s="1"/>
      <c r="L78" s="1">
        <f t="shared" ref="L78:L80" si="47">+D78-H78</f>
        <v>0</v>
      </c>
      <c r="M78" s="1"/>
      <c r="N78" s="5">
        <f t="shared" ref="N78:N80" si="48">IF(H78=0,0,L78/H78)</f>
        <v>0</v>
      </c>
      <c r="O78" s="14"/>
      <c r="P78" s="1">
        <f>SUM(OSRRefP22_14x_0)</f>
        <v>0</v>
      </c>
      <c r="Q78" s="1"/>
      <c r="R78" s="5">
        <f t="shared" ref="R78:R80" si="49">IF(P$12=0,0,P78/P$12)</f>
        <v>0</v>
      </c>
      <c r="S78" s="1"/>
      <c r="T78" s="1">
        <f>SUM(OSRRefT22_14x_0)</f>
        <v>0</v>
      </c>
      <c r="U78" s="1"/>
      <c r="V78" s="5">
        <f t="shared" ref="V78:V80" si="50">IF(T$12=0,0,T78/T$12)</f>
        <v>0</v>
      </c>
      <c r="W78" s="1"/>
      <c r="X78" s="1">
        <f t="shared" ref="X78:X80" si="51">+P78-T78</f>
        <v>0</v>
      </c>
      <c r="Y78" s="1"/>
      <c r="Z78" s="5">
        <f t="shared" ref="Z78:Z80" si="52">IF(T78=0,0,X78/T78)</f>
        <v>0</v>
      </c>
    </row>
    <row r="79" spans="1:26" s="24" customFormat="1" hidden="1" outlineLevel="2" x14ac:dyDescent="0.25">
      <c r="A79" s="28"/>
      <c r="B79" s="11" t="str">
        <f>CONCATENATE("          ", "6254", " - ", "ROYALTY &amp; COMMISSIONS")</f>
        <v xml:space="preserve">          6254 - ROYALTY &amp; COMMISSIONS</v>
      </c>
      <c r="C79" s="11"/>
      <c r="D79" s="7"/>
      <c r="E79" s="2"/>
      <c r="F79" s="6">
        <f t="shared" si="45"/>
        <v>0</v>
      </c>
      <c r="G79" s="2"/>
      <c r="H79" s="7">
        <v>0</v>
      </c>
      <c r="I79" s="2"/>
      <c r="J79" s="6">
        <f t="shared" si="46"/>
        <v>0</v>
      </c>
      <c r="K79" s="2"/>
      <c r="L79" s="7">
        <f t="shared" si="47"/>
        <v>0</v>
      </c>
      <c r="M79" s="2"/>
      <c r="N79" s="6">
        <f t="shared" si="48"/>
        <v>0</v>
      </c>
      <c r="O79" s="11"/>
      <c r="P79" s="7"/>
      <c r="Q79" s="2"/>
      <c r="R79" s="6">
        <f t="shared" si="49"/>
        <v>0</v>
      </c>
      <c r="S79" s="2"/>
      <c r="T79" s="7">
        <v>0</v>
      </c>
      <c r="U79" s="2"/>
      <c r="V79" s="6">
        <f t="shared" si="50"/>
        <v>0</v>
      </c>
      <c r="W79" s="2"/>
      <c r="X79" s="7">
        <f t="shared" si="51"/>
        <v>0</v>
      </c>
      <c r="Y79" s="2"/>
      <c r="Z79" s="6">
        <f t="shared" si="52"/>
        <v>0</v>
      </c>
    </row>
    <row r="80" spans="1:26" s="24" customFormat="1" hidden="1" outlineLevel="2" x14ac:dyDescent="0.25">
      <c r="A80" s="28"/>
      <c r="B80" s="11" t="str">
        <f>CONCATENATE("          ", "6259", " - ", "ROYALTY &amp; COMMISSIONS")</f>
        <v xml:space="preserve">          6259 - ROYALTY &amp; COMMISSIONS</v>
      </c>
      <c r="C80" s="11"/>
      <c r="D80" s="7"/>
      <c r="E80" s="2"/>
      <c r="F80" s="6">
        <f t="shared" si="45"/>
        <v>0</v>
      </c>
      <c r="G80" s="2"/>
      <c r="H80" s="7">
        <v>0</v>
      </c>
      <c r="I80" s="2"/>
      <c r="J80" s="6">
        <f t="shared" si="46"/>
        <v>0</v>
      </c>
      <c r="K80" s="2"/>
      <c r="L80" s="7">
        <f t="shared" si="47"/>
        <v>0</v>
      </c>
      <c r="M80" s="2"/>
      <c r="N80" s="6">
        <f t="shared" si="48"/>
        <v>0</v>
      </c>
      <c r="O80" s="11"/>
      <c r="P80" s="7"/>
      <c r="Q80" s="2"/>
      <c r="R80" s="6">
        <f t="shared" si="49"/>
        <v>0</v>
      </c>
      <c r="S80" s="2"/>
      <c r="T80" s="7">
        <v>0</v>
      </c>
      <c r="U80" s="2"/>
      <c r="V80" s="6">
        <f t="shared" si="50"/>
        <v>0</v>
      </c>
      <c r="W80" s="2"/>
      <c r="X80" s="7">
        <f t="shared" si="51"/>
        <v>0</v>
      </c>
      <c r="Y80" s="2"/>
      <c r="Z80" s="6">
        <f t="shared" si="52"/>
        <v>0</v>
      </c>
    </row>
    <row r="81" spans="1:26" s="27" customFormat="1" outlineLevel="1" collapsed="1" x14ac:dyDescent="0.25">
      <c r="A81" s="29"/>
      <c r="B81" s="14" t="str">
        <f>CONCATENATE("     ","Services                                          ")</f>
        <v xml:space="preserve">     Services                                          </v>
      </c>
      <c r="C81" s="14"/>
      <c r="D81" s="1">
        <f>SUM(OSRRefD22_15x_0)</f>
        <v>6452.73</v>
      </c>
      <c r="E81" s="1"/>
      <c r="F81" s="5">
        <f t="shared" ref="F81:F86" si="53">IF(D$12=0,0,D81/D$12)</f>
        <v>0.14826738417633825</v>
      </c>
      <c r="G81" s="1"/>
      <c r="H81" s="1">
        <f>SUM(OSRRefH22_15x_0)</f>
        <v>7419</v>
      </c>
      <c r="I81" s="1"/>
      <c r="J81" s="5">
        <f t="shared" ref="J81:J86" si="54">IF(H$12=0,0,H81/H$12)</f>
        <v>0.26850276862943795</v>
      </c>
      <c r="K81" s="1"/>
      <c r="L81" s="1">
        <f t="shared" ref="L81:L86" si="55">+D81-H81</f>
        <v>-966.27000000000044</v>
      </c>
      <c r="M81" s="1"/>
      <c r="N81" s="5">
        <f t="shared" ref="N81:N86" si="56">IF(H81=0,0,L81/H81)</f>
        <v>-0.13024262029923175</v>
      </c>
      <c r="O81" s="14"/>
      <c r="P81" s="1">
        <f>SUM(OSRRefP22_15x_0)</f>
        <v>16980.79</v>
      </c>
      <c r="Q81" s="1"/>
      <c r="R81" s="5">
        <f t="shared" ref="R81:R86" si="57">IF(P$12=0,0,P81/P$12)</f>
        <v>0.29331639386171582</v>
      </c>
      <c r="S81" s="1"/>
      <c r="T81" s="1">
        <f>SUM(OSRRefT22_15x_0)</f>
        <v>26139</v>
      </c>
      <c r="U81" s="1"/>
      <c r="V81" s="5">
        <f t="shared" ref="V81:V86" si="58">IF(T$12=0,0,T81/T$12)</f>
        <v>0.4249138435528968</v>
      </c>
      <c r="W81" s="1"/>
      <c r="X81" s="1">
        <f t="shared" ref="X81:X86" si="59">+P81-T81</f>
        <v>-9158.2099999999991</v>
      </c>
      <c r="Y81" s="1"/>
      <c r="Z81" s="5">
        <f t="shared" ref="Z81:Z86" si="60">IF(T81=0,0,X81/T81)</f>
        <v>-0.35036573702130913</v>
      </c>
    </row>
    <row r="82" spans="1:26" s="24" customFormat="1" hidden="1" outlineLevel="2" x14ac:dyDescent="0.25">
      <c r="A82" s="28"/>
      <c r="B82" s="11" t="str">
        <f>CONCATENATE("          ", "6282", " - ", "JANITORIAL/EXTERMINATOR EXPENS")</f>
        <v xml:space="preserve">          6282 - JANITORIAL/EXTERMINATOR EXPENS</v>
      </c>
      <c r="C82" s="11"/>
      <c r="D82" s="7">
        <v>971.78</v>
      </c>
      <c r="E82" s="2"/>
      <c r="F82" s="6">
        <f t="shared" si="53"/>
        <v>2.2329041908600234E-2</v>
      </c>
      <c r="G82" s="2"/>
      <c r="H82" s="7">
        <v>955</v>
      </c>
      <c r="I82" s="2"/>
      <c r="J82" s="6">
        <f t="shared" si="54"/>
        <v>3.4562628931272849E-2</v>
      </c>
      <c r="K82" s="2"/>
      <c r="L82" s="7">
        <f t="shared" si="55"/>
        <v>16.779999999999973</v>
      </c>
      <c r="M82" s="2"/>
      <c r="N82" s="6">
        <f t="shared" si="56"/>
        <v>1.7570680628272224E-2</v>
      </c>
      <c r="O82" s="11"/>
      <c r="P82" s="7">
        <v>1752.65</v>
      </c>
      <c r="Q82" s="2"/>
      <c r="R82" s="6">
        <f t="shared" si="57"/>
        <v>3.0274267434067335E-2</v>
      </c>
      <c r="S82" s="2"/>
      <c r="T82" s="7">
        <v>3820</v>
      </c>
      <c r="U82" s="2"/>
      <c r="V82" s="6">
        <f t="shared" si="58"/>
        <v>6.2097665647961507E-2</v>
      </c>
      <c r="W82" s="2"/>
      <c r="X82" s="7">
        <f t="shared" si="59"/>
        <v>-2067.35</v>
      </c>
      <c r="Y82" s="2"/>
      <c r="Z82" s="6">
        <f t="shared" si="60"/>
        <v>-0.54119109947643973</v>
      </c>
    </row>
    <row r="83" spans="1:26" s="24" customFormat="1" hidden="1" outlineLevel="2" x14ac:dyDescent="0.25">
      <c r="A83" s="28"/>
      <c r="B83" s="11" t="str">
        <f>CONCATENATE("          ", "6283", " - ", "PLANT SERVICE")</f>
        <v xml:space="preserve">          6283 - PLANT SERVICE</v>
      </c>
      <c r="C83" s="11"/>
      <c r="D83" s="7"/>
      <c r="E83" s="2"/>
      <c r="F83" s="6">
        <f t="shared" si="53"/>
        <v>0</v>
      </c>
      <c r="G83" s="2"/>
      <c r="H83" s="7">
        <v>0</v>
      </c>
      <c r="I83" s="2"/>
      <c r="J83" s="6">
        <f t="shared" si="54"/>
        <v>0</v>
      </c>
      <c r="K83" s="2"/>
      <c r="L83" s="7">
        <f t="shared" si="55"/>
        <v>0</v>
      </c>
      <c r="M83" s="2"/>
      <c r="N83" s="6">
        <f t="shared" si="56"/>
        <v>0</v>
      </c>
      <c r="O83" s="11"/>
      <c r="P83" s="7"/>
      <c r="Q83" s="2"/>
      <c r="R83" s="6">
        <f t="shared" si="57"/>
        <v>0</v>
      </c>
      <c r="S83" s="2"/>
      <c r="T83" s="7">
        <v>186</v>
      </c>
      <c r="U83" s="2"/>
      <c r="V83" s="6">
        <f t="shared" si="58"/>
        <v>3.0236036153195919E-3</v>
      </c>
      <c r="W83" s="2"/>
      <c r="X83" s="7">
        <f t="shared" si="59"/>
        <v>-186</v>
      </c>
      <c r="Y83" s="2"/>
      <c r="Z83" s="6">
        <f t="shared" si="60"/>
        <v>-1</v>
      </c>
    </row>
    <row r="84" spans="1:26" s="24" customFormat="1" hidden="1" outlineLevel="2" x14ac:dyDescent="0.25">
      <c r="A84" s="28"/>
      <c r="B84" s="11" t="str">
        <f>CONCATENATE("          ", "6284", " - ", "TRASH REMOVAL EXPENSE")</f>
        <v xml:space="preserve">          6284 - TRASH REMOVAL EXPENSE</v>
      </c>
      <c r="C84" s="11"/>
      <c r="D84" s="7">
        <v>5369</v>
      </c>
      <c r="E84" s="2"/>
      <c r="F84" s="6">
        <f t="shared" si="53"/>
        <v>0.12336601494913937</v>
      </c>
      <c r="G84" s="2"/>
      <c r="H84" s="7">
        <v>3123</v>
      </c>
      <c r="I84" s="2"/>
      <c r="J84" s="6">
        <f t="shared" si="54"/>
        <v>0.11302522529043466</v>
      </c>
      <c r="K84" s="2"/>
      <c r="L84" s="7">
        <f t="shared" si="55"/>
        <v>2246</v>
      </c>
      <c r="M84" s="2"/>
      <c r="N84" s="6">
        <f t="shared" si="56"/>
        <v>0.71918027537624074</v>
      </c>
      <c r="O84" s="11"/>
      <c r="P84" s="7">
        <v>8130</v>
      </c>
      <c r="Q84" s="2"/>
      <c r="R84" s="6">
        <f t="shared" si="57"/>
        <v>0.1404329411114412</v>
      </c>
      <c r="S84" s="2"/>
      <c r="T84" s="7">
        <v>9669</v>
      </c>
      <c r="U84" s="2"/>
      <c r="V84" s="6">
        <f t="shared" si="58"/>
        <v>0.15717862019637169</v>
      </c>
      <c r="W84" s="2"/>
      <c r="X84" s="7">
        <f t="shared" si="59"/>
        <v>-1539</v>
      </c>
      <c r="Y84" s="2"/>
      <c r="Z84" s="6">
        <f t="shared" si="60"/>
        <v>-0.15916847657461991</v>
      </c>
    </row>
    <row r="85" spans="1:26" s="24" customFormat="1" hidden="1" outlineLevel="2" x14ac:dyDescent="0.25">
      <c r="A85" s="28"/>
      <c r="B85" s="11" t="str">
        <f>CONCATENATE("          ", "6285", " - ", "JANITORIAL SERVICES")</f>
        <v xml:space="preserve">          6285 - JANITORIAL SERVICES</v>
      </c>
      <c r="C85" s="11"/>
      <c r="D85" s="7"/>
      <c r="E85" s="2"/>
      <c r="F85" s="6">
        <f t="shared" si="53"/>
        <v>0</v>
      </c>
      <c r="G85" s="2"/>
      <c r="H85" s="7">
        <v>3341</v>
      </c>
      <c r="I85" s="2"/>
      <c r="J85" s="6">
        <f t="shared" si="54"/>
        <v>0.12091491440773044</v>
      </c>
      <c r="K85" s="2"/>
      <c r="L85" s="7">
        <f t="shared" si="55"/>
        <v>-3341</v>
      </c>
      <c r="M85" s="2"/>
      <c r="N85" s="6">
        <f t="shared" si="56"/>
        <v>-1</v>
      </c>
      <c r="O85" s="11"/>
      <c r="P85" s="7">
        <v>6411.93</v>
      </c>
      <c r="Q85" s="2"/>
      <c r="R85" s="6">
        <f t="shared" si="57"/>
        <v>0.110755988696271</v>
      </c>
      <c r="S85" s="2"/>
      <c r="T85" s="7">
        <v>12464</v>
      </c>
      <c r="U85" s="2"/>
      <c r="V85" s="6">
        <f t="shared" si="58"/>
        <v>0.20261395409324404</v>
      </c>
      <c r="W85" s="2"/>
      <c r="X85" s="7">
        <f t="shared" si="59"/>
        <v>-6052.07</v>
      </c>
      <c r="Y85" s="2"/>
      <c r="Z85" s="6">
        <f t="shared" si="60"/>
        <v>-0.48556402439024388</v>
      </c>
    </row>
    <row r="86" spans="1:26" s="24" customFormat="1" hidden="1" outlineLevel="2" x14ac:dyDescent="0.25">
      <c r="A86" s="28"/>
      <c r="B86" s="11" t="str">
        <f>CONCATENATE("          ", "6286", " - ", "LAUNDRY EXPENSE")</f>
        <v xml:space="preserve">          6286 - LAUNDRY EXPENSE</v>
      </c>
      <c r="C86" s="11"/>
      <c r="D86" s="7">
        <v>111.95</v>
      </c>
      <c r="E86" s="2"/>
      <c r="F86" s="6">
        <f t="shared" si="53"/>
        <v>2.5723273185986502E-3</v>
      </c>
      <c r="G86" s="2"/>
      <c r="H86" s="7">
        <v>0</v>
      </c>
      <c r="I86" s="2"/>
      <c r="J86" s="6">
        <f t="shared" si="54"/>
        <v>0</v>
      </c>
      <c r="K86" s="2"/>
      <c r="L86" s="7">
        <f t="shared" si="55"/>
        <v>111.95</v>
      </c>
      <c r="M86" s="2"/>
      <c r="N86" s="6">
        <f t="shared" si="56"/>
        <v>0</v>
      </c>
      <c r="O86" s="11"/>
      <c r="P86" s="7">
        <v>686.21</v>
      </c>
      <c r="Q86" s="2"/>
      <c r="R86" s="6">
        <f t="shared" si="57"/>
        <v>1.1853196619936295E-2</v>
      </c>
      <c r="S86" s="2"/>
      <c r="T86" s="7">
        <v>0</v>
      </c>
      <c r="U86" s="2"/>
      <c r="V86" s="6">
        <f t="shared" si="58"/>
        <v>0</v>
      </c>
      <c r="W86" s="2"/>
      <c r="X86" s="7">
        <f t="shared" si="59"/>
        <v>686.21</v>
      </c>
      <c r="Y86" s="2"/>
      <c r="Z86" s="6">
        <f t="shared" si="60"/>
        <v>0</v>
      </c>
    </row>
    <row r="87" spans="1:26" s="27" customFormat="1" outlineLevel="1" collapsed="1" x14ac:dyDescent="0.25">
      <c r="A87" s="29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SUM(OSRRefD22_16x_0)</f>
        <v>130.66999999999999</v>
      </c>
      <c r="E87" s="1"/>
      <c r="F87" s="5">
        <f t="shared" ref="F87:F100" si="61">IF(D$12=0,0,D87/D$12)</f>
        <v>3.0024654821017025E-3</v>
      </c>
      <c r="G87" s="1"/>
      <c r="H87" s="1">
        <f>SUM(OSRRefH22_16x_0)</f>
        <v>197</v>
      </c>
      <c r="I87" s="1"/>
      <c r="J87" s="5">
        <f t="shared" ref="J87:J100" si="62">IF(H$12=0,0,H87/H$12)</f>
        <v>7.1296731931526185E-3</v>
      </c>
      <c r="K87" s="1"/>
      <c r="L87" s="1">
        <f t="shared" ref="L87:L100" si="63">+D87-H87</f>
        <v>-66.330000000000013</v>
      </c>
      <c r="M87" s="1"/>
      <c r="N87" s="5">
        <f t="shared" ref="N87:N100" si="64">IF(H87=0,0,L87/H87)</f>
        <v>-0.33670050761421327</v>
      </c>
      <c r="O87" s="14"/>
      <c r="P87" s="1">
        <f>SUM(OSRRefP22_16x_0)</f>
        <v>271.33</v>
      </c>
      <c r="Q87" s="1"/>
      <c r="R87" s="5">
        <f t="shared" ref="R87:R100" si="65">IF(P$12=0,0,P87/P$12)</f>
        <v>4.686798267130054E-3</v>
      </c>
      <c r="S87" s="1"/>
      <c r="T87" s="1">
        <f>SUM(OSRRefT22_16x_0)</f>
        <v>788</v>
      </c>
      <c r="U87" s="1"/>
      <c r="V87" s="5">
        <f t="shared" ref="V87:V100" si="66">IF(T$12=0,0,T87/T$12)</f>
        <v>1.2809675531569023E-2</v>
      </c>
      <c r="W87" s="1"/>
      <c r="X87" s="1">
        <f t="shared" ref="X87:X100" si="67">+P87-T87</f>
        <v>-516.67000000000007</v>
      </c>
      <c r="Y87" s="1"/>
      <c r="Z87" s="5">
        <f t="shared" ref="Z87:Z100" si="68">IF(T87=0,0,X87/T87)</f>
        <v>-0.65567258883248736</v>
      </c>
    </row>
    <row r="88" spans="1:26" s="24" customFormat="1" hidden="1" outlineLevel="2" x14ac:dyDescent="0.25">
      <c r="A88" s="28"/>
      <c r="B88" s="11" t="str">
        <f>CONCATENATE("          ", "6275", " - ", "SUBSCRIPTIONS")</f>
        <v xml:space="preserve">          6275 - SUBSCRIPTIONS</v>
      </c>
      <c r="C88" s="11"/>
      <c r="D88" s="7">
        <v>130.66999999999999</v>
      </c>
      <c r="E88" s="2"/>
      <c r="F88" s="6">
        <f t="shared" si="61"/>
        <v>3.0024654821017025E-3</v>
      </c>
      <c r="G88" s="2"/>
      <c r="H88" s="7">
        <v>197</v>
      </c>
      <c r="I88" s="2"/>
      <c r="J88" s="6">
        <f t="shared" si="62"/>
        <v>7.1296731931526185E-3</v>
      </c>
      <c r="K88" s="2"/>
      <c r="L88" s="7">
        <f t="shared" si="63"/>
        <v>-66.330000000000013</v>
      </c>
      <c r="M88" s="2"/>
      <c r="N88" s="6">
        <f t="shared" si="64"/>
        <v>-0.33670050761421327</v>
      </c>
      <c r="O88" s="11"/>
      <c r="P88" s="7">
        <v>271.33</v>
      </c>
      <c r="Q88" s="2"/>
      <c r="R88" s="6">
        <f t="shared" si="65"/>
        <v>4.686798267130054E-3</v>
      </c>
      <c r="S88" s="2"/>
      <c r="T88" s="7">
        <v>788</v>
      </c>
      <c r="U88" s="2"/>
      <c r="V88" s="6">
        <f t="shared" si="66"/>
        <v>1.2809675531569023E-2</v>
      </c>
      <c r="W88" s="2"/>
      <c r="X88" s="7">
        <f t="shared" si="67"/>
        <v>-516.67000000000007</v>
      </c>
      <c r="Y88" s="2"/>
      <c r="Z88" s="6">
        <f t="shared" si="68"/>
        <v>-0.65567258883248736</v>
      </c>
    </row>
    <row r="89" spans="1:26" s="27" customFormat="1" outlineLevel="1" collapsed="1" x14ac:dyDescent="0.25">
      <c r="A89" s="29"/>
      <c r="B89" s="14" t="str">
        <f>CONCATENATE("     ","Supplies                                          ")</f>
        <v xml:space="preserve">     Supplies                                          </v>
      </c>
      <c r="C89" s="14"/>
      <c r="D89" s="1">
        <f>SUM(OSRRefD22_17x_0)</f>
        <v>6392.76</v>
      </c>
      <c r="E89" s="1"/>
      <c r="F89" s="5">
        <f t="shared" si="61"/>
        <v>0.14688942554037257</v>
      </c>
      <c r="G89" s="1"/>
      <c r="H89" s="1">
        <f>SUM(OSRRefH22_17x_0)</f>
        <v>2743</v>
      </c>
      <c r="I89" s="1"/>
      <c r="J89" s="5">
        <f t="shared" si="62"/>
        <v>9.9272556186891528E-2</v>
      </c>
      <c r="K89" s="1"/>
      <c r="L89" s="1">
        <f t="shared" si="63"/>
        <v>3649.76</v>
      </c>
      <c r="M89" s="1"/>
      <c r="N89" s="5">
        <f t="shared" si="64"/>
        <v>1.330572366022603</v>
      </c>
      <c r="O89" s="14"/>
      <c r="P89" s="1">
        <f>SUM(OSRRefP22_17x_0)</f>
        <v>-21642.68</v>
      </c>
      <c r="Q89" s="1"/>
      <c r="R89" s="5">
        <f t="shared" si="65"/>
        <v>-0.37384319876184086</v>
      </c>
      <c r="S89" s="1"/>
      <c r="T89" s="1">
        <f>SUM(OSRRefT22_17x_0)</f>
        <v>11431</v>
      </c>
      <c r="U89" s="1"/>
      <c r="V89" s="5">
        <f t="shared" si="66"/>
        <v>0.18582157487482931</v>
      </c>
      <c r="W89" s="1"/>
      <c r="X89" s="1">
        <f t="shared" si="67"/>
        <v>-33073.68</v>
      </c>
      <c r="Y89" s="1"/>
      <c r="Z89" s="5">
        <f t="shared" si="68"/>
        <v>-2.8933321669145307</v>
      </c>
    </row>
    <row r="90" spans="1:26" s="24" customFormat="1" hidden="1" outlineLevel="2" x14ac:dyDescent="0.25">
      <c r="A90" s="28"/>
      <c r="B90" s="11" t="str">
        <f>CONCATENATE("          ", "6234", " - ", "EXPENDABLE SUPPLIES &amp; EQUIPMEN")</f>
        <v xml:space="preserve">          6234 - EXPENDABLE SUPPLIES &amp; EQUIPMEN</v>
      </c>
      <c r="C90" s="11"/>
      <c r="D90" s="7">
        <v>55.13</v>
      </c>
      <c r="E90" s="2"/>
      <c r="F90" s="6">
        <f t="shared" si="61"/>
        <v>1.2667477005300902E-3</v>
      </c>
      <c r="G90" s="2"/>
      <c r="H90" s="7"/>
      <c r="I90" s="2"/>
      <c r="J90" s="6">
        <f t="shared" si="62"/>
        <v>0</v>
      </c>
      <c r="K90" s="2"/>
      <c r="L90" s="7">
        <f t="shared" si="63"/>
        <v>55.13</v>
      </c>
      <c r="M90" s="2"/>
      <c r="N90" s="6">
        <f t="shared" si="64"/>
        <v>0</v>
      </c>
      <c r="O90" s="11"/>
      <c r="P90" s="7">
        <v>310.91000000000003</v>
      </c>
      <c r="Q90" s="2"/>
      <c r="R90" s="6">
        <f t="shared" si="65"/>
        <v>5.3704804084819422E-3</v>
      </c>
      <c r="S90" s="2"/>
      <c r="T90" s="7">
        <v>0</v>
      </c>
      <c r="U90" s="2"/>
      <c r="V90" s="6">
        <f t="shared" si="66"/>
        <v>0</v>
      </c>
      <c r="W90" s="2"/>
      <c r="X90" s="7">
        <f t="shared" si="67"/>
        <v>310.91000000000003</v>
      </c>
      <c r="Y90" s="2"/>
      <c r="Z90" s="6">
        <f t="shared" si="68"/>
        <v>0</v>
      </c>
    </row>
    <row r="91" spans="1:26" s="24" customFormat="1" hidden="1" outlineLevel="2" x14ac:dyDescent="0.25">
      <c r="A91" s="28"/>
      <c r="B91" s="11" t="str">
        <f>CONCATENATE("          ", "6235", " - ", "COVID-19 EXPENSES")</f>
        <v xml:space="preserve">          6235 - COVID-19 EXPENSES</v>
      </c>
      <c r="C91" s="11"/>
      <c r="D91" s="7">
        <v>5932</v>
      </c>
      <c r="E91" s="2"/>
      <c r="F91" s="6">
        <f t="shared" si="61"/>
        <v>0.13630232830662969</v>
      </c>
      <c r="G91" s="2"/>
      <c r="H91" s="7">
        <v>0</v>
      </c>
      <c r="I91" s="2"/>
      <c r="J91" s="6">
        <f t="shared" si="62"/>
        <v>0</v>
      </c>
      <c r="K91" s="2"/>
      <c r="L91" s="7">
        <f t="shared" si="63"/>
        <v>5932</v>
      </c>
      <c r="M91" s="2"/>
      <c r="N91" s="6">
        <f t="shared" si="64"/>
        <v>0</v>
      </c>
      <c r="O91" s="11"/>
      <c r="P91" s="7">
        <v>6881.86</v>
      </c>
      <c r="Q91" s="2"/>
      <c r="R91" s="6">
        <f t="shared" si="65"/>
        <v>0.11887328906730414</v>
      </c>
      <c r="S91" s="2"/>
      <c r="T91" s="7">
        <v>0</v>
      </c>
      <c r="U91" s="2"/>
      <c r="V91" s="6">
        <f t="shared" si="66"/>
        <v>0</v>
      </c>
      <c r="W91" s="2"/>
      <c r="X91" s="7">
        <f t="shared" si="67"/>
        <v>6881.86</v>
      </c>
      <c r="Y91" s="2"/>
      <c r="Z91" s="6">
        <f t="shared" si="68"/>
        <v>0</v>
      </c>
    </row>
    <row r="92" spans="1:26" s="24" customFormat="1" hidden="1" outlineLevel="2" x14ac:dyDescent="0.25">
      <c r="A92" s="28"/>
      <c r="B92" s="11" t="str">
        <f>CONCATENATE("          ", "6237", " - ", "JANITORIAL SUPPLIES")</f>
        <v xml:space="preserve">          6237 - JANITORIAL SUPPLIES</v>
      </c>
      <c r="C92" s="11"/>
      <c r="D92" s="7">
        <v>268.05</v>
      </c>
      <c r="E92" s="2"/>
      <c r="F92" s="6">
        <f t="shared" si="61"/>
        <v>6.1591097610573312E-3</v>
      </c>
      <c r="G92" s="2"/>
      <c r="H92" s="7">
        <v>1305</v>
      </c>
      <c r="I92" s="2"/>
      <c r="J92" s="6">
        <f t="shared" si="62"/>
        <v>4.7229561000325722E-2</v>
      </c>
      <c r="K92" s="2"/>
      <c r="L92" s="7">
        <f t="shared" si="63"/>
        <v>-1036.95</v>
      </c>
      <c r="M92" s="2"/>
      <c r="N92" s="6">
        <f t="shared" si="64"/>
        <v>-0.7945977011494253</v>
      </c>
      <c r="O92" s="11"/>
      <c r="P92" s="7">
        <v>268.05</v>
      </c>
      <c r="Q92" s="2"/>
      <c r="R92" s="6">
        <f t="shared" si="65"/>
        <v>4.6301414347997318E-3</v>
      </c>
      <c r="S92" s="2"/>
      <c r="T92" s="7">
        <v>2808</v>
      </c>
      <c r="U92" s="2"/>
      <c r="V92" s="6">
        <f t="shared" si="66"/>
        <v>4.5646661031276417E-2</v>
      </c>
      <c r="W92" s="2"/>
      <c r="X92" s="7">
        <f t="shared" si="67"/>
        <v>-2539.9499999999998</v>
      </c>
      <c r="Y92" s="2"/>
      <c r="Z92" s="6">
        <f t="shared" si="68"/>
        <v>-0.90454059829059819</v>
      </c>
    </row>
    <row r="93" spans="1:26" s="24" customFormat="1" hidden="1" outlineLevel="2" x14ac:dyDescent="0.25">
      <c r="A93" s="28"/>
      <c r="B93" s="11" t="str">
        <f>CONCATENATE("          ", "6239", " - ", "KITCHEN SUPPLIES")</f>
        <v xml:space="preserve">          6239 - KITCHEN SUPPLIES</v>
      </c>
      <c r="C93" s="11"/>
      <c r="D93" s="7">
        <v>19.829999999999998</v>
      </c>
      <c r="E93" s="2"/>
      <c r="F93" s="6">
        <f t="shared" si="61"/>
        <v>4.5564315076204758E-4</v>
      </c>
      <c r="G93" s="2"/>
      <c r="H93" s="7">
        <v>43</v>
      </c>
      <c r="I93" s="2"/>
      <c r="J93" s="6">
        <f t="shared" si="62"/>
        <v>1.5562230827693532E-3</v>
      </c>
      <c r="K93" s="2"/>
      <c r="L93" s="7">
        <f t="shared" si="63"/>
        <v>-23.17</v>
      </c>
      <c r="M93" s="2"/>
      <c r="N93" s="6">
        <f t="shared" si="64"/>
        <v>-0.53883720930232559</v>
      </c>
      <c r="O93" s="11"/>
      <c r="P93" s="7">
        <v>19.829999999999998</v>
      </c>
      <c r="Q93" s="2"/>
      <c r="R93" s="6">
        <f t="shared" si="65"/>
        <v>3.4253200765558167E-4</v>
      </c>
      <c r="S93" s="2"/>
      <c r="T93" s="7">
        <v>192</v>
      </c>
      <c r="U93" s="2"/>
      <c r="V93" s="6">
        <f t="shared" si="66"/>
        <v>3.121139215813772E-3</v>
      </c>
      <c r="W93" s="2"/>
      <c r="X93" s="7">
        <f t="shared" si="67"/>
        <v>-172.17000000000002</v>
      </c>
      <c r="Y93" s="2"/>
      <c r="Z93" s="6">
        <f t="shared" si="68"/>
        <v>-0.89671875000000012</v>
      </c>
    </row>
    <row r="94" spans="1:26" s="24" customFormat="1" hidden="1" outlineLevel="2" x14ac:dyDescent="0.25">
      <c r="A94" s="28"/>
      <c r="B94" s="11" t="str">
        <f>CONCATENATE("          ", "6241", " - ", "OFFICE EXPENSE")</f>
        <v xml:space="preserve">          6241 - OFFICE EXPENSE</v>
      </c>
      <c r="C94" s="11"/>
      <c r="D94" s="7">
        <v>117.75</v>
      </c>
      <c r="E94" s="2"/>
      <c r="F94" s="6">
        <f t="shared" si="61"/>
        <v>2.7055966213933992E-3</v>
      </c>
      <c r="G94" s="2"/>
      <c r="H94" s="7">
        <v>220</v>
      </c>
      <c r="I94" s="2"/>
      <c r="J94" s="6">
        <f t="shared" si="62"/>
        <v>7.9620715862618076E-3</v>
      </c>
      <c r="K94" s="2"/>
      <c r="L94" s="7">
        <f t="shared" si="63"/>
        <v>-102.25</v>
      </c>
      <c r="M94" s="2"/>
      <c r="N94" s="6">
        <f t="shared" si="64"/>
        <v>-0.46477272727272728</v>
      </c>
      <c r="O94" s="11"/>
      <c r="P94" s="7">
        <v>-29123.329999999998</v>
      </c>
      <c r="Q94" s="2"/>
      <c r="R94" s="6">
        <f t="shared" si="65"/>
        <v>-0.50305964168008221</v>
      </c>
      <c r="S94" s="2"/>
      <c r="T94" s="7">
        <v>5362</v>
      </c>
      <c r="U94" s="2"/>
      <c r="V94" s="6">
        <f t="shared" si="66"/>
        <v>8.7164314974965865E-2</v>
      </c>
      <c r="W94" s="2"/>
      <c r="X94" s="7">
        <f t="shared" si="67"/>
        <v>-34485.33</v>
      </c>
      <c r="Y94" s="2"/>
      <c r="Z94" s="6">
        <f t="shared" si="68"/>
        <v>-6.4314304364043267</v>
      </c>
    </row>
    <row r="95" spans="1:26" s="24" customFormat="1" hidden="1" outlineLevel="2" x14ac:dyDescent="0.25">
      <c r="A95" s="28"/>
      <c r="B95" s="11" t="str">
        <f>CONCATENATE("          ", "6243", " - ", "PAPER SUPPLIES")</f>
        <v xml:space="preserve">          6243 - PAPER SUPPLIES</v>
      </c>
      <c r="C95" s="11"/>
      <c r="D95" s="7"/>
      <c r="E95" s="2"/>
      <c r="F95" s="6">
        <f t="shared" si="61"/>
        <v>0</v>
      </c>
      <c r="G95" s="2"/>
      <c r="H95" s="7">
        <v>1175</v>
      </c>
      <c r="I95" s="2"/>
      <c r="J95" s="6">
        <f t="shared" si="62"/>
        <v>4.2524700517534653E-2</v>
      </c>
      <c r="K95" s="2"/>
      <c r="L95" s="7">
        <f t="shared" si="63"/>
        <v>-1175</v>
      </c>
      <c r="M95" s="2"/>
      <c r="N95" s="6">
        <f t="shared" si="64"/>
        <v>-1</v>
      </c>
      <c r="O95" s="11"/>
      <c r="P95" s="7"/>
      <c r="Q95" s="2"/>
      <c r="R95" s="6">
        <f t="shared" si="65"/>
        <v>0</v>
      </c>
      <c r="S95" s="2"/>
      <c r="T95" s="7">
        <v>2658</v>
      </c>
      <c r="U95" s="2"/>
      <c r="V95" s="6">
        <f t="shared" si="66"/>
        <v>4.3208271018921905E-2</v>
      </c>
      <c r="W95" s="2"/>
      <c r="X95" s="7">
        <f t="shared" si="67"/>
        <v>-2658</v>
      </c>
      <c r="Y95" s="2"/>
      <c r="Z95" s="6">
        <f t="shared" si="68"/>
        <v>-1</v>
      </c>
    </row>
    <row r="96" spans="1:26" s="24" customFormat="1" hidden="1" outlineLevel="2" x14ac:dyDescent="0.25">
      <c r="A96" s="28"/>
      <c r="B96" s="11" t="str">
        <f>CONCATENATE("          ", "6244", " - ", "SAFETY SUPPLY EXPENSE")</f>
        <v xml:space="preserve">          6244 - SAFETY SUPPLY EXPENSE</v>
      </c>
      <c r="C96" s="11"/>
      <c r="D96" s="7"/>
      <c r="E96" s="2"/>
      <c r="F96" s="6">
        <f t="shared" si="61"/>
        <v>0</v>
      </c>
      <c r="G96" s="2"/>
      <c r="H96" s="7">
        <v>0</v>
      </c>
      <c r="I96" s="2"/>
      <c r="J96" s="6">
        <f t="shared" si="62"/>
        <v>0</v>
      </c>
      <c r="K96" s="2"/>
      <c r="L96" s="7">
        <f t="shared" si="63"/>
        <v>0</v>
      </c>
      <c r="M96" s="2"/>
      <c r="N96" s="6">
        <f t="shared" si="64"/>
        <v>0</v>
      </c>
      <c r="O96" s="11"/>
      <c r="P96" s="7"/>
      <c r="Q96" s="2"/>
      <c r="R96" s="6">
        <f t="shared" si="65"/>
        <v>0</v>
      </c>
      <c r="S96" s="2"/>
      <c r="T96" s="7">
        <v>0</v>
      </c>
      <c r="U96" s="2"/>
      <c r="V96" s="6">
        <f t="shared" si="66"/>
        <v>0</v>
      </c>
      <c r="W96" s="2"/>
      <c r="X96" s="7">
        <f t="shared" si="67"/>
        <v>0</v>
      </c>
      <c r="Y96" s="2"/>
      <c r="Z96" s="6">
        <f t="shared" si="68"/>
        <v>0</v>
      </c>
    </row>
    <row r="97" spans="1:26" s="24" customFormat="1" hidden="1" outlineLevel="2" x14ac:dyDescent="0.25">
      <c r="A97" s="28"/>
      <c r="B97" s="11" t="str">
        <f>CONCATENATE("          ", "6245", " - ", "PRINTING")</f>
        <v xml:space="preserve">          6245 - PRINTING</v>
      </c>
      <c r="C97" s="11"/>
      <c r="D97" s="7"/>
      <c r="E97" s="2"/>
      <c r="F97" s="6">
        <f t="shared" si="61"/>
        <v>0</v>
      </c>
      <c r="G97" s="2"/>
      <c r="H97" s="7">
        <v>0</v>
      </c>
      <c r="I97" s="2"/>
      <c r="J97" s="6">
        <f t="shared" si="62"/>
        <v>0</v>
      </c>
      <c r="K97" s="2"/>
      <c r="L97" s="7">
        <f t="shared" si="63"/>
        <v>0</v>
      </c>
      <c r="M97" s="2"/>
      <c r="N97" s="6">
        <f t="shared" si="64"/>
        <v>0</v>
      </c>
      <c r="O97" s="11"/>
      <c r="P97" s="7"/>
      <c r="Q97" s="2"/>
      <c r="R97" s="6">
        <f t="shared" si="65"/>
        <v>0</v>
      </c>
      <c r="S97" s="2"/>
      <c r="T97" s="7">
        <v>0</v>
      </c>
      <c r="U97" s="2"/>
      <c r="V97" s="6">
        <f t="shared" si="66"/>
        <v>0</v>
      </c>
      <c r="W97" s="2"/>
      <c r="X97" s="7">
        <f t="shared" si="67"/>
        <v>0</v>
      </c>
      <c r="Y97" s="2"/>
      <c r="Z97" s="6">
        <f t="shared" si="68"/>
        <v>0</v>
      </c>
    </row>
    <row r="98" spans="1:26" s="24" customFormat="1" hidden="1" outlineLevel="2" x14ac:dyDescent="0.25">
      <c r="A98" s="28"/>
      <c r="B98" s="11" t="str">
        <f>CONCATENATE("          ", "6246", " - ", "REPLACEMENTS")</f>
        <v xml:space="preserve">          6246 - REPLACEMENTS</v>
      </c>
      <c r="C98" s="11"/>
      <c r="D98" s="7"/>
      <c r="E98" s="2"/>
      <c r="F98" s="6">
        <f t="shared" si="61"/>
        <v>0</v>
      </c>
      <c r="G98" s="2"/>
      <c r="H98" s="7">
        <v>0</v>
      </c>
      <c r="I98" s="2"/>
      <c r="J98" s="6">
        <f t="shared" si="62"/>
        <v>0</v>
      </c>
      <c r="K98" s="2"/>
      <c r="L98" s="7">
        <f t="shared" si="63"/>
        <v>0</v>
      </c>
      <c r="M98" s="2"/>
      <c r="N98" s="6">
        <f t="shared" si="64"/>
        <v>0</v>
      </c>
      <c r="O98" s="11"/>
      <c r="P98" s="7"/>
      <c r="Q98" s="2"/>
      <c r="R98" s="6">
        <f t="shared" si="65"/>
        <v>0</v>
      </c>
      <c r="S98" s="2"/>
      <c r="T98" s="7">
        <v>0</v>
      </c>
      <c r="U98" s="2"/>
      <c r="V98" s="6">
        <f t="shared" si="66"/>
        <v>0</v>
      </c>
      <c r="W98" s="2"/>
      <c r="X98" s="7">
        <f t="shared" si="67"/>
        <v>0</v>
      </c>
      <c r="Y98" s="2"/>
      <c r="Z98" s="6">
        <f t="shared" si="68"/>
        <v>0</v>
      </c>
    </row>
    <row r="99" spans="1:26" s="24" customFormat="1" hidden="1" outlineLevel="2" x14ac:dyDescent="0.25">
      <c r="A99" s="28"/>
      <c r="B99" s="11" t="str">
        <f>CONCATENATE("          ", "6247", " - ", "STORE SUPPLIES")</f>
        <v xml:space="preserve">          6247 - STORE SUPPLIES</v>
      </c>
      <c r="C99" s="11"/>
      <c r="D99" s="7"/>
      <c r="E99" s="2"/>
      <c r="F99" s="6">
        <f t="shared" si="61"/>
        <v>0</v>
      </c>
      <c r="G99" s="2"/>
      <c r="H99" s="7">
        <v>0</v>
      </c>
      <c r="I99" s="2"/>
      <c r="J99" s="6">
        <f t="shared" si="62"/>
        <v>0</v>
      </c>
      <c r="K99" s="2"/>
      <c r="L99" s="7">
        <f t="shared" si="63"/>
        <v>0</v>
      </c>
      <c r="M99" s="2"/>
      <c r="N99" s="6">
        <f t="shared" si="64"/>
        <v>0</v>
      </c>
      <c r="O99" s="11"/>
      <c r="P99" s="7"/>
      <c r="Q99" s="2"/>
      <c r="R99" s="6">
        <f t="shared" si="65"/>
        <v>0</v>
      </c>
      <c r="S99" s="2"/>
      <c r="T99" s="7">
        <v>411</v>
      </c>
      <c r="U99" s="2"/>
      <c r="V99" s="6">
        <f t="shared" si="66"/>
        <v>6.6811886338513553E-3</v>
      </c>
      <c r="W99" s="2"/>
      <c r="X99" s="7">
        <f t="shared" si="67"/>
        <v>-411</v>
      </c>
      <c r="Y99" s="2"/>
      <c r="Z99" s="6">
        <f t="shared" si="68"/>
        <v>-1</v>
      </c>
    </row>
    <row r="100" spans="1:26" s="24" customFormat="1" hidden="1" outlineLevel="2" x14ac:dyDescent="0.25">
      <c r="A100" s="28"/>
      <c r="B100" s="11" t="str">
        <f>CONCATENATE("          ", "6248", " - ", "UNIFORMS")</f>
        <v xml:space="preserve">          6248 - UNIFORMS</v>
      </c>
      <c r="C100" s="11"/>
      <c r="D100" s="7"/>
      <c r="E100" s="2"/>
      <c r="F100" s="6">
        <f t="shared" si="61"/>
        <v>0</v>
      </c>
      <c r="G100" s="2"/>
      <c r="H100" s="7">
        <v>0</v>
      </c>
      <c r="I100" s="2"/>
      <c r="J100" s="6">
        <f t="shared" si="62"/>
        <v>0</v>
      </c>
      <c r="K100" s="2"/>
      <c r="L100" s="7">
        <f t="shared" si="63"/>
        <v>0</v>
      </c>
      <c r="M100" s="2"/>
      <c r="N100" s="6">
        <f t="shared" si="64"/>
        <v>0</v>
      </c>
      <c r="O100" s="11"/>
      <c r="P100" s="7"/>
      <c r="Q100" s="2"/>
      <c r="R100" s="6">
        <f t="shared" si="65"/>
        <v>0</v>
      </c>
      <c r="S100" s="2"/>
      <c r="T100" s="7">
        <v>0</v>
      </c>
      <c r="U100" s="2"/>
      <c r="V100" s="6">
        <f t="shared" si="66"/>
        <v>0</v>
      </c>
      <c r="W100" s="2"/>
      <c r="X100" s="7">
        <f t="shared" si="67"/>
        <v>0</v>
      </c>
      <c r="Y100" s="2"/>
      <c r="Z100" s="6">
        <f t="shared" si="68"/>
        <v>0</v>
      </c>
    </row>
    <row r="101" spans="1:26" s="27" customFormat="1" outlineLevel="1" collapsed="1" x14ac:dyDescent="0.25">
      <c r="A101" s="29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SUM(OSRRefD22_18x_0)</f>
        <v>364.66</v>
      </c>
      <c r="E101" s="1"/>
      <c r="F101" s="5">
        <f t="shared" ref="F101:F103" si="69">IF(D$12=0,0,D101/D$12)</f>
        <v>8.3789627512298685E-3</v>
      </c>
      <c r="G101" s="1"/>
      <c r="H101" s="1">
        <f>SUM(OSRRefH22_18x_0)</f>
        <v>388</v>
      </c>
      <c r="I101" s="1"/>
      <c r="J101" s="5">
        <f t="shared" ref="J101:J103" si="70">IF(H$12=0,0,H101/H$12)</f>
        <v>1.4042198979407188E-2</v>
      </c>
      <c r="K101" s="1"/>
      <c r="L101" s="1">
        <f t="shared" ref="L101:L103" si="71">+D101-H101</f>
        <v>-23.339999999999975</v>
      </c>
      <c r="M101" s="1"/>
      <c r="N101" s="5">
        <f t="shared" ref="N101:N103" si="72">IF(H101=0,0,L101/H101)</f>
        <v>-6.0154639175257665E-2</v>
      </c>
      <c r="O101" s="14"/>
      <c r="P101" s="1">
        <f>SUM(OSRRefP22_18x_0)</f>
        <v>3436.07</v>
      </c>
      <c r="Q101" s="1"/>
      <c r="R101" s="5">
        <f t="shared" ref="R101:R103" si="73">IF(P$12=0,0,P101/P$12)</f>
        <v>5.9352695690626053E-2</v>
      </c>
      <c r="S101" s="1"/>
      <c r="T101" s="1">
        <f>SUM(OSRRefT22_18x_0)</f>
        <v>1430</v>
      </c>
      <c r="U101" s="1"/>
      <c r="V101" s="5">
        <f t="shared" ref="V101:V103" si="74">IF(T$12=0,0,T101/T$12)</f>
        <v>2.3245984784446321E-2</v>
      </c>
      <c r="W101" s="1"/>
      <c r="X101" s="1">
        <f t="shared" ref="X101:X103" si="75">+P101-T101</f>
        <v>2006.0700000000002</v>
      </c>
      <c r="Y101" s="1"/>
      <c r="Z101" s="5">
        <f t="shared" ref="Z101:Z103" si="76">IF(T101=0,0,X101/T101)</f>
        <v>1.4028461538461539</v>
      </c>
    </row>
    <row r="102" spans="1:26" s="24" customFormat="1" hidden="1" outlineLevel="2" x14ac:dyDescent="0.25">
      <c r="A102" s="28"/>
      <c r="B102" s="11" t="str">
        <f>CONCATENATE("          ", "6303", " - ", "DATA PHONE LINES")</f>
        <v xml:space="preserve">          6303 - DATA PHONE LINES</v>
      </c>
      <c r="C102" s="11"/>
      <c r="D102" s="7"/>
      <c r="E102" s="2"/>
      <c r="F102" s="6">
        <f t="shared" si="69"/>
        <v>0</v>
      </c>
      <c r="G102" s="2"/>
      <c r="H102" s="7">
        <v>138</v>
      </c>
      <c r="I102" s="2"/>
      <c r="J102" s="6">
        <f t="shared" si="70"/>
        <v>4.9943903586551338E-3</v>
      </c>
      <c r="K102" s="2"/>
      <c r="L102" s="7">
        <f t="shared" si="71"/>
        <v>-138</v>
      </c>
      <c r="M102" s="2"/>
      <c r="N102" s="6">
        <f t="shared" si="72"/>
        <v>-1</v>
      </c>
      <c r="O102" s="11"/>
      <c r="P102" s="7"/>
      <c r="Q102" s="2"/>
      <c r="R102" s="6">
        <f t="shared" si="73"/>
        <v>0</v>
      </c>
      <c r="S102" s="2"/>
      <c r="T102" s="7">
        <v>580</v>
      </c>
      <c r="U102" s="2"/>
      <c r="V102" s="6">
        <f t="shared" si="74"/>
        <v>9.4284413811041023E-3</v>
      </c>
      <c r="W102" s="2"/>
      <c r="X102" s="7">
        <f t="shared" si="75"/>
        <v>-580</v>
      </c>
      <c r="Y102" s="2"/>
      <c r="Z102" s="6">
        <f t="shared" si="76"/>
        <v>-1</v>
      </c>
    </row>
    <row r="103" spans="1:26" s="24" customFormat="1" hidden="1" outlineLevel="2" x14ac:dyDescent="0.25">
      <c r="A103" s="28"/>
      <c r="B103" s="11" t="str">
        <f>CONCATENATE("          ", "6309", " - ", "TELEPHONE")</f>
        <v xml:space="preserve">          6309 - TELEPHONE</v>
      </c>
      <c r="C103" s="11"/>
      <c r="D103" s="7">
        <v>364.66</v>
      </c>
      <c r="E103" s="2"/>
      <c r="F103" s="6">
        <f t="shared" si="69"/>
        <v>8.3789627512298685E-3</v>
      </c>
      <c r="G103" s="2"/>
      <c r="H103" s="7">
        <v>250</v>
      </c>
      <c r="I103" s="2"/>
      <c r="J103" s="6">
        <f t="shared" si="70"/>
        <v>9.0478086207520531E-3</v>
      </c>
      <c r="K103" s="2"/>
      <c r="L103" s="7">
        <f t="shared" si="71"/>
        <v>114.66000000000003</v>
      </c>
      <c r="M103" s="2"/>
      <c r="N103" s="6">
        <f t="shared" si="72"/>
        <v>0.4586400000000001</v>
      </c>
      <c r="O103" s="11"/>
      <c r="P103" s="7">
        <v>3436.07</v>
      </c>
      <c r="Q103" s="2"/>
      <c r="R103" s="6">
        <f t="shared" si="73"/>
        <v>5.9352695690626053E-2</v>
      </c>
      <c r="S103" s="2"/>
      <c r="T103" s="7">
        <v>850</v>
      </c>
      <c r="U103" s="2"/>
      <c r="V103" s="6">
        <f t="shared" si="74"/>
        <v>1.3817543403342221E-2</v>
      </c>
      <c r="W103" s="2"/>
      <c r="X103" s="7">
        <f t="shared" si="75"/>
        <v>2586.0700000000002</v>
      </c>
      <c r="Y103" s="2"/>
      <c r="Z103" s="6">
        <f t="shared" si="76"/>
        <v>3.0424352941176473</v>
      </c>
    </row>
    <row r="104" spans="1:26" s="27" customFormat="1" outlineLevel="1" collapsed="1" x14ac:dyDescent="0.25">
      <c r="A104" s="29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SUM(OSRRefD22_19x_0)</f>
        <v>0</v>
      </c>
      <c r="E104" s="1"/>
      <c r="F104" s="5">
        <f t="shared" ref="F104:F109" si="77">IF(D$12=0,0,D104/D$12)</f>
        <v>0</v>
      </c>
      <c r="G104" s="1"/>
      <c r="H104" s="1">
        <f>SUM(OSRRefH22_19x_0)</f>
        <v>0</v>
      </c>
      <c r="I104" s="1"/>
      <c r="J104" s="5">
        <f t="shared" ref="J104:J109" si="78">IF(H$12=0,0,H104/H$12)</f>
        <v>0</v>
      </c>
      <c r="K104" s="1"/>
      <c r="L104" s="1">
        <f t="shared" ref="L104:L109" si="79">+D104-H104</f>
        <v>0</v>
      </c>
      <c r="M104" s="1"/>
      <c r="N104" s="5">
        <f t="shared" ref="N104:N109" si="80">IF(H104=0,0,L104/H104)</f>
        <v>0</v>
      </c>
      <c r="O104" s="14"/>
      <c r="P104" s="1">
        <f>SUM(OSRRefP22_19x_0)</f>
        <v>0</v>
      </c>
      <c r="Q104" s="1"/>
      <c r="R104" s="5">
        <f t="shared" ref="R104:R109" si="81">IF(P$12=0,0,P104/P$12)</f>
        <v>0</v>
      </c>
      <c r="S104" s="1"/>
      <c r="T104" s="1">
        <f>SUM(OSRRefT22_19x_0)</f>
        <v>0</v>
      </c>
      <c r="U104" s="1"/>
      <c r="V104" s="5">
        <f t="shared" ref="V104:V109" si="82">IF(T$12=0,0,T104/T$12)</f>
        <v>0</v>
      </c>
      <c r="W104" s="1"/>
      <c r="X104" s="1">
        <f t="shared" ref="X104:X109" si="83">+P104-T104</f>
        <v>0</v>
      </c>
      <c r="Y104" s="1"/>
      <c r="Z104" s="5">
        <f t="shared" ref="Z104:Z109" si="84">IF(T104=0,0,X104/T104)</f>
        <v>0</v>
      </c>
    </row>
    <row r="105" spans="1:26" s="24" customFormat="1" hidden="1" outlineLevel="2" x14ac:dyDescent="0.25">
      <c r="A105" s="28"/>
      <c r="B105" s="11" t="str">
        <f>CONCATENATE("          ", "6376", " - ", "TRAINING")</f>
        <v xml:space="preserve">          6376 - TRAINING</v>
      </c>
      <c r="C105" s="11"/>
      <c r="D105" s="7"/>
      <c r="E105" s="2"/>
      <c r="F105" s="6">
        <f t="shared" si="77"/>
        <v>0</v>
      </c>
      <c r="G105" s="2"/>
      <c r="H105" s="7">
        <v>0</v>
      </c>
      <c r="I105" s="2"/>
      <c r="J105" s="6">
        <f t="shared" si="78"/>
        <v>0</v>
      </c>
      <c r="K105" s="2"/>
      <c r="L105" s="7">
        <f t="shared" si="79"/>
        <v>0</v>
      </c>
      <c r="M105" s="2"/>
      <c r="N105" s="6">
        <f t="shared" si="80"/>
        <v>0</v>
      </c>
      <c r="O105" s="11"/>
      <c r="P105" s="7"/>
      <c r="Q105" s="2"/>
      <c r="R105" s="6">
        <f t="shared" si="81"/>
        <v>0</v>
      </c>
      <c r="S105" s="2"/>
      <c r="T105" s="7">
        <v>0</v>
      </c>
      <c r="U105" s="2"/>
      <c r="V105" s="6">
        <f t="shared" si="82"/>
        <v>0</v>
      </c>
      <c r="W105" s="2"/>
      <c r="X105" s="7">
        <f t="shared" si="83"/>
        <v>0</v>
      </c>
      <c r="Y105" s="2"/>
      <c r="Z105" s="6">
        <f t="shared" si="84"/>
        <v>0</v>
      </c>
    </row>
    <row r="106" spans="1:26" s="27" customFormat="1" outlineLevel="1" collapsed="1" x14ac:dyDescent="0.25">
      <c r="A106" s="29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SUM(OSRRefD22_20x_0)</f>
        <v>0</v>
      </c>
      <c r="E106" s="1"/>
      <c r="F106" s="5">
        <f t="shared" si="77"/>
        <v>0</v>
      </c>
      <c r="G106" s="1"/>
      <c r="H106" s="1">
        <f>SUM(OSRRefH22_20x_0)</f>
        <v>0</v>
      </c>
      <c r="I106" s="1"/>
      <c r="J106" s="5">
        <f t="shared" si="78"/>
        <v>0</v>
      </c>
      <c r="K106" s="1"/>
      <c r="L106" s="1">
        <f t="shared" si="79"/>
        <v>0</v>
      </c>
      <c r="M106" s="1"/>
      <c r="N106" s="5">
        <f t="shared" si="80"/>
        <v>0</v>
      </c>
      <c r="O106" s="14"/>
      <c r="P106" s="1">
        <f>SUM(OSRRefP22_20x_0)</f>
        <v>332.21</v>
      </c>
      <c r="Q106" s="1"/>
      <c r="R106" s="5">
        <f t="shared" si="81"/>
        <v>5.7384043501392222E-3</v>
      </c>
      <c r="S106" s="1"/>
      <c r="T106" s="1">
        <f>SUM(OSRRefT22_20x_0)</f>
        <v>0</v>
      </c>
      <c r="U106" s="1"/>
      <c r="V106" s="5">
        <f t="shared" si="82"/>
        <v>0</v>
      </c>
      <c r="W106" s="1"/>
      <c r="X106" s="1">
        <f t="shared" si="83"/>
        <v>332.21</v>
      </c>
      <c r="Y106" s="1"/>
      <c r="Z106" s="5">
        <f t="shared" si="84"/>
        <v>0</v>
      </c>
    </row>
    <row r="107" spans="1:26" s="24" customFormat="1" hidden="1" outlineLevel="2" x14ac:dyDescent="0.25">
      <c r="A107" s="28"/>
      <c r="B107" s="11" t="str">
        <f>CONCATENATE("          ", "6292", " - ", "TRAVEL/CONFERENCE")</f>
        <v xml:space="preserve">          6292 - TRAVEL/CONFERENCE</v>
      </c>
      <c r="C107" s="11"/>
      <c r="D107" s="7"/>
      <c r="E107" s="2"/>
      <c r="F107" s="6">
        <f t="shared" si="77"/>
        <v>0</v>
      </c>
      <c r="G107" s="2"/>
      <c r="H107" s="7">
        <v>0</v>
      </c>
      <c r="I107" s="2"/>
      <c r="J107" s="6">
        <f t="shared" si="78"/>
        <v>0</v>
      </c>
      <c r="K107" s="2"/>
      <c r="L107" s="7">
        <f t="shared" si="79"/>
        <v>0</v>
      </c>
      <c r="M107" s="2"/>
      <c r="N107" s="6">
        <f t="shared" si="80"/>
        <v>0</v>
      </c>
      <c r="O107" s="11"/>
      <c r="P107" s="7"/>
      <c r="Q107" s="2"/>
      <c r="R107" s="6">
        <f t="shared" si="81"/>
        <v>0</v>
      </c>
      <c r="S107" s="2"/>
      <c r="T107" s="7">
        <v>0</v>
      </c>
      <c r="U107" s="2"/>
      <c r="V107" s="6">
        <f t="shared" si="82"/>
        <v>0</v>
      </c>
      <c r="W107" s="2"/>
      <c r="X107" s="7">
        <f t="shared" si="83"/>
        <v>0</v>
      </c>
      <c r="Y107" s="2"/>
      <c r="Z107" s="6">
        <f t="shared" si="84"/>
        <v>0</v>
      </c>
    </row>
    <row r="108" spans="1:26" s="24" customFormat="1" hidden="1" outlineLevel="2" x14ac:dyDescent="0.25">
      <c r="A108" s="28"/>
      <c r="B108" s="11" t="str">
        <f>CONCATENATE("          ", "6294", " - ", "TRAVEL OPERATIONAL")</f>
        <v xml:space="preserve">          6294 - TRAVEL OPERATIONAL</v>
      </c>
      <c r="C108" s="11"/>
      <c r="D108" s="7"/>
      <c r="E108" s="2"/>
      <c r="F108" s="6">
        <f t="shared" si="77"/>
        <v>0</v>
      </c>
      <c r="G108" s="2"/>
      <c r="H108" s="7">
        <v>0</v>
      </c>
      <c r="I108" s="2"/>
      <c r="J108" s="6">
        <f t="shared" si="78"/>
        <v>0</v>
      </c>
      <c r="K108" s="2"/>
      <c r="L108" s="7">
        <f t="shared" si="79"/>
        <v>0</v>
      </c>
      <c r="M108" s="2"/>
      <c r="N108" s="6">
        <f t="shared" si="80"/>
        <v>0</v>
      </c>
      <c r="O108" s="11"/>
      <c r="P108" s="7"/>
      <c r="Q108" s="2"/>
      <c r="R108" s="6">
        <f t="shared" si="81"/>
        <v>0</v>
      </c>
      <c r="S108" s="2"/>
      <c r="T108" s="7">
        <v>0</v>
      </c>
      <c r="U108" s="2"/>
      <c r="V108" s="6">
        <f t="shared" si="82"/>
        <v>0</v>
      </c>
      <c r="W108" s="2"/>
      <c r="X108" s="7">
        <f t="shared" si="83"/>
        <v>0</v>
      </c>
      <c r="Y108" s="2"/>
      <c r="Z108" s="6">
        <f t="shared" si="84"/>
        <v>0</v>
      </c>
    </row>
    <row r="109" spans="1:26" s="24" customFormat="1" hidden="1" outlineLevel="2" x14ac:dyDescent="0.25">
      <c r="A109" s="28"/>
      <c r="B109" s="11" t="str">
        <f>CONCATENATE("          ", "6298", " - ", "VEHICLE MILEAGE")</f>
        <v xml:space="preserve">          6298 - VEHICLE MILEAGE</v>
      </c>
      <c r="C109" s="11"/>
      <c r="D109" s="7"/>
      <c r="E109" s="2"/>
      <c r="F109" s="6">
        <f t="shared" si="77"/>
        <v>0</v>
      </c>
      <c r="G109" s="2"/>
      <c r="H109" s="7"/>
      <c r="I109" s="2"/>
      <c r="J109" s="6">
        <f t="shared" si="78"/>
        <v>0</v>
      </c>
      <c r="K109" s="2"/>
      <c r="L109" s="7">
        <f t="shared" si="79"/>
        <v>0</v>
      </c>
      <c r="M109" s="2"/>
      <c r="N109" s="6">
        <f t="shared" si="80"/>
        <v>0</v>
      </c>
      <c r="O109" s="11"/>
      <c r="P109" s="7">
        <v>332.21</v>
      </c>
      <c r="Q109" s="2"/>
      <c r="R109" s="6">
        <f t="shared" si="81"/>
        <v>5.7384043501392222E-3</v>
      </c>
      <c r="S109" s="2"/>
      <c r="T109" s="7"/>
      <c r="U109" s="2"/>
      <c r="V109" s="6">
        <f t="shared" si="82"/>
        <v>0</v>
      </c>
      <c r="W109" s="2"/>
      <c r="X109" s="7">
        <f t="shared" si="83"/>
        <v>332.21</v>
      </c>
      <c r="Y109" s="2"/>
      <c r="Z109" s="6">
        <f t="shared" si="84"/>
        <v>0</v>
      </c>
    </row>
    <row r="110" spans="1:26" s="27" customFormat="1" outlineLevel="1" collapsed="1" x14ac:dyDescent="0.25">
      <c r="A110" s="29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SUM(OSRRefD22_21x_0)</f>
        <v>-13228</v>
      </c>
      <c r="E110" s="1"/>
      <c r="F110" s="5">
        <f t="shared" ref="F110:F111" si="85">IF(D$12=0,0,D110/D$12)</f>
        <v>-0.30394592023602451</v>
      </c>
      <c r="G110" s="1"/>
      <c r="H110" s="1">
        <f>SUM(OSRRefH22_21x_0)</f>
        <v>3300</v>
      </c>
      <c r="I110" s="1"/>
      <c r="J110" s="5">
        <f t="shared" ref="J110:J111" si="86">IF(H$12=0,0,H110/H$12)</f>
        <v>0.11943107379392712</v>
      </c>
      <c r="K110" s="1"/>
      <c r="L110" s="1">
        <f t="shared" ref="L110:L111" si="87">+D110-H110</f>
        <v>-16528</v>
      </c>
      <c r="M110" s="1"/>
      <c r="N110" s="5">
        <f t="shared" ref="N110:N111" si="88">IF(H110=0,0,L110/H110)</f>
        <v>-5.0084848484848488</v>
      </c>
      <c r="O110" s="14"/>
      <c r="P110" s="1">
        <f>SUM(OSRRefP22_21x_0)</f>
        <v>-6328</v>
      </c>
      <c r="Q110" s="1"/>
      <c r="R110" s="5">
        <f t="shared" ref="R110:R111" si="89">IF(P$12=0,0,P110/P$12)</f>
        <v>-0.10930623017874538</v>
      </c>
      <c r="S110" s="1"/>
      <c r="T110" s="1">
        <f>SUM(OSRRefT22_21x_0)</f>
        <v>13200</v>
      </c>
      <c r="U110" s="1"/>
      <c r="V110" s="5">
        <f t="shared" ref="V110:V111" si="90">IF(T$12=0,0,T110/T$12)</f>
        <v>0.21457832108719682</v>
      </c>
      <c r="W110" s="1"/>
      <c r="X110" s="1">
        <f t="shared" ref="X110:X111" si="91">+P110-T110</f>
        <v>-19528</v>
      </c>
      <c r="Y110" s="1"/>
      <c r="Z110" s="5">
        <f t="shared" ref="Z110:Z111" si="92">IF(T110=0,0,X110/T110)</f>
        <v>-1.4793939393939395</v>
      </c>
    </row>
    <row r="111" spans="1:26" s="24" customFormat="1" hidden="1" outlineLevel="2" x14ac:dyDescent="0.25">
      <c r="A111" s="28"/>
      <c r="B111" s="11" t="str">
        <f>CONCATENATE("          ", "6274", " - ", "UTILITIES")</f>
        <v xml:space="preserve">          6274 - UTILITIES</v>
      </c>
      <c r="C111" s="11"/>
      <c r="D111" s="7">
        <v>-13228</v>
      </c>
      <c r="E111" s="2"/>
      <c r="F111" s="6">
        <f t="shared" si="85"/>
        <v>-0.30394592023602451</v>
      </c>
      <c r="G111" s="2"/>
      <c r="H111" s="7">
        <v>3300</v>
      </c>
      <c r="I111" s="2"/>
      <c r="J111" s="6">
        <f t="shared" si="86"/>
        <v>0.11943107379392712</v>
      </c>
      <c r="K111" s="2"/>
      <c r="L111" s="7">
        <f t="shared" si="87"/>
        <v>-16528</v>
      </c>
      <c r="M111" s="2"/>
      <c r="N111" s="6">
        <f t="shared" si="88"/>
        <v>-5.0084848484848488</v>
      </c>
      <c r="O111" s="11"/>
      <c r="P111" s="7">
        <v>-6328</v>
      </c>
      <c r="Q111" s="2"/>
      <c r="R111" s="6">
        <f t="shared" si="89"/>
        <v>-0.10930623017874538</v>
      </c>
      <c r="S111" s="2"/>
      <c r="T111" s="7">
        <v>13200</v>
      </c>
      <c r="U111" s="2"/>
      <c r="V111" s="6">
        <f t="shared" si="90"/>
        <v>0.21457832108719682</v>
      </c>
      <c r="W111" s="2"/>
      <c r="X111" s="7">
        <f t="shared" si="91"/>
        <v>-19528</v>
      </c>
      <c r="Y111" s="2"/>
      <c r="Z111" s="6">
        <f t="shared" si="92"/>
        <v>-1.4793939393939395</v>
      </c>
    </row>
    <row r="112" spans="1:26" s="63" customFormat="1" x14ac:dyDescent="0.25">
      <c r="A112" s="36"/>
      <c r="B112" s="36"/>
      <c r="C112" s="36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6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5" t="s">
        <v>0</v>
      </c>
      <c r="C113" s="10"/>
      <c r="D113" s="4">
        <f>SUM(OSRRefD25x_0)</f>
        <v>457.28</v>
      </c>
      <c r="E113" s="4"/>
      <c r="F113" s="12">
        <f t="shared" ref="F113:F117" si="93">IF(D$12=0,0,D113/D$12)</f>
        <v>1.0507135652066018E-2</v>
      </c>
      <c r="G113" s="4"/>
      <c r="H113" s="4">
        <f>SUM(OSRRefH25x_0)</f>
        <v>8737</v>
      </c>
      <c r="I113" s="4"/>
      <c r="J113" s="12">
        <f t="shared" ref="J113:J117" si="94">IF(H$12=0,0,H113/H$12)</f>
        <v>0.31620281567804276</v>
      </c>
      <c r="K113" s="4"/>
      <c r="L113" s="4">
        <f t="shared" ref="L113:L117" si="95">+D113-H113</f>
        <v>-8279.7199999999993</v>
      </c>
      <c r="M113" s="4"/>
      <c r="N113" s="12">
        <f t="shared" ref="N113:N117" si="96">IF(H113=0,0,L113/H113)</f>
        <v>-0.94766166876502222</v>
      </c>
      <c r="O113" s="10"/>
      <c r="P113" s="4">
        <f>SUM(OSRRefP25x_0)</f>
        <v>4077.2</v>
      </c>
      <c r="Q113" s="4"/>
      <c r="R113" s="12">
        <f t="shared" ref="R113:R117" si="97">IF(P$12=0,0,P113/P$12)</f>
        <v>7.0427206334510217E-2</v>
      </c>
      <c r="S113" s="4"/>
      <c r="T113" s="4">
        <f>SUM(OSRRefT25x_0)</f>
        <v>12972</v>
      </c>
      <c r="U113" s="4"/>
      <c r="V113" s="12">
        <f t="shared" ref="V113:V117" si="98">IF(T$12=0,0,T113/T$12)</f>
        <v>0.21087196826841798</v>
      </c>
      <c r="W113" s="4"/>
      <c r="X113" s="4">
        <f t="shared" ref="X113:X117" si="99">+P113-T113</f>
        <v>-8894.7999999999993</v>
      </c>
      <c r="Y113" s="4"/>
      <c r="Z113" s="12">
        <f t="shared" ref="Z113:Z117" si="100">IF(T113=0,0,X113/T113)</f>
        <v>-0.68569226025285224</v>
      </c>
    </row>
    <row r="114" spans="1:26" s="24" customFormat="1" hidden="1" outlineLevel="1" x14ac:dyDescent="0.25">
      <c r="A114" s="51"/>
      <c r="B114" s="11" t="str">
        <f>CONCATENATE("          ", "9150", " - ", "MISC. INCOME")</f>
        <v xml:space="preserve">          9150 - MISC. INCOME</v>
      </c>
      <c r="C114" s="11"/>
      <c r="D114" s="2">
        <f>--119.09</f>
        <v>119.09</v>
      </c>
      <c r="E114" s="2"/>
      <c r="F114" s="22">
        <f t="shared" si="93"/>
        <v>2.7363864258321863E-3</v>
      </c>
      <c r="G114" s="2"/>
      <c r="H114" s="2">
        <v>3370</v>
      </c>
      <c r="I114" s="2"/>
      <c r="J114" s="22">
        <f t="shared" si="94"/>
        <v>0.12196446020773768</v>
      </c>
      <c r="K114" s="2"/>
      <c r="L114" s="2">
        <f t="shared" si="95"/>
        <v>-3250.91</v>
      </c>
      <c r="M114" s="2"/>
      <c r="N114" s="22">
        <f t="shared" si="96"/>
        <v>-0.96466172106824921</v>
      </c>
      <c r="O114" s="11"/>
      <c r="P114" s="2">
        <f>--923.77</f>
        <v>923.77</v>
      </c>
      <c r="Q114" s="2"/>
      <c r="R114" s="22">
        <f t="shared" si="97"/>
        <v>1.5956671342006894E-2</v>
      </c>
      <c r="S114" s="2"/>
      <c r="T114" s="2">
        <v>5406</v>
      </c>
      <c r="U114" s="2"/>
      <c r="V114" s="22">
        <f t="shared" si="98"/>
        <v>8.7879576045256522E-2</v>
      </c>
      <c r="W114" s="2"/>
      <c r="X114" s="2">
        <f t="shared" si="99"/>
        <v>-4482.2299999999996</v>
      </c>
      <c r="Y114" s="2"/>
      <c r="Z114" s="22">
        <f t="shared" si="100"/>
        <v>-0.82912134665186821</v>
      </c>
    </row>
    <row r="115" spans="1:26" s="24" customFormat="1" hidden="1" outlineLevel="1" x14ac:dyDescent="0.25">
      <c r="A115" s="51"/>
      <c r="B115" s="11" t="str">
        <f>CONCATENATE("          ", "9151", " - ", "MISC. INCOME")</f>
        <v xml:space="preserve">          9151 - MISC. INCOME</v>
      </c>
      <c r="C115" s="11"/>
      <c r="D115" s="2">
        <f>0</f>
        <v>0</v>
      </c>
      <c r="E115" s="2"/>
      <c r="F115" s="22">
        <f t="shared" si="93"/>
        <v>0</v>
      </c>
      <c r="G115" s="2"/>
      <c r="H115" s="2">
        <v>4811</v>
      </c>
      <c r="I115" s="2"/>
      <c r="J115" s="22">
        <f t="shared" si="94"/>
        <v>0.17411602909775253</v>
      </c>
      <c r="K115" s="2"/>
      <c r="L115" s="2">
        <f t="shared" si="95"/>
        <v>-4811</v>
      </c>
      <c r="M115" s="2"/>
      <c r="N115" s="22">
        <f t="shared" si="96"/>
        <v>-1</v>
      </c>
      <c r="O115" s="11"/>
      <c r="P115" s="2">
        <f>0</f>
        <v>0</v>
      </c>
      <c r="Q115" s="2"/>
      <c r="R115" s="22">
        <f t="shared" si="97"/>
        <v>0</v>
      </c>
      <c r="S115" s="2"/>
      <c r="T115" s="2">
        <v>7010</v>
      </c>
      <c r="U115" s="2"/>
      <c r="V115" s="22">
        <f t="shared" si="98"/>
        <v>0.11395409324403408</v>
      </c>
      <c r="W115" s="2"/>
      <c r="X115" s="2">
        <f t="shared" si="99"/>
        <v>-7010</v>
      </c>
      <c r="Y115" s="2"/>
      <c r="Z115" s="22">
        <f t="shared" si="100"/>
        <v>-1</v>
      </c>
    </row>
    <row r="116" spans="1:26" s="24" customFormat="1" hidden="1" outlineLevel="1" x14ac:dyDescent="0.25">
      <c r="A116" s="51"/>
      <c r="B116" s="11" t="str">
        <f>CONCATENATE("          ", "9160", " - ", "MISC. INCOME")</f>
        <v xml:space="preserve">          9160 - MISC. INCOME</v>
      </c>
      <c r="C116" s="11"/>
      <c r="D116" s="2">
        <f>--338.19</f>
        <v>338.19</v>
      </c>
      <c r="E116" s="2"/>
      <c r="F116" s="22">
        <f t="shared" si="93"/>
        <v>7.7707492262338324E-3</v>
      </c>
      <c r="G116" s="2"/>
      <c r="H116" s="2">
        <v>556</v>
      </c>
      <c r="I116" s="2"/>
      <c r="J116" s="22">
        <f t="shared" si="94"/>
        <v>2.0122326372552568E-2</v>
      </c>
      <c r="K116" s="2"/>
      <c r="L116" s="2">
        <f t="shared" si="95"/>
        <v>-217.81</v>
      </c>
      <c r="M116" s="2"/>
      <c r="N116" s="22">
        <f t="shared" si="96"/>
        <v>-0.39174460431654679</v>
      </c>
      <c r="O116" s="11"/>
      <c r="P116" s="2">
        <f>--2328.25</f>
        <v>2328.25</v>
      </c>
      <c r="Q116" s="2"/>
      <c r="R116" s="22">
        <f t="shared" si="97"/>
        <v>4.0216850571059407E-2</v>
      </c>
      <c r="S116" s="2"/>
      <c r="T116" s="2">
        <v>556</v>
      </c>
      <c r="U116" s="2"/>
      <c r="V116" s="22">
        <f t="shared" si="98"/>
        <v>9.0382989791273818E-3</v>
      </c>
      <c r="W116" s="2"/>
      <c r="X116" s="2">
        <f t="shared" si="99"/>
        <v>1772.25</v>
      </c>
      <c r="Y116" s="2"/>
      <c r="Z116" s="22">
        <f t="shared" si="100"/>
        <v>3.1875</v>
      </c>
    </row>
    <row r="117" spans="1:26" s="24" customFormat="1" hidden="1" outlineLevel="1" x14ac:dyDescent="0.25">
      <c r="A117" s="51"/>
      <c r="B117" s="11" t="str">
        <f>CONCATENATE("          ", "9165", " - ", "OTHER INCOME")</f>
        <v xml:space="preserve">          9165 - OTHER INCOME</v>
      </c>
      <c r="C117" s="11"/>
      <c r="D117" s="2">
        <f>0</f>
        <v>0</v>
      </c>
      <c r="E117" s="2"/>
      <c r="F117" s="22">
        <f t="shared" si="93"/>
        <v>0</v>
      </c>
      <c r="G117" s="2"/>
      <c r="H117" s="2"/>
      <c r="I117" s="2"/>
      <c r="J117" s="22">
        <f t="shared" si="94"/>
        <v>0</v>
      </c>
      <c r="K117" s="2"/>
      <c r="L117" s="2">
        <f t="shared" si="95"/>
        <v>0</v>
      </c>
      <c r="M117" s="2"/>
      <c r="N117" s="22">
        <f t="shared" si="96"/>
        <v>0</v>
      </c>
      <c r="O117" s="11"/>
      <c r="P117" s="2">
        <f>--825.18</f>
        <v>825.18</v>
      </c>
      <c r="Q117" s="2"/>
      <c r="R117" s="22">
        <f t="shared" si="97"/>
        <v>1.4253684421443917E-2</v>
      </c>
      <c r="S117" s="2"/>
      <c r="T117" s="2"/>
      <c r="U117" s="2"/>
      <c r="V117" s="22">
        <f t="shared" si="98"/>
        <v>0</v>
      </c>
      <c r="W117" s="2"/>
      <c r="X117" s="2">
        <f t="shared" si="99"/>
        <v>825.18</v>
      </c>
      <c r="Y117" s="2"/>
      <c r="Z117" s="22">
        <f t="shared" si="100"/>
        <v>0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6" t="s">
        <v>3</v>
      </c>
      <c r="C119" s="26"/>
      <c r="D119" s="20">
        <f>+D25-D27+D113</f>
        <v>-79392.160000000003</v>
      </c>
      <c r="E119" s="13"/>
      <c r="F119" s="19">
        <f>IF(D$12=0,0,D119/D$12)</f>
        <v>-1.8242306569946853</v>
      </c>
      <c r="G119" s="13"/>
      <c r="H119" s="20">
        <f>+H25-H27+H113</f>
        <v>-93029.552497390992</v>
      </c>
      <c r="I119" s="13"/>
      <c r="J119" s="19">
        <f>IF(H$12=0,0,H119/H$12)</f>
        <v>-3.3668543482823998</v>
      </c>
      <c r="K119" s="15"/>
      <c r="L119" s="20">
        <f>+D119-H119</f>
        <v>13637.392497390989</v>
      </c>
      <c r="M119" s="15"/>
      <c r="N119" s="19">
        <f>IF(H119=0,0,L119/H119)</f>
        <v>-0.14659204662704842</v>
      </c>
      <c r="O119" s="25"/>
      <c r="P119" s="20">
        <f>+P25-P27+P113</f>
        <v>-397198.90000000008</v>
      </c>
      <c r="Q119" s="13"/>
      <c r="R119" s="19">
        <f>IF(P$12=0,0,P119/P$12)</f>
        <v>-6.8609852070392661</v>
      </c>
      <c r="S119" s="13"/>
      <c r="T119" s="20">
        <f>+T25-T27+T113</f>
        <v>-387180.54688394099</v>
      </c>
      <c r="U119" s="13"/>
      <c r="V119" s="19">
        <f>IF(T$12=0,0,T119/T$12)</f>
        <v>-6.2939811899983908</v>
      </c>
      <c r="W119" s="15"/>
      <c r="X119" s="20">
        <f>+P119-T119</f>
        <v>-10018.353116059094</v>
      </c>
      <c r="Y119" s="15"/>
      <c r="Z119" s="19">
        <f>IF(T119=0,0,X119/T119)</f>
        <v>2.5875145837484799E-2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2"/>
      <c r="B121" s="10" t="s">
        <v>14</v>
      </c>
      <c r="C121" s="10"/>
      <c r="D121" s="4">
        <v>9878.35</v>
      </c>
      <c r="E121" s="4"/>
      <c r="F121" s="12">
        <f>IF(D$12=0,0,D121/D$12)</f>
        <v>0.22697945125215702</v>
      </c>
      <c r="G121" s="4"/>
      <c r="H121" s="4">
        <v>5173</v>
      </c>
      <c r="I121" s="4"/>
      <c r="J121" s="12">
        <f>IF(H$12=0,0,H121/H$12)</f>
        <v>0.18721725598060149</v>
      </c>
      <c r="K121" s="4"/>
      <c r="L121" s="4">
        <f>+D121-H121</f>
        <v>4705.3500000000004</v>
      </c>
      <c r="M121" s="4"/>
      <c r="N121" s="12">
        <f>IF(H121=0,0,L121/H121)</f>
        <v>0.90959791223661324</v>
      </c>
      <c r="O121" s="10"/>
      <c r="P121" s="4">
        <v>12540.75</v>
      </c>
      <c r="Q121" s="4"/>
      <c r="R121" s="12">
        <f>IF(P$12=0,0,P121/P$12)</f>
        <v>0.21662169818490853</v>
      </c>
      <c r="S121" s="4"/>
      <c r="T121" s="4">
        <v>10072</v>
      </c>
      <c r="U121" s="4"/>
      <c r="V121" s="12">
        <f>IF(T$12=0,0,T121/T$12)</f>
        <v>0.16372976136289746</v>
      </c>
      <c r="W121" s="4"/>
      <c r="X121" s="4">
        <f>+P121-T121</f>
        <v>2468.75</v>
      </c>
      <c r="Y121" s="4"/>
      <c r="Z121" s="12">
        <f>IF(T121=0,0,X121/T121)</f>
        <v>0.24511020651310564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6" t="s">
        <v>4</v>
      </c>
      <c r="C123" s="26"/>
      <c r="D123" s="34">
        <f>+D119-D121</f>
        <v>-89270.510000000009</v>
      </c>
      <c r="E123" s="13"/>
      <c r="F123" s="35">
        <f>IF(D$12=0,0,D123/D$12)</f>
        <v>-2.0512101082468424</v>
      </c>
      <c r="G123" s="13"/>
      <c r="H123" s="34">
        <f>+H119-H121</f>
        <v>-98202.552497390992</v>
      </c>
      <c r="I123" s="13"/>
      <c r="J123" s="35">
        <f>IF(H$12=0,0,H123/H$12)</f>
        <v>-3.5540716042630014</v>
      </c>
      <c r="K123" s="15"/>
      <c r="L123" s="34">
        <f>D123-H123</f>
        <v>8932.042497390983</v>
      </c>
      <c r="M123" s="15"/>
      <c r="N123" s="35">
        <f>IF(H123=0,0,L123/H123)</f>
        <v>-9.095529871922918E-2</v>
      </c>
      <c r="O123" s="25"/>
      <c r="P123" s="34">
        <f>+P119-P121</f>
        <v>-409739.65000000008</v>
      </c>
      <c r="Q123" s="13"/>
      <c r="R123" s="35">
        <f>IF(P$12=0,0,P123/P$12)</f>
        <v>-7.077606905224175</v>
      </c>
      <c r="S123" s="13"/>
      <c r="T123" s="34">
        <f>+T119-T121</f>
        <v>-397252.54688394099</v>
      </c>
      <c r="U123" s="13"/>
      <c r="V123" s="35">
        <f>IF(T$12=0,0,T123/T$12)</f>
        <v>-6.457710951361288</v>
      </c>
      <c r="W123" s="15"/>
      <c r="X123" s="34">
        <f>P123-T123</f>
        <v>-12487.103116059094</v>
      </c>
      <c r="Y123" s="15"/>
      <c r="Z123" s="35">
        <f>IF(T123=0,0,X123/T123)</f>
        <v>3.1433664086003336E-2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6" t="s">
        <v>5</v>
      </c>
      <c r="C126" s="26"/>
      <c r="D126" s="30">
        <f>SUM(D123:D125)</f>
        <v>-89270.510000000009</v>
      </c>
      <c r="E126" s="13"/>
      <c r="F126" s="32">
        <f>IF(D$12=0,0,D126/D$12)</f>
        <v>-2.0512101082468424</v>
      </c>
      <c r="G126" s="13"/>
      <c r="H126" s="30">
        <f>SUM(H123:H125)</f>
        <v>-98202.552497390992</v>
      </c>
      <c r="I126" s="13"/>
      <c r="J126" s="32">
        <f>IF(H$12=0,0,H126/H$12)</f>
        <v>-3.5540716042630014</v>
      </c>
      <c r="K126" s="15"/>
      <c r="L126" s="30">
        <f>+D126-H126</f>
        <v>8932.042497390983</v>
      </c>
      <c r="M126" s="15"/>
      <c r="N126" s="32">
        <f>IF(H126=0,0,L126/H126)</f>
        <v>-9.095529871922918E-2</v>
      </c>
      <c r="O126" s="25"/>
      <c r="P126" s="30">
        <f>SUM(P123:P125)</f>
        <v>-409739.65000000008</v>
      </c>
      <c r="Q126" s="13"/>
      <c r="R126" s="32">
        <f>IF(P$12=0,0,P126/P$12)</f>
        <v>-7.077606905224175</v>
      </c>
      <c r="S126" s="13"/>
      <c r="T126" s="30">
        <f>SUM(T123:T125)</f>
        <v>-397252.54688394099</v>
      </c>
      <c r="U126" s="13"/>
      <c r="V126" s="32">
        <f>IF(T$12=0,0,T126/T$12)</f>
        <v>-6.457710951361288</v>
      </c>
      <c r="W126" s="15"/>
      <c r="X126" s="30">
        <f>+P126-T126</f>
        <v>-12487.103116059094</v>
      </c>
      <c r="Y126" s="15"/>
      <c r="Z126" s="32">
        <f>IF(T126=0,0,X126/T126)</f>
        <v>3.1433664086003336E-2</v>
      </c>
    </row>
    <row r="127" spans="1:26" ht="15.75" thickTop="1" x14ac:dyDescent="0.25">
      <c r="A127" s="9"/>
      <c r="C127" s="9"/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25">
      <c r="A128" s="9"/>
      <c r="B128" s="60">
        <v>44151.567908761572</v>
      </c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25">
      <c r="A129" s="9"/>
      <c r="B129" s="58" t="s">
        <v>314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53"/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","405", " - ", "Library Starbucks")</f>
        <v>Department 405 - Library Starbucks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D12-D16</f>
        <v>0</v>
      </c>
      <c r="E19" s="13"/>
      <c r="F19" s="19">
        <f>IF(D$12=0,0,D19/D$12)</f>
        <v>0</v>
      </c>
      <c r="G19" s="13"/>
      <c r="H19" s="20">
        <f>H12-H16</f>
        <v>0</v>
      </c>
      <c r="I19" s="13"/>
      <c r="J19" s="19">
        <f>IF(H$12=0,0,H19/H$12)</f>
        <v>0</v>
      </c>
      <c r="K19" s="15"/>
      <c r="L19" s="20">
        <f>+D19-H19</f>
        <v>0</v>
      </c>
      <c r="M19" s="15"/>
      <c r="N19" s="19">
        <f>IF(H19=0,0,L19/H19)</f>
        <v>0</v>
      </c>
      <c r="O19" s="25"/>
      <c r="P19" s="20">
        <f>P12-P16</f>
        <v>0</v>
      </c>
      <c r="Q19" s="13"/>
      <c r="R19" s="19">
        <f>IF(P$12=0,0,P19/P$12)</f>
        <v>0</v>
      </c>
      <c r="S19" s="13"/>
      <c r="T19" s="20">
        <f>T12-T16</f>
        <v>0</v>
      </c>
      <c r="U19" s="13"/>
      <c r="V19" s="19">
        <f>IF(T$12=0,0,T19/T$12)</f>
        <v>0</v>
      </c>
      <c r="W19" s="15"/>
      <c r="X19" s="20">
        <f>+P19-T19</f>
        <v>0</v>
      </c>
      <c r="Y19" s="15"/>
      <c r="Z19" s="19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1">
        <f>SUM(OSRRefD22x_0)</f>
        <v>5704.4400000000005</v>
      </c>
      <c r="E21" s="21"/>
      <c r="F21" s="31">
        <f t="shared" ref="F21:F30" si="14">IF(D$12=0,0,D21/D$12)</f>
        <v>0</v>
      </c>
      <c r="G21" s="21"/>
      <c r="H21" s="21">
        <f>SUM(OSRRefH22x_0)</f>
        <v>7384.333333333333</v>
      </c>
      <c r="I21" s="21"/>
      <c r="J21" s="31">
        <f t="shared" ref="J21:J30" si="15">IF(H$12=0,0,H21/H$12)</f>
        <v>0</v>
      </c>
      <c r="K21" s="4"/>
      <c r="L21" s="21">
        <f t="shared" ref="L21:L30" si="16">+D21-H21</f>
        <v>-1679.8933333333325</v>
      </c>
      <c r="M21" s="4"/>
      <c r="N21" s="31">
        <f t="shared" ref="N21:N30" si="17">IF(H21=0,0,L21/H21)</f>
        <v>-0.2274942445718412</v>
      </c>
      <c r="O21" s="10"/>
      <c r="P21" s="21">
        <f>SUM(OSRRefP22x_0)</f>
        <v>28102.84</v>
      </c>
      <c r="Q21" s="21"/>
      <c r="R21" s="31">
        <f t="shared" ref="R21:R30" si="18">IF(P$12=0,0,P21/P$12)</f>
        <v>0</v>
      </c>
      <c r="S21" s="21"/>
      <c r="T21" s="21">
        <f>SUM(OSRRefT22x_0)</f>
        <v>29828.333333333332</v>
      </c>
      <c r="U21" s="21"/>
      <c r="V21" s="31">
        <f t="shared" ref="V21:V30" si="19">IF(T$12=0,0,T21/T$12)</f>
        <v>0</v>
      </c>
      <c r="W21" s="4"/>
      <c r="X21" s="21">
        <f t="shared" ref="X21:X30" si="20">+P21-T21</f>
        <v>-1725.493333333332</v>
      </c>
      <c r="Y21" s="4"/>
      <c r="Z21" s="31">
        <f t="shared" ref="Z21:Z30" si="21">IF(T21=0,0,X21/T21)</f>
        <v>-5.7847460468234857E-2</v>
      </c>
    </row>
    <row r="22" spans="1:26" s="27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0</v>
      </c>
      <c r="Y22" s="1"/>
      <c r="Z22" s="5">
        <f t="shared" si="21"/>
        <v>0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/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0</v>
      </c>
      <c r="Y23" s="2"/>
      <c r="Z23" s="6">
        <f t="shared" si="21"/>
        <v>0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7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0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0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2"/>
        <v>0</v>
      </c>
      <c r="G32" s="2"/>
      <c r="H32" s="7">
        <v>0</v>
      </c>
      <c r="I32" s="2"/>
      <c r="J32" s="6">
        <f t="shared" si="23"/>
        <v>0</v>
      </c>
      <c r="K32" s="2"/>
      <c r="L32" s="7">
        <f t="shared" si="24"/>
        <v>0</v>
      </c>
      <c r="M32" s="2"/>
      <c r="N32" s="6">
        <f t="shared" si="25"/>
        <v>0</v>
      </c>
      <c r="O32" s="11"/>
      <c r="P32" s="7"/>
      <c r="Q32" s="2"/>
      <c r="R32" s="6">
        <f t="shared" si="26"/>
        <v>0</v>
      </c>
      <c r="S32" s="2"/>
      <c r="T32" s="7">
        <v>0</v>
      </c>
      <c r="U32" s="2"/>
      <c r="V32" s="6">
        <f t="shared" si="27"/>
        <v>0</v>
      </c>
      <c r="W32" s="2"/>
      <c r="X32" s="7">
        <f t="shared" si="28"/>
        <v>0</v>
      </c>
      <c r="Y32" s="2"/>
      <c r="Z32" s="6">
        <f t="shared" si="29"/>
        <v>0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8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8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8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8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8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7" customFormat="1" outlineLevel="1" collapsed="1" x14ac:dyDescent="0.25">
      <c r="A42" s="29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8"/>
      <c r="B43" s="11" t="str">
        <f>CONCATENATE("          ", "6272", " - ", "CASH (OVER/SHORT)")</f>
        <v xml:space="preserve">          6272 - CASH (OVER/SHORT)</v>
      </c>
      <c r="C43" s="11"/>
      <c r="D43" s="7"/>
      <c r="E43" s="2"/>
      <c r="F43" s="6">
        <f t="shared" si="30"/>
        <v>0</v>
      </c>
      <c r="G43" s="2"/>
      <c r="H43" s="7">
        <v>0</v>
      </c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/>
      <c r="Q43" s="2"/>
      <c r="R43" s="6">
        <f t="shared" si="34"/>
        <v>0</v>
      </c>
      <c r="S43" s="2"/>
      <c r="T43" s="7">
        <v>0</v>
      </c>
      <c r="U43" s="2"/>
      <c r="V43" s="6">
        <f t="shared" si="35"/>
        <v>0</v>
      </c>
      <c r="W43" s="2"/>
      <c r="X43" s="7">
        <f t="shared" si="36"/>
        <v>0</v>
      </c>
      <c r="Y43" s="2"/>
      <c r="Z43" s="6">
        <f t="shared" si="37"/>
        <v>0</v>
      </c>
    </row>
    <row r="44" spans="1:26" s="27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30"/>
        <v>0</v>
      </c>
      <c r="G45" s="2"/>
      <c r="H45" s="7">
        <v>0</v>
      </c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/>
      <c r="Q45" s="2"/>
      <c r="R45" s="6">
        <f t="shared" si="34"/>
        <v>0</v>
      </c>
      <c r="S45" s="2"/>
      <c r="T45" s="7">
        <v>0</v>
      </c>
      <c r="U45" s="2"/>
      <c r="V45" s="6">
        <f t="shared" si="35"/>
        <v>0</v>
      </c>
      <c r="W45" s="2"/>
      <c r="X45" s="7">
        <f t="shared" si="36"/>
        <v>0</v>
      </c>
      <c r="Y45" s="2"/>
      <c r="Z45" s="6">
        <f t="shared" si="37"/>
        <v>0</v>
      </c>
    </row>
    <row r="46" spans="1:26" s="27" customFormat="1" outlineLevel="1" collapsed="1" x14ac:dyDescent="0.25">
      <c r="A46" s="29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5233.01</v>
      </c>
      <c r="E46" s="1"/>
      <c r="F46" s="5">
        <f t="shared" si="30"/>
        <v>0</v>
      </c>
      <c r="G46" s="1"/>
      <c r="H46" s="1">
        <f>SUM(OSRRefH22_4x_0)</f>
        <v>5233</v>
      </c>
      <c r="I46" s="1"/>
      <c r="J46" s="5">
        <f t="shared" si="31"/>
        <v>0</v>
      </c>
      <c r="K46" s="1"/>
      <c r="L46" s="1">
        <f t="shared" si="32"/>
        <v>1.0000000000218279E-2</v>
      </c>
      <c r="M46" s="1"/>
      <c r="N46" s="5">
        <f t="shared" si="33"/>
        <v>1.910949742063497E-6</v>
      </c>
      <c r="O46" s="14"/>
      <c r="P46" s="1">
        <f>SUM(OSRRefP22_4x_0)</f>
        <v>21223.16</v>
      </c>
      <c r="Q46" s="1"/>
      <c r="R46" s="5">
        <f t="shared" si="34"/>
        <v>0</v>
      </c>
      <c r="S46" s="1"/>
      <c r="T46" s="1">
        <f>SUM(OSRRefT22_4x_0)</f>
        <v>21223</v>
      </c>
      <c r="U46" s="1"/>
      <c r="V46" s="5">
        <f t="shared" si="35"/>
        <v>0</v>
      </c>
      <c r="W46" s="1"/>
      <c r="X46" s="1">
        <f t="shared" si="36"/>
        <v>0.15999999999985448</v>
      </c>
      <c r="Y46" s="1"/>
      <c r="Z46" s="5">
        <f t="shared" si="37"/>
        <v>7.538990717610822E-6</v>
      </c>
    </row>
    <row r="47" spans="1:26" s="24" customFormat="1" hidden="1" outlineLevel="2" x14ac:dyDescent="0.25">
      <c r="A47" s="28"/>
      <c r="B47" s="11" t="str">
        <f>CONCATENATE("          ", "6321", " - ", "BUILDING DEPRECIATION")</f>
        <v xml:space="preserve">          6321 - BUILDING DEPRECIATION</v>
      </c>
      <c r="C47" s="11"/>
      <c r="D47" s="7">
        <v>4626.5</v>
      </c>
      <c r="E47" s="2"/>
      <c r="F47" s="6">
        <f t="shared" si="30"/>
        <v>0</v>
      </c>
      <c r="G47" s="2"/>
      <c r="H47" s="7"/>
      <c r="I47" s="2"/>
      <c r="J47" s="6">
        <f t="shared" si="31"/>
        <v>0</v>
      </c>
      <c r="K47" s="2"/>
      <c r="L47" s="7">
        <f t="shared" si="32"/>
        <v>4626.5</v>
      </c>
      <c r="M47" s="2"/>
      <c r="N47" s="6">
        <f t="shared" si="33"/>
        <v>0</v>
      </c>
      <c r="O47" s="11"/>
      <c r="P47" s="7">
        <v>18506</v>
      </c>
      <c r="Q47" s="2"/>
      <c r="R47" s="6">
        <f t="shared" si="34"/>
        <v>0</v>
      </c>
      <c r="S47" s="2"/>
      <c r="T47" s="7"/>
      <c r="U47" s="2"/>
      <c r="V47" s="6">
        <f t="shared" si="35"/>
        <v>0</v>
      </c>
      <c r="W47" s="2"/>
      <c r="X47" s="7">
        <f t="shared" si="36"/>
        <v>18506</v>
      </c>
      <c r="Y47" s="2"/>
      <c r="Z47" s="6">
        <f t="shared" si="37"/>
        <v>0</v>
      </c>
    </row>
    <row r="48" spans="1:26" s="24" customFormat="1" hidden="1" outlineLevel="2" x14ac:dyDescent="0.25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606.51</v>
      </c>
      <c r="E48" s="2"/>
      <c r="F48" s="6">
        <f t="shared" si="30"/>
        <v>0</v>
      </c>
      <c r="G48" s="2"/>
      <c r="H48" s="7">
        <v>5233</v>
      </c>
      <c r="I48" s="2"/>
      <c r="J48" s="6">
        <f t="shared" si="31"/>
        <v>0</v>
      </c>
      <c r="K48" s="2"/>
      <c r="L48" s="7">
        <f t="shared" si="32"/>
        <v>-4626.49</v>
      </c>
      <c r="M48" s="2"/>
      <c r="N48" s="6">
        <f t="shared" si="33"/>
        <v>-0.88409898719663671</v>
      </c>
      <c r="O48" s="11"/>
      <c r="P48" s="7">
        <v>2717.16</v>
      </c>
      <c r="Q48" s="2"/>
      <c r="R48" s="6">
        <f t="shared" si="34"/>
        <v>0</v>
      </c>
      <c r="S48" s="2"/>
      <c r="T48" s="7">
        <v>21223</v>
      </c>
      <c r="U48" s="2"/>
      <c r="V48" s="6">
        <f t="shared" si="35"/>
        <v>0</v>
      </c>
      <c r="W48" s="2"/>
      <c r="X48" s="7">
        <f t="shared" si="36"/>
        <v>-18505.84</v>
      </c>
      <c r="Y48" s="2"/>
      <c r="Z48" s="6">
        <f t="shared" si="37"/>
        <v>-0.87197097488573716</v>
      </c>
    </row>
    <row r="49" spans="1:26" s="27" customFormat="1" outlineLevel="1" collapsed="1" x14ac:dyDescent="0.25">
      <c r="A49" s="29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SUM(OSRRefD22_5x_0)</f>
        <v>0</v>
      </c>
      <c r="E49" s="1"/>
      <c r="F49" s="5">
        <f t="shared" ref="F49:F57" si="38">IF(D$12=0,0,D49/D$12)</f>
        <v>0</v>
      </c>
      <c r="G49" s="1"/>
      <c r="H49" s="1">
        <f>SUM(OSRRefH22_5x_0)</f>
        <v>208.333333333333</v>
      </c>
      <c r="I49" s="1"/>
      <c r="J49" s="5">
        <f t="shared" ref="J49:J57" si="39">IF(H$12=0,0,H49/H$12)</f>
        <v>0</v>
      </c>
      <c r="K49" s="1"/>
      <c r="L49" s="1">
        <f t="shared" ref="L49:L57" si="40">+D49-H49</f>
        <v>-208.333333333333</v>
      </c>
      <c r="M49" s="1"/>
      <c r="N49" s="5">
        <f t="shared" ref="N49:N57" si="41">IF(H49=0,0,L49/H49)</f>
        <v>-1</v>
      </c>
      <c r="O49" s="14"/>
      <c r="P49" s="1">
        <f>SUM(OSRRefP22_5x_0)</f>
        <v>96.3</v>
      </c>
      <c r="Q49" s="1"/>
      <c r="R49" s="5">
        <f t="shared" ref="R49:R57" si="42">IF(P$12=0,0,P49/P$12)</f>
        <v>0</v>
      </c>
      <c r="S49" s="1"/>
      <c r="T49" s="1">
        <f>SUM(OSRRefT22_5x_0)</f>
        <v>833.33333333333201</v>
      </c>
      <c r="U49" s="1"/>
      <c r="V49" s="5">
        <f t="shared" ref="V49:V57" si="43">IF(T$12=0,0,T49/T$12)</f>
        <v>0</v>
      </c>
      <c r="W49" s="1"/>
      <c r="X49" s="1">
        <f t="shared" ref="X49:X57" si="44">+P49-T49</f>
        <v>-737.03333333333205</v>
      </c>
      <c r="Y49" s="1"/>
      <c r="Z49" s="5">
        <f t="shared" ref="Z49:Z57" si="45">IF(T49=0,0,X49/T49)</f>
        <v>-0.88443999999999989</v>
      </c>
    </row>
    <row r="50" spans="1:26" s="24" customFormat="1" hidden="1" outlineLevel="2" x14ac:dyDescent="0.25">
      <c r="A50" s="28"/>
      <c r="B50" s="11" t="str">
        <f>CONCATENATE("          ", "6351", " - ", "EQUIPMENT RENTAL")</f>
        <v xml:space="preserve">          6351 - EQUIPMENT RENTAL</v>
      </c>
      <c r="C50" s="11"/>
      <c r="D50" s="7"/>
      <c r="E50" s="2"/>
      <c r="F50" s="6">
        <f t="shared" si="38"/>
        <v>0</v>
      </c>
      <c r="G50" s="2"/>
      <c r="H50" s="7">
        <v>208.333333333333</v>
      </c>
      <c r="I50" s="2"/>
      <c r="J50" s="6">
        <f t="shared" si="39"/>
        <v>0</v>
      </c>
      <c r="K50" s="2"/>
      <c r="L50" s="7">
        <f t="shared" si="40"/>
        <v>-208.333333333333</v>
      </c>
      <c r="M50" s="2"/>
      <c r="N50" s="6">
        <f t="shared" si="41"/>
        <v>-1</v>
      </c>
      <c r="O50" s="11"/>
      <c r="P50" s="7">
        <v>96.3</v>
      </c>
      <c r="Q50" s="2"/>
      <c r="R50" s="6">
        <f t="shared" si="42"/>
        <v>0</v>
      </c>
      <c r="S50" s="2"/>
      <c r="T50" s="7">
        <v>833.33333333333201</v>
      </c>
      <c r="U50" s="2"/>
      <c r="V50" s="6">
        <f t="shared" si="43"/>
        <v>0</v>
      </c>
      <c r="W50" s="2"/>
      <c r="X50" s="7">
        <f t="shared" si="44"/>
        <v>-737.03333333333205</v>
      </c>
      <c r="Y50" s="2"/>
      <c r="Z50" s="6">
        <f t="shared" si="45"/>
        <v>-0.88443999999999989</v>
      </c>
    </row>
    <row r="51" spans="1:26" s="27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SUM(OSRRefP22_6x_0)</f>
        <v>0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0</v>
      </c>
      <c r="Y51" s="1"/>
      <c r="Z51" s="5">
        <f t="shared" si="45"/>
        <v>0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38"/>
        <v>0</v>
      </c>
      <c r="G52" s="2"/>
      <c r="H52" s="7">
        <v>0</v>
      </c>
      <c r="I52" s="2"/>
      <c r="J52" s="6">
        <f t="shared" si="39"/>
        <v>0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>
        <v>0</v>
      </c>
      <c r="Q52" s="2"/>
      <c r="R52" s="6">
        <f t="shared" si="42"/>
        <v>0</v>
      </c>
      <c r="S52" s="2"/>
      <c r="T52" s="7">
        <v>0</v>
      </c>
      <c r="U52" s="2"/>
      <c r="V52" s="6">
        <f t="shared" si="43"/>
        <v>0</v>
      </c>
      <c r="W52" s="2"/>
      <c r="X52" s="7">
        <f t="shared" si="44"/>
        <v>0</v>
      </c>
      <c r="Y52" s="2"/>
      <c r="Z52" s="6">
        <f t="shared" si="45"/>
        <v>0</v>
      </c>
    </row>
    <row r="53" spans="1:26" s="27" customFormat="1" outlineLevel="1" collapsed="1" x14ac:dyDescent="0.25">
      <c r="A53" s="29"/>
      <c r="B53" s="14" t="str">
        <f>CONCATENATE("     ","Rent                                              ")</f>
        <v xml:space="preserve">     Rent   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1943</v>
      </c>
      <c r="I53" s="1"/>
      <c r="J53" s="5">
        <f t="shared" si="39"/>
        <v>0</v>
      </c>
      <c r="K53" s="1"/>
      <c r="L53" s="1">
        <f t="shared" si="40"/>
        <v>-1943</v>
      </c>
      <c r="M53" s="1"/>
      <c r="N53" s="5">
        <f t="shared" si="41"/>
        <v>-1</v>
      </c>
      <c r="O53" s="14"/>
      <c r="P53" s="1">
        <f>SUM(OSRRefP22_7x_0)</f>
        <v>5550</v>
      </c>
      <c r="Q53" s="1"/>
      <c r="R53" s="5">
        <f t="shared" si="42"/>
        <v>0</v>
      </c>
      <c r="S53" s="1"/>
      <c r="T53" s="1">
        <f>SUM(OSRRefT22_7x_0)</f>
        <v>7772</v>
      </c>
      <c r="U53" s="1"/>
      <c r="V53" s="5">
        <f t="shared" si="43"/>
        <v>0</v>
      </c>
      <c r="W53" s="1"/>
      <c r="X53" s="1">
        <f t="shared" si="44"/>
        <v>-2222</v>
      </c>
      <c r="Y53" s="1"/>
      <c r="Z53" s="5">
        <f t="shared" si="45"/>
        <v>-0.28589809572825525</v>
      </c>
    </row>
    <row r="54" spans="1:26" s="24" customFormat="1" hidden="1" outlineLevel="2" x14ac:dyDescent="0.25">
      <c r="A54" s="28"/>
      <c r="B54" s="11" t="str">
        <f>CONCATENATE("          ", "6273", " - ", "RENT")</f>
        <v xml:space="preserve">          6273 - RENT</v>
      </c>
      <c r="C54" s="11"/>
      <c r="D54" s="7"/>
      <c r="E54" s="2"/>
      <c r="F54" s="6">
        <f t="shared" si="38"/>
        <v>0</v>
      </c>
      <c r="G54" s="2"/>
      <c r="H54" s="7">
        <v>1943</v>
      </c>
      <c r="I54" s="2"/>
      <c r="J54" s="6">
        <f t="shared" si="39"/>
        <v>0</v>
      </c>
      <c r="K54" s="2"/>
      <c r="L54" s="7">
        <f t="shared" si="40"/>
        <v>-1943</v>
      </c>
      <c r="M54" s="2"/>
      <c r="N54" s="6">
        <f t="shared" si="41"/>
        <v>-1</v>
      </c>
      <c r="O54" s="11"/>
      <c r="P54" s="7">
        <v>5550</v>
      </c>
      <c r="Q54" s="2"/>
      <c r="R54" s="6">
        <f t="shared" si="42"/>
        <v>0</v>
      </c>
      <c r="S54" s="2"/>
      <c r="T54" s="7">
        <v>7772</v>
      </c>
      <c r="U54" s="2"/>
      <c r="V54" s="6">
        <f t="shared" si="43"/>
        <v>0</v>
      </c>
      <c r="W54" s="2"/>
      <c r="X54" s="7">
        <f t="shared" si="44"/>
        <v>-2222</v>
      </c>
      <c r="Y54" s="2"/>
      <c r="Z54" s="6">
        <f t="shared" si="45"/>
        <v>-0.28589809572825525</v>
      </c>
    </row>
    <row r="55" spans="1:26" s="27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0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SUM(OSRRefP22_8x_0)</f>
        <v>692.95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692.95</v>
      </c>
      <c r="Y55" s="1"/>
      <c r="Z55" s="5">
        <f t="shared" si="45"/>
        <v>0</v>
      </c>
    </row>
    <row r="56" spans="1:26" s="24" customFormat="1" hidden="1" outlineLevel="2" x14ac:dyDescent="0.25">
      <c r="A56" s="28"/>
      <c r="B56" s="11" t="str">
        <f>CONCATENATE("          ", "6373", " - ", "MAINTENANCE CONTRACTS")</f>
        <v xml:space="preserve">          6373 - MAINTENANCE CONTRACTS</v>
      </c>
      <c r="C56" s="11"/>
      <c r="D56" s="7"/>
      <c r="E56" s="2"/>
      <c r="F56" s="6">
        <f t="shared" si="38"/>
        <v>0</v>
      </c>
      <c r="G56" s="2"/>
      <c r="H56" s="7">
        <v>0</v>
      </c>
      <c r="I56" s="2"/>
      <c r="J56" s="6">
        <f t="shared" si="39"/>
        <v>0</v>
      </c>
      <c r="K56" s="2"/>
      <c r="L56" s="7">
        <f t="shared" si="40"/>
        <v>0</v>
      </c>
      <c r="M56" s="2"/>
      <c r="N56" s="6">
        <f t="shared" si="41"/>
        <v>0</v>
      </c>
      <c r="O56" s="11"/>
      <c r="P56" s="7">
        <v>150.94999999999999</v>
      </c>
      <c r="Q56" s="2"/>
      <c r="R56" s="6">
        <f t="shared" si="42"/>
        <v>0</v>
      </c>
      <c r="S56" s="2"/>
      <c r="T56" s="7">
        <v>0</v>
      </c>
      <c r="U56" s="2"/>
      <c r="V56" s="6">
        <f t="shared" si="43"/>
        <v>0</v>
      </c>
      <c r="W56" s="2"/>
      <c r="X56" s="7">
        <f t="shared" si="44"/>
        <v>150.94999999999999</v>
      </c>
      <c r="Y56" s="2"/>
      <c r="Z56" s="6">
        <f t="shared" si="45"/>
        <v>0</v>
      </c>
    </row>
    <row r="57" spans="1:26" s="24" customFormat="1" hidden="1" outlineLevel="2" x14ac:dyDescent="0.25">
      <c r="A57" s="28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38"/>
        <v>0</v>
      </c>
      <c r="G57" s="2"/>
      <c r="H57" s="7">
        <v>0</v>
      </c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>
        <v>542</v>
      </c>
      <c r="Q57" s="2"/>
      <c r="R57" s="6">
        <f t="shared" si="42"/>
        <v>0</v>
      </c>
      <c r="S57" s="2"/>
      <c r="T57" s="7">
        <v>0</v>
      </c>
      <c r="U57" s="2"/>
      <c r="V57" s="6">
        <f t="shared" si="43"/>
        <v>0</v>
      </c>
      <c r="W57" s="2"/>
      <c r="X57" s="7">
        <f t="shared" si="44"/>
        <v>542</v>
      </c>
      <c r="Y57" s="2"/>
      <c r="Z57" s="6">
        <f t="shared" si="45"/>
        <v>0</v>
      </c>
    </row>
    <row r="58" spans="1:26" s="27" customFormat="1" outlineLevel="1" collapsed="1" x14ac:dyDescent="0.25">
      <c r="A58" s="29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1">
        <f>SUM(OSRRefD22_9x_0)</f>
        <v>0</v>
      </c>
      <c r="E58" s="1"/>
      <c r="F58" s="5">
        <f t="shared" ref="F58:F64" si="46">IF(D$12=0,0,D58/D$12)</f>
        <v>0</v>
      </c>
      <c r="G58" s="1"/>
      <c r="H58" s="1">
        <f>SUM(OSRRefH22_9x_0)</f>
        <v>0</v>
      </c>
      <c r="I58" s="1"/>
      <c r="J58" s="5">
        <f t="shared" ref="J58:J64" si="47">IF(H$12=0,0,H58/H$12)</f>
        <v>0</v>
      </c>
      <c r="K58" s="1"/>
      <c r="L58" s="1">
        <f t="shared" ref="L58:L64" si="48">+D58-H58</f>
        <v>0</v>
      </c>
      <c r="M58" s="1"/>
      <c r="N58" s="5">
        <f t="shared" ref="N58:N64" si="49">IF(H58=0,0,L58/H58)</f>
        <v>0</v>
      </c>
      <c r="O58" s="14"/>
      <c r="P58" s="1">
        <f>SUM(OSRRefP22_9x_0)</f>
        <v>0</v>
      </c>
      <c r="Q58" s="1"/>
      <c r="R58" s="5">
        <f t="shared" ref="R58:R64" si="50">IF(P$12=0,0,P58/P$12)</f>
        <v>0</v>
      </c>
      <c r="S58" s="1"/>
      <c r="T58" s="1">
        <f>SUM(OSRRefT22_9x_0)</f>
        <v>0</v>
      </c>
      <c r="U58" s="1"/>
      <c r="V58" s="5">
        <f t="shared" ref="V58:V64" si="51">IF(T$12=0,0,T58/T$12)</f>
        <v>0</v>
      </c>
      <c r="W58" s="1"/>
      <c r="X58" s="1">
        <f t="shared" ref="X58:X64" si="52">+P58-T58</f>
        <v>0</v>
      </c>
      <c r="Y58" s="1"/>
      <c r="Z58" s="5">
        <f t="shared" ref="Z58:Z64" si="53">IF(T58=0,0,X58/T58)</f>
        <v>0</v>
      </c>
    </row>
    <row r="59" spans="1:26" s="24" customFormat="1" hidden="1" outlineLevel="2" x14ac:dyDescent="0.25">
      <c r="A59" s="28"/>
      <c r="B59" s="11" t="str">
        <f>CONCATENATE("          ", "6259", " - ", "ROYALTY &amp; COMMISSIONS")</f>
        <v xml:space="preserve">          6259 - ROYALTY &amp; COMMISSIONS</v>
      </c>
      <c r="C59" s="11"/>
      <c r="D59" s="7"/>
      <c r="E59" s="2"/>
      <c r="F59" s="6">
        <f t="shared" si="46"/>
        <v>0</v>
      </c>
      <c r="G59" s="2"/>
      <c r="H59" s="7">
        <v>0</v>
      </c>
      <c r="I59" s="2"/>
      <c r="J59" s="6">
        <f t="shared" si="47"/>
        <v>0</v>
      </c>
      <c r="K59" s="2"/>
      <c r="L59" s="7">
        <f t="shared" si="48"/>
        <v>0</v>
      </c>
      <c r="M59" s="2"/>
      <c r="N59" s="6">
        <f t="shared" si="49"/>
        <v>0</v>
      </c>
      <c r="O59" s="11"/>
      <c r="P59" s="7"/>
      <c r="Q59" s="2"/>
      <c r="R59" s="6">
        <f t="shared" si="50"/>
        <v>0</v>
      </c>
      <c r="S59" s="2"/>
      <c r="T59" s="7">
        <v>0</v>
      </c>
      <c r="U59" s="2"/>
      <c r="V59" s="6">
        <f t="shared" si="51"/>
        <v>0</v>
      </c>
      <c r="W59" s="2"/>
      <c r="X59" s="7">
        <f t="shared" si="52"/>
        <v>0</v>
      </c>
      <c r="Y59" s="2"/>
      <c r="Z59" s="6">
        <f t="shared" si="53"/>
        <v>0</v>
      </c>
    </row>
    <row r="60" spans="1:26" s="27" customFormat="1" outlineLevel="1" collapsed="1" x14ac:dyDescent="0.25">
      <c r="A60" s="29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SUM(OSRRefD22_10x_0)</f>
        <v>115</v>
      </c>
      <c r="E60" s="1"/>
      <c r="F60" s="5">
        <f t="shared" si="46"/>
        <v>0</v>
      </c>
      <c r="G60" s="1"/>
      <c r="H60" s="1">
        <f>SUM(OSRRefH22_10x_0)</f>
        <v>0</v>
      </c>
      <c r="I60" s="1"/>
      <c r="J60" s="5">
        <f t="shared" si="47"/>
        <v>0</v>
      </c>
      <c r="K60" s="1"/>
      <c r="L60" s="1">
        <f t="shared" si="48"/>
        <v>115</v>
      </c>
      <c r="M60" s="1"/>
      <c r="N60" s="5">
        <f t="shared" si="49"/>
        <v>0</v>
      </c>
      <c r="O60" s="14"/>
      <c r="P60" s="1">
        <f>SUM(OSRRefP22_10x_0)</f>
        <v>115</v>
      </c>
      <c r="Q60" s="1"/>
      <c r="R60" s="5">
        <f t="shared" si="50"/>
        <v>0</v>
      </c>
      <c r="S60" s="1"/>
      <c r="T60" s="1">
        <f>SUM(OSRRefT22_10x_0)</f>
        <v>0</v>
      </c>
      <c r="U60" s="1"/>
      <c r="V60" s="5">
        <f t="shared" si="51"/>
        <v>0</v>
      </c>
      <c r="W60" s="1"/>
      <c r="X60" s="1">
        <f t="shared" si="52"/>
        <v>115</v>
      </c>
      <c r="Y60" s="1"/>
      <c r="Z60" s="5">
        <f t="shared" si="53"/>
        <v>0</v>
      </c>
    </row>
    <row r="61" spans="1:26" s="24" customFormat="1" hidden="1" outlineLevel="2" x14ac:dyDescent="0.25">
      <c r="A61" s="28"/>
      <c r="B61" s="11" t="str">
        <f>CONCATENATE("          ", "6282", " - ", "JANITORIAL/EXTERMINATOR EXPENS")</f>
        <v xml:space="preserve">          6282 - JANITORIAL/EXTERMINATOR EXPENS</v>
      </c>
      <c r="C61" s="11"/>
      <c r="D61" s="7"/>
      <c r="E61" s="2"/>
      <c r="F61" s="6">
        <f t="shared" si="46"/>
        <v>0</v>
      </c>
      <c r="G61" s="2"/>
      <c r="H61" s="7">
        <v>0</v>
      </c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/>
      <c r="Q61" s="2"/>
      <c r="R61" s="6">
        <f t="shared" si="50"/>
        <v>0</v>
      </c>
      <c r="S61" s="2"/>
      <c r="T61" s="7">
        <v>0</v>
      </c>
      <c r="U61" s="2"/>
      <c r="V61" s="6">
        <f t="shared" si="51"/>
        <v>0</v>
      </c>
      <c r="W61" s="2"/>
      <c r="X61" s="7">
        <f t="shared" si="52"/>
        <v>0</v>
      </c>
      <c r="Y61" s="2"/>
      <c r="Z61" s="6">
        <f t="shared" si="53"/>
        <v>0</v>
      </c>
    </row>
    <row r="62" spans="1:26" s="24" customFormat="1" hidden="1" outlineLevel="2" x14ac:dyDescent="0.25">
      <c r="A62" s="28"/>
      <c r="B62" s="11" t="str">
        <f>CONCATENATE("          ", "6284", " - ", "TRASH REMOVAL EXPENSE")</f>
        <v xml:space="preserve">          6284 - TRASH REMOVAL EXPENSE</v>
      </c>
      <c r="C62" s="11"/>
      <c r="D62" s="7">
        <v>115</v>
      </c>
      <c r="E62" s="2"/>
      <c r="F62" s="6">
        <f t="shared" si="46"/>
        <v>0</v>
      </c>
      <c r="G62" s="2"/>
      <c r="H62" s="7">
        <v>0</v>
      </c>
      <c r="I62" s="2"/>
      <c r="J62" s="6">
        <f t="shared" si="47"/>
        <v>0</v>
      </c>
      <c r="K62" s="2"/>
      <c r="L62" s="7">
        <f t="shared" si="48"/>
        <v>115</v>
      </c>
      <c r="M62" s="2"/>
      <c r="N62" s="6">
        <f t="shared" si="49"/>
        <v>0</v>
      </c>
      <c r="O62" s="11"/>
      <c r="P62" s="7">
        <v>115</v>
      </c>
      <c r="Q62" s="2"/>
      <c r="R62" s="6">
        <f t="shared" si="50"/>
        <v>0</v>
      </c>
      <c r="S62" s="2"/>
      <c r="T62" s="7">
        <v>0</v>
      </c>
      <c r="U62" s="2"/>
      <c r="V62" s="6">
        <f t="shared" si="51"/>
        <v>0</v>
      </c>
      <c r="W62" s="2"/>
      <c r="X62" s="7">
        <f t="shared" si="52"/>
        <v>115</v>
      </c>
      <c r="Y62" s="2"/>
      <c r="Z62" s="6">
        <f t="shared" si="53"/>
        <v>0</v>
      </c>
    </row>
    <row r="63" spans="1:26" s="24" customFormat="1" hidden="1" outlineLevel="2" x14ac:dyDescent="0.25">
      <c r="A63" s="28"/>
      <c r="B63" s="11" t="str">
        <f>CONCATENATE("          ", "6285", " - ", "JANITORIAL SERVICES")</f>
        <v xml:space="preserve">          6285 - JANITORIAL SERVICES</v>
      </c>
      <c r="C63" s="11"/>
      <c r="D63" s="7"/>
      <c r="E63" s="2"/>
      <c r="F63" s="6">
        <f t="shared" si="46"/>
        <v>0</v>
      </c>
      <c r="G63" s="2"/>
      <c r="H63" s="7">
        <v>0</v>
      </c>
      <c r="I63" s="2"/>
      <c r="J63" s="6">
        <f t="shared" si="47"/>
        <v>0</v>
      </c>
      <c r="K63" s="2"/>
      <c r="L63" s="7">
        <f t="shared" si="48"/>
        <v>0</v>
      </c>
      <c r="M63" s="2"/>
      <c r="N63" s="6">
        <f t="shared" si="49"/>
        <v>0</v>
      </c>
      <c r="O63" s="11"/>
      <c r="P63" s="7"/>
      <c r="Q63" s="2"/>
      <c r="R63" s="6">
        <f t="shared" si="50"/>
        <v>0</v>
      </c>
      <c r="S63" s="2"/>
      <c r="T63" s="7">
        <v>0</v>
      </c>
      <c r="U63" s="2"/>
      <c r="V63" s="6">
        <f t="shared" si="51"/>
        <v>0</v>
      </c>
      <c r="W63" s="2"/>
      <c r="X63" s="7">
        <f t="shared" si="52"/>
        <v>0</v>
      </c>
      <c r="Y63" s="2"/>
      <c r="Z63" s="6">
        <f t="shared" si="53"/>
        <v>0</v>
      </c>
    </row>
    <row r="64" spans="1:26" s="24" customFormat="1" hidden="1" outlineLevel="2" x14ac:dyDescent="0.25">
      <c r="A64" s="28"/>
      <c r="B64" s="11" t="str">
        <f>CONCATENATE("          ", "6286", " - ", "LAUNDRY EXPENSE")</f>
        <v xml:space="preserve">          6286 - LAUNDRY EXPENSE</v>
      </c>
      <c r="C64" s="11"/>
      <c r="D64" s="7"/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7" customFormat="1" outlineLevel="1" collapsed="1" x14ac:dyDescent="0.25">
      <c r="A65" s="29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1">
        <f>SUM(OSRRefD22_11x_0)</f>
        <v>0</v>
      </c>
      <c r="E65" s="1"/>
      <c r="F65" s="5">
        <f t="shared" ref="F65:F76" si="54">IF(D$12=0,0,D65/D$12)</f>
        <v>0</v>
      </c>
      <c r="G65" s="1"/>
      <c r="H65" s="1">
        <f>SUM(OSRRefH22_11x_0)</f>
        <v>0</v>
      </c>
      <c r="I65" s="1"/>
      <c r="J65" s="5">
        <f t="shared" ref="J65:J76" si="55">IF(H$12=0,0,H65/H$12)</f>
        <v>0</v>
      </c>
      <c r="K65" s="1"/>
      <c r="L65" s="1">
        <f t="shared" ref="L65:L76" si="56">+D65-H65</f>
        <v>0</v>
      </c>
      <c r="M65" s="1"/>
      <c r="N65" s="5">
        <f t="shared" ref="N65:N76" si="57">IF(H65=0,0,L65/H65)</f>
        <v>0</v>
      </c>
      <c r="O65" s="14"/>
      <c r="P65" s="1">
        <f>SUM(OSRRefP22_11x_0)</f>
        <v>0</v>
      </c>
      <c r="Q65" s="1"/>
      <c r="R65" s="5">
        <f t="shared" ref="R65:R76" si="58">IF(P$12=0,0,P65/P$12)</f>
        <v>0</v>
      </c>
      <c r="S65" s="1"/>
      <c r="T65" s="1">
        <f>SUM(OSRRefT22_11x_0)</f>
        <v>0</v>
      </c>
      <c r="U65" s="1"/>
      <c r="V65" s="5">
        <f t="shared" ref="V65:V76" si="59">IF(T$12=0,0,T65/T$12)</f>
        <v>0</v>
      </c>
      <c r="W65" s="1"/>
      <c r="X65" s="1">
        <f t="shared" ref="X65:X76" si="60">+P65-T65</f>
        <v>0</v>
      </c>
      <c r="Y65" s="1"/>
      <c r="Z65" s="5">
        <f t="shared" ref="Z65:Z76" si="61">IF(T65=0,0,X65/T65)</f>
        <v>0</v>
      </c>
    </row>
    <row r="66" spans="1:26" s="24" customFormat="1" hidden="1" outlineLevel="2" x14ac:dyDescent="0.25">
      <c r="A66" s="28"/>
      <c r="B66" s="11" t="str">
        <f>CONCATENATE("          ", "6275", " - ", "SUBSCRIPTIONS")</f>
        <v xml:space="preserve">          6275 - SUBSCRIPTIONS</v>
      </c>
      <c r="C66" s="11"/>
      <c r="D66" s="7"/>
      <c r="E66" s="2"/>
      <c r="F66" s="6">
        <f t="shared" si="54"/>
        <v>0</v>
      </c>
      <c r="G66" s="2"/>
      <c r="H66" s="7">
        <v>0</v>
      </c>
      <c r="I66" s="2"/>
      <c r="J66" s="6">
        <f t="shared" si="55"/>
        <v>0</v>
      </c>
      <c r="K66" s="2"/>
      <c r="L66" s="7">
        <f t="shared" si="56"/>
        <v>0</v>
      </c>
      <c r="M66" s="2"/>
      <c r="N66" s="6">
        <f t="shared" si="57"/>
        <v>0</v>
      </c>
      <c r="O66" s="11"/>
      <c r="P66" s="7"/>
      <c r="Q66" s="2"/>
      <c r="R66" s="6">
        <f t="shared" si="58"/>
        <v>0</v>
      </c>
      <c r="S66" s="2"/>
      <c r="T66" s="7">
        <v>0</v>
      </c>
      <c r="U66" s="2"/>
      <c r="V66" s="6">
        <f t="shared" si="59"/>
        <v>0</v>
      </c>
      <c r="W66" s="2"/>
      <c r="X66" s="7">
        <f t="shared" si="60"/>
        <v>0</v>
      </c>
      <c r="Y66" s="2"/>
      <c r="Z66" s="6">
        <f t="shared" si="61"/>
        <v>0</v>
      </c>
    </row>
    <row r="67" spans="1:26" s="27" customFormat="1" outlineLevel="1" collapsed="1" x14ac:dyDescent="0.25">
      <c r="A67" s="29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SUM(OSRRefD22_12x_0)</f>
        <v>0</v>
      </c>
      <c r="E67" s="1"/>
      <c r="F67" s="5">
        <f t="shared" si="54"/>
        <v>0</v>
      </c>
      <c r="G67" s="1"/>
      <c r="H67" s="1">
        <f>SUM(OSRRefH22_12x_0)</f>
        <v>0</v>
      </c>
      <c r="I67" s="1"/>
      <c r="J67" s="5">
        <f t="shared" si="55"/>
        <v>0</v>
      </c>
      <c r="K67" s="1"/>
      <c r="L67" s="1">
        <f t="shared" si="56"/>
        <v>0</v>
      </c>
      <c r="M67" s="1"/>
      <c r="N67" s="5">
        <f t="shared" si="57"/>
        <v>0</v>
      </c>
      <c r="O67" s="14"/>
      <c r="P67" s="1">
        <f>SUM(OSRRefP22_12x_0)</f>
        <v>0</v>
      </c>
      <c r="Q67" s="1"/>
      <c r="R67" s="5">
        <f t="shared" si="58"/>
        <v>0</v>
      </c>
      <c r="S67" s="1"/>
      <c r="T67" s="1">
        <f>SUM(OSRRefT22_12x_0)</f>
        <v>0</v>
      </c>
      <c r="U67" s="1"/>
      <c r="V67" s="5">
        <f t="shared" si="59"/>
        <v>0</v>
      </c>
      <c r="W67" s="1"/>
      <c r="X67" s="1">
        <f t="shared" si="60"/>
        <v>0</v>
      </c>
      <c r="Y67" s="1"/>
      <c r="Z67" s="5">
        <f t="shared" si="61"/>
        <v>0</v>
      </c>
    </row>
    <row r="68" spans="1:26" s="24" customFormat="1" hidden="1" outlineLevel="2" x14ac:dyDescent="0.25">
      <c r="A68" s="28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54"/>
        <v>0</v>
      </c>
      <c r="G68" s="2"/>
      <c r="H68" s="7">
        <v>0</v>
      </c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/>
      <c r="Q68" s="2"/>
      <c r="R68" s="6">
        <f t="shared" si="58"/>
        <v>0</v>
      </c>
      <c r="S68" s="2"/>
      <c r="T68" s="7">
        <v>0</v>
      </c>
      <c r="U68" s="2"/>
      <c r="V68" s="6">
        <f t="shared" si="59"/>
        <v>0</v>
      </c>
      <c r="W68" s="2"/>
      <c r="X68" s="7">
        <f t="shared" si="60"/>
        <v>0</v>
      </c>
      <c r="Y68" s="2"/>
      <c r="Z68" s="6">
        <f t="shared" si="61"/>
        <v>0</v>
      </c>
    </row>
    <row r="69" spans="1:26" s="24" customFormat="1" hidden="1" outlineLevel="2" x14ac:dyDescent="0.25">
      <c r="A69" s="28"/>
      <c r="B69" s="11" t="str">
        <f>CONCATENATE("          ", "6237", " - ", "JANITORIAL SUPPLIES")</f>
        <v xml:space="preserve">          6237 - JANITORIAL SUPPLIES</v>
      </c>
      <c r="C69" s="11"/>
      <c r="D69" s="7"/>
      <c r="E69" s="2"/>
      <c r="F69" s="6">
        <f t="shared" si="54"/>
        <v>0</v>
      </c>
      <c r="G69" s="2"/>
      <c r="H69" s="7">
        <v>0</v>
      </c>
      <c r="I69" s="2"/>
      <c r="J69" s="6">
        <f t="shared" si="55"/>
        <v>0</v>
      </c>
      <c r="K69" s="2"/>
      <c r="L69" s="7">
        <f t="shared" si="56"/>
        <v>0</v>
      </c>
      <c r="M69" s="2"/>
      <c r="N69" s="6">
        <f t="shared" si="57"/>
        <v>0</v>
      </c>
      <c r="O69" s="11"/>
      <c r="P69" s="7"/>
      <c r="Q69" s="2"/>
      <c r="R69" s="6">
        <f t="shared" si="58"/>
        <v>0</v>
      </c>
      <c r="S69" s="2"/>
      <c r="T69" s="7">
        <v>0</v>
      </c>
      <c r="U69" s="2"/>
      <c r="V69" s="6">
        <f t="shared" si="59"/>
        <v>0</v>
      </c>
      <c r="W69" s="2"/>
      <c r="X69" s="7">
        <f t="shared" si="60"/>
        <v>0</v>
      </c>
      <c r="Y69" s="2"/>
      <c r="Z69" s="6">
        <f t="shared" si="61"/>
        <v>0</v>
      </c>
    </row>
    <row r="70" spans="1:26" s="24" customFormat="1" hidden="1" outlineLevel="2" x14ac:dyDescent="0.25">
      <c r="A70" s="28"/>
      <c r="B70" s="11" t="str">
        <f>CONCATENATE("          ", "6239", " - ", "KITCHEN SUPPLIES")</f>
        <v xml:space="preserve">          6239 - KITCHEN SUPPLIES</v>
      </c>
      <c r="C70" s="11"/>
      <c r="D70" s="7"/>
      <c r="E70" s="2"/>
      <c r="F70" s="6">
        <f t="shared" si="54"/>
        <v>0</v>
      </c>
      <c r="G70" s="2"/>
      <c r="H70" s="7">
        <v>0</v>
      </c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/>
      <c r="Q70" s="2"/>
      <c r="R70" s="6">
        <f t="shared" si="58"/>
        <v>0</v>
      </c>
      <c r="S70" s="2"/>
      <c r="T70" s="7">
        <v>0</v>
      </c>
      <c r="U70" s="2"/>
      <c r="V70" s="6">
        <f t="shared" si="59"/>
        <v>0</v>
      </c>
      <c r="W70" s="2"/>
      <c r="X70" s="7">
        <f t="shared" si="60"/>
        <v>0</v>
      </c>
      <c r="Y70" s="2"/>
      <c r="Z70" s="6">
        <f t="shared" si="61"/>
        <v>0</v>
      </c>
    </row>
    <row r="71" spans="1:26" s="24" customFormat="1" hidden="1" outlineLevel="2" x14ac:dyDescent="0.25">
      <c r="A71" s="28"/>
      <c r="B71" s="11" t="str">
        <f>CONCATENATE("          ", "6241", " - ", "OFFICE EXPENSE")</f>
        <v xml:space="preserve">          6241 - OFFICE EXPENSE</v>
      </c>
      <c r="C71" s="11"/>
      <c r="D71" s="7"/>
      <c r="E71" s="2"/>
      <c r="F71" s="6">
        <f t="shared" si="54"/>
        <v>0</v>
      </c>
      <c r="G71" s="2"/>
      <c r="H71" s="7">
        <v>0</v>
      </c>
      <c r="I71" s="2"/>
      <c r="J71" s="6">
        <f t="shared" si="55"/>
        <v>0</v>
      </c>
      <c r="K71" s="2"/>
      <c r="L71" s="7">
        <f t="shared" si="56"/>
        <v>0</v>
      </c>
      <c r="M71" s="2"/>
      <c r="N71" s="6">
        <f t="shared" si="57"/>
        <v>0</v>
      </c>
      <c r="O71" s="11"/>
      <c r="P71" s="7"/>
      <c r="Q71" s="2"/>
      <c r="R71" s="6">
        <f t="shared" si="58"/>
        <v>0</v>
      </c>
      <c r="S71" s="2"/>
      <c r="T71" s="7">
        <v>0</v>
      </c>
      <c r="U71" s="2"/>
      <c r="V71" s="6">
        <f t="shared" si="59"/>
        <v>0</v>
      </c>
      <c r="W71" s="2"/>
      <c r="X71" s="7">
        <f t="shared" si="60"/>
        <v>0</v>
      </c>
      <c r="Y71" s="2"/>
      <c r="Z71" s="6">
        <f t="shared" si="61"/>
        <v>0</v>
      </c>
    </row>
    <row r="72" spans="1:26" s="24" customFormat="1" hidden="1" outlineLevel="2" x14ac:dyDescent="0.25">
      <c r="A72" s="28"/>
      <c r="B72" s="11" t="str">
        <f>CONCATENATE("          ", "6243", " - ", "PAPER SUPPLIES")</f>
        <v xml:space="preserve">          6243 - PAPER SUPPLIES</v>
      </c>
      <c r="C72" s="11"/>
      <c r="D72" s="7"/>
      <c r="E72" s="2"/>
      <c r="F72" s="6">
        <f t="shared" si="54"/>
        <v>0</v>
      </c>
      <c r="G72" s="2"/>
      <c r="H72" s="7">
        <v>0</v>
      </c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/>
      <c r="Q72" s="2"/>
      <c r="R72" s="6">
        <f t="shared" si="58"/>
        <v>0</v>
      </c>
      <c r="S72" s="2"/>
      <c r="T72" s="7">
        <v>0</v>
      </c>
      <c r="U72" s="2"/>
      <c r="V72" s="6">
        <f t="shared" si="59"/>
        <v>0</v>
      </c>
      <c r="W72" s="2"/>
      <c r="X72" s="7">
        <f t="shared" si="60"/>
        <v>0</v>
      </c>
      <c r="Y72" s="2"/>
      <c r="Z72" s="6">
        <f t="shared" si="61"/>
        <v>0</v>
      </c>
    </row>
    <row r="73" spans="1:26" s="24" customFormat="1" hidden="1" outlineLevel="2" x14ac:dyDescent="0.25">
      <c r="A73" s="28"/>
      <c r="B73" s="11" t="str">
        <f>CONCATENATE("          ", "6245", " - ", "PRINTING")</f>
        <v xml:space="preserve">          6245 - PRINTING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25">
      <c r="A74" s="28"/>
      <c r="B74" s="11" t="str">
        <f>CONCATENATE("          ", "6246", " - ", "REPLACEMENTS")</f>
        <v xml:space="preserve">          6246 - REPLACEMENTS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/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0</v>
      </c>
      <c r="Y74" s="2"/>
      <c r="Z74" s="6">
        <f t="shared" si="61"/>
        <v>0</v>
      </c>
    </row>
    <row r="75" spans="1:26" s="24" customFormat="1" hidden="1" outlineLevel="2" x14ac:dyDescent="0.25">
      <c r="A75" s="28"/>
      <c r="B75" s="11" t="str">
        <f>CONCATENATE("          ", "6247", " - ", "STORE SUPPLIES")</f>
        <v xml:space="preserve">          6247 - STORE SUPPLIES</v>
      </c>
      <c r="C75" s="11"/>
      <c r="D75" s="7"/>
      <c r="E75" s="2"/>
      <c r="F75" s="6">
        <f t="shared" si="54"/>
        <v>0</v>
      </c>
      <c r="G75" s="2"/>
      <c r="H75" s="7">
        <v>0</v>
      </c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/>
      <c r="Q75" s="2"/>
      <c r="R75" s="6">
        <f t="shared" si="58"/>
        <v>0</v>
      </c>
      <c r="S75" s="2"/>
      <c r="T75" s="7">
        <v>0</v>
      </c>
      <c r="U75" s="2"/>
      <c r="V75" s="6">
        <f t="shared" si="59"/>
        <v>0</v>
      </c>
      <c r="W75" s="2"/>
      <c r="X75" s="7">
        <f t="shared" si="60"/>
        <v>0</v>
      </c>
      <c r="Y75" s="2"/>
      <c r="Z75" s="6">
        <f t="shared" si="61"/>
        <v>0</v>
      </c>
    </row>
    <row r="76" spans="1:26" s="24" customFormat="1" hidden="1" outlineLevel="2" x14ac:dyDescent="0.25">
      <c r="A76" s="28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54"/>
        <v>0</v>
      </c>
      <c r="G76" s="2"/>
      <c r="H76" s="7"/>
      <c r="I76" s="2"/>
      <c r="J76" s="6">
        <f t="shared" si="55"/>
        <v>0</v>
      </c>
      <c r="K76" s="2"/>
      <c r="L76" s="7">
        <f t="shared" si="56"/>
        <v>0</v>
      </c>
      <c r="M76" s="2"/>
      <c r="N76" s="6">
        <f t="shared" si="57"/>
        <v>0</v>
      </c>
      <c r="O76" s="11"/>
      <c r="P76" s="7"/>
      <c r="Q76" s="2"/>
      <c r="R76" s="6">
        <f t="shared" si="58"/>
        <v>0</v>
      </c>
      <c r="S76" s="2"/>
      <c r="T76" s="7">
        <v>0</v>
      </c>
      <c r="U76" s="2"/>
      <c r="V76" s="6">
        <f t="shared" si="59"/>
        <v>0</v>
      </c>
      <c r="W76" s="2"/>
      <c r="X76" s="7">
        <f t="shared" si="60"/>
        <v>0</v>
      </c>
      <c r="Y76" s="2"/>
      <c r="Z76" s="6">
        <f t="shared" si="61"/>
        <v>0</v>
      </c>
    </row>
    <row r="77" spans="1:26" s="27" customFormat="1" outlineLevel="1" collapsed="1" x14ac:dyDescent="0.25">
      <c r="A77" s="29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SUM(OSRRefD22_13x_0)</f>
        <v>8.43</v>
      </c>
      <c r="E77" s="1"/>
      <c r="F77" s="5">
        <f t="shared" ref="F77:F82" si="62">IF(D$12=0,0,D77/D$12)</f>
        <v>0</v>
      </c>
      <c r="G77" s="1"/>
      <c r="H77" s="1">
        <f>SUM(OSRRefH22_13x_0)</f>
        <v>0</v>
      </c>
      <c r="I77" s="1"/>
      <c r="J77" s="5">
        <f t="shared" ref="J77:J82" si="63">IF(H$12=0,0,H77/H$12)</f>
        <v>0</v>
      </c>
      <c r="K77" s="1"/>
      <c r="L77" s="1">
        <f t="shared" ref="L77:L82" si="64">+D77-H77</f>
        <v>8.43</v>
      </c>
      <c r="M77" s="1"/>
      <c r="N77" s="5">
        <f t="shared" ref="N77:N82" si="65">IF(H77=0,0,L77/H77)</f>
        <v>0</v>
      </c>
      <c r="O77" s="14"/>
      <c r="P77" s="1">
        <f>SUM(OSRRefP22_13x_0)</f>
        <v>77.430000000000007</v>
      </c>
      <c r="Q77" s="1"/>
      <c r="R77" s="5">
        <f t="shared" ref="R77:R82" si="66">IF(P$12=0,0,P77/P$12)</f>
        <v>0</v>
      </c>
      <c r="S77" s="1"/>
      <c r="T77" s="1">
        <f>SUM(OSRRefT22_13x_0)</f>
        <v>0</v>
      </c>
      <c r="U77" s="1"/>
      <c r="V77" s="5">
        <f t="shared" ref="V77:V82" si="67">IF(T$12=0,0,T77/T$12)</f>
        <v>0</v>
      </c>
      <c r="W77" s="1"/>
      <c r="X77" s="1">
        <f t="shared" ref="X77:X82" si="68">+P77-T77</f>
        <v>77.430000000000007</v>
      </c>
      <c r="Y77" s="1"/>
      <c r="Z77" s="5">
        <f t="shared" ref="Z77:Z82" si="69">IF(T77=0,0,X77/T77)</f>
        <v>0</v>
      </c>
    </row>
    <row r="78" spans="1:26" s="24" customFormat="1" hidden="1" outlineLevel="2" x14ac:dyDescent="0.25">
      <c r="A78" s="28"/>
      <c r="B78" s="11" t="str">
        <f>CONCATENATE("          ", "6309", " - ", "TELEPHONE")</f>
        <v xml:space="preserve">          6309 - TELEPHONE</v>
      </c>
      <c r="C78" s="11"/>
      <c r="D78" s="7">
        <v>8.43</v>
      </c>
      <c r="E78" s="2"/>
      <c r="F78" s="6">
        <f t="shared" si="62"/>
        <v>0</v>
      </c>
      <c r="G78" s="2"/>
      <c r="H78" s="7">
        <v>0</v>
      </c>
      <c r="I78" s="2"/>
      <c r="J78" s="6">
        <f t="shared" si="63"/>
        <v>0</v>
      </c>
      <c r="K78" s="2"/>
      <c r="L78" s="7">
        <f t="shared" si="64"/>
        <v>8.43</v>
      </c>
      <c r="M78" s="2"/>
      <c r="N78" s="6">
        <f t="shared" si="65"/>
        <v>0</v>
      </c>
      <c r="O78" s="11"/>
      <c r="P78" s="7">
        <v>77.430000000000007</v>
      </c>
      <c r="Q78" s="2"/>
      <c r="R78" s="6">
        <f t="shared" si="66"/>
        <v>0</v>
      </c>
      <c r="S78" s="2"/>
      <c r="T78" s="7">
        <v>0</v>
      </c>
      <c r="U78" s="2"/>
      <c r="V78" s="6">
        <f t="shared" si="67"/>
        <v>0</v>
      </c>
      <c r="W78" s="2"/>
      <c r="X78" s="7">
        <f t="shared" si="68"/>
        <v>77.430000000000007</v>
      </c>
      <c r="Y78" s="2"/>
      <c r="Z78" s="6">
        <f t="shared" si="69"/>
        <v>0</v>
      </c>
    </row>
    <row r="79" spans="1:26" s="27" customFormat="1" outlineLevel="1" collapsed="1" x14ac:dyDescent="0.25">
      <c r="A79" s="29"/>
      <c r="B79" s="14" t="str">
        <f>CONCATENATE("     ","Travel                                            ")</f>
        <v xml:space="preserve">     Travel                                            </v>
      </c>
      <c r="C79" s="14"/>
      <c r="D79" s="1">
        <f>SUM(OSRRefD22_14x_0)</f>
        <v>0</v>
      </c>
      <c r="E79" s="1"/>
      <c r="F79" s="5">
        <f t="shared" si="62"/>
        <v>0</v>
      </c>
      <c r="G79" s="1"/>
      <c r="H79" s="1">
        <f>SUM(OSRRefH22_14x_0)</f>
        <v>0</v>
      </c>
      <c r="I79" s="1"/>
      <c r="J79" s="5">
        <f t="shared" si="63"/>
        <v>0</v>
      </c>
      <c r="K79" s="1"/>
      <c r="L79" s="1">
        <f t="shared" si="64"/>
        <v>0</v>
      </c>
      <c r="M79" s="1"/>
      <c r="N79" s="5">
        <f t="shared" si="65"/>
        <v>0</v>
      </c>
      <c r="O79" s="14"/>
      <c r="P79" s="1">
        <f>SUM(OSRRefP22_14x_0)</f>
        <v>0</v>
      </c>
      <c r="Q79" s="1"/>
      <c r="R79" s="5">
        <f t="shared" si="66"/>
        <v>0</v>
      </c>
      <c r="S79" s="1"/>
      <c r="T79" s="1">
        <f>SUM(OSRRefT22_14x_0)</f>
        <v>0</v>
      </c>
      <c r="U79" s="1"/>
      <c r="V79" s="5">
        <f t="shared" si="67"/>
        <v>0</v>
      </c>
      <c r="W79" s="1"/>
      <c r="X79" s="1">
        <f t="shared" si="68"/>
        <v>0</v>
      </c>
      <c r="Y79" s="1"/>
      <c r="Z79" s="5">
        <f t="shared" si="69"/>
        <v>0</v>
      </c>
    </row>
    <row r="80" spans="1:26" s="24" customFormat="1" hidden="1" outlineLevel="2" x14ac:dyDescent="0.25">
      <c r="A80" s="28"/>
      <c r="B80" s="11" t="str">
        <f>CONCATENATE("          ", "6292", " - ", "TRAVEL/CONFERENCE")</f>
        <v xml:space="preserve">          6292 - TRAVEL/CONFERENCE</v>
      </c>
      <c r="C80" s="11"/>
      <c r="D80" s="7"/>
      <c r="E80" s="2"/>
      <c r="F80" s="6">
        <f t="shared" si="62"/>
        <v>0</v>
      </c>
      <c r="G80" s="2"/>
      <c r="H80" s="7"/>
      <c r="I80" s="2"/>
      <c r="J80" s="6">
        <f t="shared" si="63"/>
        <v>0</v>
      </c>
      <c r="K80" s="2"/>
      <c r="L80" s="7">
        <f t="shared" si="64"/>
        <v>0</v>
      </c>
      <c r="M80" s="2"/>
      <c r="N80" s="6">
        <f t="shared" si="65"/>
        <v>0</v>
      </c>
      <c r="O80" s="11"/>
      <c r="P80" s="7"/>
      <c r="Q80" s="2"/>
      <c r="R80" s="6">
        <f t="shared" si="66"/>
        <v>0</v>
      </c>
      <c r="S80" s="2"/>
      <c r="T80" s="7">
        <v>0</v>
      </c>
      <c r="U80" s="2"/>
      <c r="V80" s="6">
        <f t="shared" si="67"/>
        <v>0</v>
      </c>
      <c r="W80" s="2"/>
      <c r="X80" s="7">
        <f t="shared" si="68"/>
        <v>0</v>
      </c>
      <c r="Y80" s="2"/>
      <c r="Z80" s="6">
        <f t="shared" si="69"/>
        <v>0</v>
      </c>
    </row>
    <row r="81" spans="1:26" s="27" customFormat="1" outlineLevel="1" collapsed="1" x14ac:dyDescent="0.25">
      <c r="A81" s="29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SUM(OSRRefD22_15x_0)</f>
        <v>348</v>
      </c>
      <c r="E81" s="1"/>
      <c r="F81" s="5">
        <f t="shared" si="62"/>
        <v>0</v>
      </c>
      <c r="G81" s="1"/>
      <c r="H81" s="1">
        <f>SUM(OSRRefH22_15x_0)</f>
        <v>0</v>
      </c>
      <c r="I81" s="1"/>
      <c r="J81" s="5">
        <f t="shared" si="63"/>
        <v>0</v>
      </c>
      <c r="K81" s="1"/>
      <c r="L81" s="1">
        <f t="shared" si="64"/>
        <v>348</v>
      </c>
      <c r="M81" s="1"/>
      <c r="N81" s="5">
        <f t="shared" si="65"/>
        <v>0</v>
      </c>
      <c r="O81" s="14"/>
      <c r="P81" s="1">
        <f>SUM(OSRRefP22_15x_0)</f>
        <v>348</v>
      </c>
      <c r="Q81" s="1"/>
      <c r="R81" s="5">
        <f t="shared" si="66"/>
        <v>0</v>
      </c>
      <c r="S81" s="1"/>
      <c r="T81" s="1">
        <f>SUM(OSRRefT22_15x_0)</f>
        <v>0</v>
      </c>
      <c r="U81" s="1"/>
      <c r="V81" s="5">
        <f t="shared" si="67"/>
        <v>0</v>
      </c>
      <c r="W81" s="1"/>
      <c r="X81" s="1">
        <f t="shared" si="68"/>
        <v>348</v>
      </c>
      <c r="Y81" s="1"/>
      <c r="Z81" s="5">
        <f t="shared" si="69"/>
        <v>0</v>
      </c>
    </row>
    <row r="82" spans="1:26" s="24" customFormat="1" hidden="1" outlineLevel="2" x14ac:dyDescent="0.25">
      <c r="A82" s="28"/>
      <c r="B82" s="11" t="str">
        <f>CONCATENATE("          ", "6274", " - ", "UTILITIES")</f>
        <v xml:space="preserve">          6274 - UTILITIES</v>
      </c>
      <c r="C82" s="11"/>
      <c r="D82" s="7">
        <v>348</v>
      </c>
      <c r="E82" s="2"/>
      <c r="F82" s="6">
        <f t="shared" si="62"/>
        <v>0</v>
      </c>
      <c r="G82" s="2"/>
      <c r="H82" s="7">
        <v>0</v>
      </c>
      <c r="I82" s="2"/>
      <c r="J82" s="6">
        <f t="shared" si="63"/>
        <v>0</v>
      </c>
      <c r="K82" s="2"/>
      <c r="L82" s="7">
        <f t="shared" si="64"/>
        <v>348</v>
      </c>
      <c r="M82" s="2"/>
      <c r="N82" s="6">
        <f t="shared" si="65"/>
        <v>0</v>
      </c>
      <c r="O82" s="11"/>
      <c r="P82" s="7">
        <v>348</v>
      </c>
      <c r="Q82" s="2"/>
      <c r="R82" s="6">
        <f t="shared" si="66"/>
        <v>0</v>
      </c>
      <c r="S82" s="2"/>
      <c r="T82" s="7">
        <v>0</v>
      </c>
      <c r="U82" s="2"/>
      <c r="V82" s="6">
        <f t="shared" si="67"/>
        <v>0</v>
      </c>
      <c r="W82" s="2"/>
      <c r="X82" s="7">
        <f t="shared" si="68"/>
        <v>348</v>
      </c>
      <c r="Y82" s="2"/>
      <c r="Z82" s="6">
        <f t="shared" si="69"/>
        <v>0</v>
      </c>
    </row>
    <row r="83" spans="1:26" s="63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5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6" t="s">
        <v>3</v>
      </c>
      <c r="C86" s="26"/>
      <c r="D86" s="20">
        <f>+D19-D21+D84</f>
        <v>-5704.4400000000005</v>
      </c>
      <c r="E86" s="13"/>
      <c r="F86" s="19">
        <f>IF(D$12=0,0,D86/D$12)</f>
        <v>0</v>
      </c>
      <c r="G86" s="13"/>
      <c r="H86" s="20">
        <f>+H19-H21+H84</f>
        <v>-7384.333333333333</v>
      </c>
      <c r="I86" s="13"/>
      <c r="J86" s="19">
        <f>IF(H$12=0,0,H86/H$12)</f>
        <v>0</v>
      </c>
      <c r="K86" s="15"/>
      <c r="L86" s="20">
        <f>+D86-H86</f>
        <v>1679.8933333333325</v>
      </c>
      <c r="M86" s="15"/>
      <c r="N86" s="19">
        <f>IF(H86=0,0,L86/H86)</f>
        <v>-0.2274942445718412</v>
      </c>
      <c r="O86" s="25"/>
      <c r="P86" s="20">
        <f>+P19-P21+P84</f>
        <v>-28102.84</v>
      </c>
      <c r="Q86" s="13"/>
      <c r="R86" s="19">
        <f>IF(P$12=0,0,P86/P$12)</f>
        <v>0</v>
      </c>
      <c r="S86" s="13"/>
      <c r="T86" s="20">
        <f>+T19-T21+T84</f>
        <v>-29828.333333333332</v>
      </c>
      <c r="U86" s="13"/>
      <c r="V86" s="19">
        <f>IF(T$12=0,0,T86/T$12)</f>
        <v>0</v>
      </c>
      <c r="W86" s="15"/>
      <c r="X86" s="20">
        <f>+P86-T86</f>
        <v>1725.493333333332</v>
      </c>
      <c r="Y86" s="15"/>
      <c r="Z86" s="19">
        <f>IF(T86=0,0,X86/T86)</f>
        <v>-5.7847460468234857E-2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/>
      <c r="E88" s="4"/>
      <c r="F88" s="12">
        <f>IF(D$12=0,0,D88/D$12)</f>
        <v>0</v>
      </c>
      <c r="G88" s="4"/>
      <c r="H88" s="4"/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/>
      <c r="Q88" s="4"/>
      <c r="R88" s="12">
        <f>IF(P$12=0,0,P88/P$12)</f>
        <v>0</v>
      </c>
      <c r="S88" s="4"/>
      <c r="T88" s="4"/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4</v>
      </c>
      <c r="C90" s="26"/>
      <c r="D90" s="34">
        <f>+D86-D88</f>
        <v>-5704.4400000000005</v>
      </c>
      <c r="E90" s="13"/>
      <c r="F90" s="35">
        <f>IF(D$12=0,0,D90/D$12)</f>
        <v>0</v>
      </c>
      <c r="G90" s="13"/>
      <c r="H90" s="34">
        <f>+H86-H88</f>
        <v>-7384.333333333333</v>
      </c>
      <c r="I90" s="13"/>
      <c r="J90" s="35">
        <f>IF(H$12=0,0,H90/H$12)</f>
        <v>0</v>
      </c>
      <c r="K90" s="15"/>
      <c r="L90" s="34">
        <f>D90-H90</f>
        <v>1679.8933333333325</v>
      </c>
      <c r="M90" s="15"/>
      <c r="N90" s="35">
        <f>IF(H90=0,0,L90/H90)</f>
        <v>-0.2274942445718412</v>
      </c>
      <c r="O90" s="25"/>
      <c r="P90" s="34">
        <f>+P86-P88</f>
        <v>-28102.84</v>
      </c>
      <c r="Q90" s="13"/>
      <c r="R90" s="35">
        <f>IF(P$12=0,0,P90/P$12)</f>
        <v>0</v>
      </c>
      <c r="S90" s="13"/>
      <c r="T90" s="34">
        <f>+T86-T88</f>
        <v>-29828.333333333332</v>
      </c>
      <c r="U90" s="13"/>
      <c r="V90" s="35">
        <f>IF(T$12=0,0,T90/T$12)</f>
        <v>0</v>
      </c>
      <c r="W90" s="15"/>
      <c r="X90" s="34">
        <f>P90-T90</f>
        <v>1725.493333333332</v>
      </c>
      <c r="Y90" s="15"/>
      <c r="Z90" s="35">
        <f>IF(T90=0,0,X90/T90)</f>
        <v>-5.7847460468234857E-2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5</v>
      </c>
      <c r="C93" s="26"/>
      <c r="D93" s="30">
        <f>SUM(D90:D92)</f>
        <v>-5704.4400000000005</v>
      </c>
      <c r="E93" s="13"/>
      <c r="F93" s="32">
        <f>IF(D$12=0,0,D93/D$12)</f>
        <v>0</v>
      </c>
      <c r="G93" s="13"/>
      <c r="H93" s="30">
        <f>SUM(H90:H92)</f>
        <v>-7384.333333333333</v>
      </c>
      <c r="I93" s="13"/>
      <c r="J93" s="32">
        <f>IF(H$12=0,0,H93/H$12)</f>
        <v>0</v>
      </c>
      <c r="K93" s="15"/>
      <c r="L93" s="30">
        <f>+D93-H93</f>
        <v>1679.8933333333325</v>
      </c>
      <c r="M93" s="15"/>
      <c r="N93" s="32">
        <f>IF(H93=0,0,L93/H93)</f>
        <v>-0.2274942445718412</v>
      </c>
      <c r="O93" s="25"/>
      <c r="P93" s="30">
        <f>SUM(P90:P92)</f>
        <v>-28102.84</v>
      </c>
      <c r="Q93" s="13"/>
      <c r="R93" s="32">
        <f>IF(P$12=0,0,P93/P$12)</f>
        <v>0</v>
      </c>
      <c r="S93" s="13"/>
      <c r="T93" s="30">
        <f>SUM(T90:T92)</f>
        <v>-29828.333333333332</v>
      </c>
      <c r="U93" s="13"/>
      <c r="V93" s="32">
        <f>IF(T$12=0,0,T93/T$12)</f>
        <v>0</v>
      </c>
      <c r="W93" s="15"/>
      <c r="X93" s="30">
        <f>+P93-T93</f>
        <v>1725.493333333332</v>
      </c>
      <c r="Y93" s="15"/>
      <c r="Z93" s="32">
        <f>IF(T93=0,0,X93/T93)</f>
        <v>-5.7847460468234857E-2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0">
        <v>44151.568561921296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8" t="s">
        <v>314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3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","406", " - ", "OPA! Greek")</f>
        <v>Department 406 - OPA! Greek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132.75</v>
      </c>
      <c r="E18" s="21"/>
      <c r="F18" s="31">
        <f t="shared" ref="F18:F28" si="0">IF(D$12=0,0,D18/D$12)</f>
        <v>0</v>
      </c>
      <c r="G18" s="21"/>
      <c r="H18" s="21">
        <f>SUM(OSRRefH22x_0)</f>
        <v>435</v>
      </c>
      <c r="I18" s="21"/>
      <c r="J18" s="31">
        <f t="shared" ref="J18:J28" si="1">IF(H$12=0,0,H18/H$12)</f>
        <v>0</v>
      </c>
      <c r="K18" s="4"/>
      <c r="L18" s="21">
        <f t="shared" ref="L18:L28" si="2">+D18-H18</f>
        <v>-302.25</v>
      </c>
      <c r="M18" s="4"/>
      <c r="N18" s="31">
        <f t="shared" ref="N18:N28" si="3">IF(H18=0,0,L18/H18)</f>
        <v>-0.69482758620689655</v>
      </c>
      <c r="O18" s="10"/>
      <c r="P18" s="21">
        <f>SUM(OSRRefP22x_0)</f>
        <v>1436.11</v>
      </c>
      <c r="Q18" s="21"/>
      <c r="R18" s="31">
        <f t="shared" ref="R18:R28" si="4">IF(P$12=0,0,P18/P$12)</f>
        <v>0</v>
      </c>
      <c r="S18" s="21"/>
      <c r="T18" s="21">
        <f>SUM(OSRRefT22x_0)</f>
        <v>1740</v>
      </c>
      <c r="U18" s="21"/>
      <c r="V18" s="31">
        <f t="shared" ref="V18:V28" si="5">IF(T$12=0,0,T18/T$12)</f>
        <v>0</v>
      </c>
      <c r="W18" s="4"/>
      <c r="X18" s="21">
        <f t="shared" ref="X18:X28" si="6">+P18-T18</f>
        <v>-303.8900000000001</v>
      </c>
      <c r="Y18" s="4"/>
      <c r="Z18" s="31">
        <f t="shared" ref="Z18:Z28" si="7">IF(T18=0,0,X18/T18)</f>
        <v>-0.17464942528735639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25">
      <c r="A20" s="28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660.8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660.8</v>
      </c>
      <c r="Y20" s="2"/>
      <c r="Z20" s="6">
        <f t="shared" si="7"/>
        <v>0</v>
      </c>
    </row>
    <row r="21" spans="1:26" s="27" customFormat="1" outlineLevel="1" collapsed="1" x14ac:dyDescent="0.25">
      <c r="A21" s="29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119.55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-315.45</v>
      </c>
      <c r="M21" s="1"/>
      <c r="N21" s="5">
        <f t="shared" si="3"/>
        <v>-0.72517241379310338</v>
      </c>
      <c r="O21" s="14"/>
      <c r="P21" s="1">
        <f>SUM(OSRRefP22_1x_0)</f>
        <v>478.2</v>
      </c>
      <c r="Q21" s="1"/>
      <c r="R21" s="5">
        <f t="shared" si="4"/>
        <v>0</v>
      </c>
      <c r="S21" s="1"/>
      <c r="T21" s="1">
        <f>SUM(OSRRefT22_1x_0)</f>
        <v>1740</v>
      </c>
      <c r="U21" s="1"/>
      <c r="V21" s="5">
        <f t="shared" si="5"/>
        <v>0</v>
      </c>
      <c r="W21" s="1"/>
      <c r="X21" s="1">
        <f t="shared" si="6"/>
        <v>-1261.8</v>
      </c>
      <c r="Y21" s="1"/>
      <c r="Z21" s="5">
        <f t="shared" si="7"/>
        <v>-0.72517241379310338</v>
      </c>
    </row>
    <row r="22" spans="1:26" s="24" customFormat="1" hidden="1" outlineLevel="2" x14ac:dyDescent="0.25">
      <c r="A22" s="28"/>
      <c r="B22" s="11" t="str">
        <f>CONCATENATE("          ", "6322", " - ", "EQUIPMENT DEPRECIATION EXPENSE")</f>
        <v xml:space="preserve">          6322 - EQUIPMENT DEPRECIATION EXPENSE</v>
      </c>
      <c r="C22" s="11"/>
      <c r="D22" s="7">
        <v>119.55</v>
      </c>
      <c r="E22" s="2"/>
      <c r="F22" s="6">
        <f t="shared" si="0"/>
        <v>0</v>
      </c>
      <c r="G22" s="2"/>
      <c r="H22" s="7">
        <v>435</v>
      </c>
      <c r="I22" s="2"/>
      <c r="J22" s="6">
        <f t="shared" si="1"/>
        <v>0</v>
      </c>
      <c r="K22" s="2"/>
      <c r="L22" s="7">
        <f t="shared" si="2"/>
        <v>-315.45</v>
      </c>
      <c r="M22" s="2"/>
      <c r="N22" s="6">
        <f t="shared" si="3"/>
        <v>-0.72517241379310338</v>
      </c>
      <c r="O22" s="11"/>
      <c r="P22" s="7">
        <v>478.2</v>
      </c>
      <c r="Q22" s="2"/>
      <c r="R22" s="6">
        <f t="shared" si="4"/>
        <v>0</v>
      </c>
      <c r="S22" s="2"/>
      <c r="T22" s="7">
        <v>1740</v>
      </c>
      <c r="U22" s="2"/>
      <c r="V22" s="6">
        <f t="shared" si="5"/>
        <v>0</v>
      </c>
      <c r="W22" s="2"/>
      <c r="X22" s="7">
        <f t="shared" si="6"/>
        <v>-1261.8</v>
      </c>
      <c r="Y22" s="2"/>
      <c r="Z22" s="6">
        <f t="shared" si="7"/>
        <v>-0.72517241379310338</v>
      </c>
    </row>
    <row r="23" spans="1:26" s="27" customFormat="1" outlineLevel="1" collapsed="1" x14ac:dyDescent="0.25">
      <c r="A23" s="29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25">
      <c r="A24" s="28"/>
      <c r="B24" s="11" t="str">
        <f>CONCATENATE("          ", "6351", " - ", "EQUIPMENT RENTAL")</f>
        <v xml:space="preserve">          6351 - EQUIPMENT RENTAL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64.02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64.02</v>
      </c>
      <c r="Y24" s="2"/>
      <c r="Z24" s="6">
        <f t="shared" si="7"/>
        <v>0</v>
      </c>
    </row>
    <row r="25" spans="1:26" s="27" customFormat="1" outlineLevel="1" collapsed="1" x14ac:dyDescent="0.25">
      <c r="A25" s="29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147.88999999999999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147.88999999999999</v>
      </c>
      <c r="Y25" s="1"/>
      <c r="Z25" s="5">
        <f t="shared" si="7"/>
        <v>0</v>
      </c>
    </row>
    <row r="26" spans="1:26" s="24" customFormat="1" hidden="1" outlineLevel="2" x14ac:dyDescent="0.25">
      <c r="A26" s="28"/>
      <c r="B26" s="11" t="str">
        <f>CONCATENATE("          ", "6373", " - ", "MAINTENANCE CONTRACTS")</f>
        <v xml:space="preserve">          6373 - MAINTENANCE CONTRACTS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147.88999999999999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147.88999999999999</v>
      </c>
      <c r="Y26" s="2"/>
      <c r="Z26" s="6">
        <f t="shared" si="7"/>
        <v>0</v>
      </c>
    </row>
    <row r="27" spans="1:26" s="27" customFormat="1" outlineLevel="1" collapsed="1" x14ac:dyDescent="0.25">
      <c r="A27" s="29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13.2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13.2</v>
      </c>
      <c r="M27" s="1"/>
      <c r="N27" s="5">
        <f t="shared" si="3"/>
        <v>0</v>
      </c>
      <c r="O27" s="14"/>
      <c r="P27" s="1">
        <f>SUM(OSRRefP22_4x_0)</f>
        <v>85.2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85.2</v>
      </c>
      <c r="Y27" s="1"/>
      <c r="Z27" s="5">
        <f t="shared" si="7"/>
        <v>0</v>
      </c>
    </row>
    <row r="28" spans="1:26" s="24" customFormat="1" hidden="1" outlineLevel="2" x14ac:dyDescent="0.25">
      <c r="A28" s="28"/>
      <c r="B28" s="11" t="str">
        <f>CONCATENATE("          ", "6309", " - ", "TELEPHONE")</f>
        <v xml:space="preserve">          6309 - TELEPHONE</v>
      </c>
      <c r="C28" s="11"/>
      <c r="D28" s="7">
        <v>13.2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13.2</v>
      </c>
      <c r="M28" s="2"/>
      <c r="N28" s="6">
        <f t="shared" si="3"/>
        <v>0</v>
      </c>
      <c r="O28" s="11"/>
      <c r="P28" s="7">
        <v>85.2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85.2</v>
      </c>
      <c r="Y28" s="2"/>
      <c r="Z28" s="6">
        <f t="shared" si="7"/>
        <v>0</v>
      </c>
    </row>
    <row r="29" spans="1:26" s="63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6" t="s">
        <v>3</v>
      </c>
      <c r="C32" s="26"/>
      <c r="D32" s="20">
        <f>+D16-D18+D30</f>
        <v>-132.75</v>
      </c>
      <c r="E32" s="13"/>
      <c r="F32" s="19">
        <f>IF(D$12=0,0,D32/D$12)</f>
        <v>0</v>
      </c>
      <c r="G32" s="13"/>
      <c r="H32" s="20">
        <f>+H16-H18+H30</f>
        <v>-435</v>
      </c>
      <c r="I32" s="13"/>
      <c r="J32" s="19">
        <f>IF(H$12=0,0,H32/H$12)</f>
        <v>0</v>
      </c>
      <c r="K32" s="15"/>
      <c r="L32" s="20">
        <f>+D32-H32</f>
        <v>302.25</v>
      </c>
      <c r="M32" s="15"/>
      <c r="N32" s="19">
        <f>IF(H32=0,0,L32/H32)</f>
        <v>-0.69482758620689655</v>
      </c>
      <c r="O32" s="25"/>
      <c r="P32" s="20">
        <f>+P16-P18+P30</f>
        <v>-1436.11</v>
      </c>
      <c r="Q32" s="13"/>
      <c r="R32" s="19">
        <f>IF(P$12=0,0,P32/P$12)</f>
        <v>0</v>
      </c>
      <c r="S32" s="13"/>
      <c r="T32" s="20">
        <f>+T16-T18+T30</f>
        <v>-1740</v>
      </c>
      <c r="U32" s="13"/>
      <c r="V32" s="19">
        <f>IF(T$12=0,0,T32/T$12)</f>
        <v>0</v>
      </c>
      <c r="W32" s="15"/>
      <c r="X32" s="20">
        <f>+P32-T32</f>
        <v>303.8900000000001</v>
      </c>
      <c r="Y32" s="15"/>
      <c r="Z32" s="19">
        <f>IF(T32=0,0,X32/T32)</f>
        <v>-0.17464942528735639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4</v>
      </c>
      <c r="C36" s="26"/>
      <c r="D36" s="34">
        <f>+D32-D34</f>
        <v>-132.75</v>
      </c>
      <c r="E36" s="13"/>
      <c r="F36" s="35">
        <f>IF(D$12=0,0,D36/D$12)</f>
        <v>0</v>
      </c>
      <c r="G36" s="13"/>
      <c r="H36" s="34">
        <f>+H32-H34</f>
        <v>-435</v>
      </c>
      <c r="I36" s="13"/>
      <c r="J36" s="35">
        <f>IF(H$12=0,0,H36/H$12)</f>
        <v>0</v>
      </c>
      <c r="K36" s="15"/>
      <c r="L36" s="34">
        <f>D36-H36</f>
        <v>302.25</v>
      </c>
      <c r="M36" s="15"/>
      <c r="N36" s="35">
        <f>IF(H36=0,0,L36/H36)</f>
        <v>-0.69482758620689655</v>
      </c>
      <c r="O36" s="25"/>
      <c r="P36" s="34">
        <f>+P32-P34</f>
        <v>-1436.11</v>
      </c>
      <c r="Q36" s="13"/>
      <c r="R36" s="35">
        <f>IF(P$12=0,0,P36/P$12)</f>
        <v>0</v>
      </c>
      <c r="S36" s="13"/>
      <c r="T36" s="34">
        <f>+T32-T34</f>
        <v>-1740</v>
      </c>
      <c r="U36" s="13"/>
      <c r="V36" s="35">
        <f>IF(T$12=0,0,T36/T$12)</f>
        <v>0</v>
      </c>
      <c r="W36" s="15"/>
      <c r="X36" s="34">
        <f>P36-T36</f>
        <v>303.8900000000001</v>
      </c>
      <c r="Y36" s="15"/>
      <c r="Z36" s="35">
        <f>IF(T36=0,0,X36/T36)</f>
        <v>-0.17464942528735639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6" t="s">
        <v>5</v>
      </c>
      <c r="C39" s="26"/>
      <c r="D39" s="30">
        <f>SUM(D36:D38)</f>
        <v>-132.75</v>
      </c>
      <c r="E39" s="13"/>
      <c r="F39" s="32">
        <f>IF(D$12=0,0,D39/D$12)</f>
        <v>0</v>
      </c>
      <c r="G39" s="13"/>
      <c r="H39" s="30">
        <f>SUM(H36:H38)</f>
        <v>-435</v>
      </c>
      <c r="I39" s="13"/>
      <c r="J39" s="32">
        <f>IF(H$12=0,0,H39/H$12)</f>
        <v>0</v>
      </c>
      <c r="K39" s="15"/>
      <c r="L39" s="30">
        <f>+D39-H39</f>
        <v>302.25</v>
      </c>
      <c r="M39" s="15"/>
      <c r="N39" s="32">
        <f>IF(H39=0,0,L39/H39)</f>
        <v>-0.69482758620689655</v>
      </c>
      <c r="O39" s="25"/>
      <c r="P39" s="30">
        <f>SUM(P36:P38)</f>
        <v>-1436.11</v>
      </c>
      <c r="Q39" s="13"/>
      <c r="R39" s="32">
        <f>IF(P$12=0,0,P39/P$12)</f>
        <v>0</v>
      </c>
      <c r="S39" s="13"/>
      <c r="T39" s="30">
        <f>SUM(T36:T38)</f>
        <v>-1740</v>
      </c>
      <c r="U39" s="13"/>
      <c r="V39" s="32">
        <f>IF(T$12=0,0,T39/T$12)</f>
        <v>0</v>
      </c>
      <c r="W39" s="15"/>
      <c r="X39" s="30">
        <f>+P39-T39</f>
        <v>303.8900000000001</v>
      </c>
      <c r="Y39" s="15"/>
      <c r="Z39" s="32">
        <f>IF(T39=0,0,X39/T39)</f>
        <v>-0.17464942528735639</v>
      </c>
    </row>
    <row r="40" spans="1:26" ht="15.75" thickTop="1" x14ac:dyDescent="0.25">
      <c r="A40" s="9"/>
      <c r="C40" s="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60">
        <v>44151.568578356484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58" t="s">
        <v>314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A43" s="9"/>
      <c r="B43" s="53"/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25"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","411", " - ", "University Dining")</f>
        <v>Department 411 - University Dining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25379.569999999992</v>
      </c>
      <c r="E18" s="21"/>
      <c r="F18" s="31">
        <f t="shared" ref="F18:F28" si="0">IF(D$12=0,0,D18/D$12)</f>
        <v>0</v>
      </c>
      <c r="G18" s="21"/>
      <c r="H18" s="21">
        <f>SUM(OSRRefH22x_0)</f>
        <v>18113.076923076922</v>
      </c>
      <c r="I18" s="21"/>
      <c r="J18" s="31">
        <f t="shared" ref="J18:J28" si="1">IF(H$12=0,0,H18/H$12)</f>
        <v>0</v>
      </c>
      <c r="K18" s="4"/>
      <c r="L18" s="21">
        <f t="shared" ref="L18:L28" si="2">+D18-H18</f>
        <v>7266.4930769230705</v>
      </c>
      <c r="M18" s="4"/>
      <c r="N18" s="31">
        <f t="shared" ref="N18:N28" si="3">IF(H18=0,0,L18/H18)</f>
        <v>0.40117386503588537</v>
      </c>
      <c r="O18" s="10"/>
      <c r="P18" s="21">
        <f>SUM(OSRRefP22x_0)</f>
        <v>84131.72000000003</v>
      </c>
      <c r="Q18" s="21"/>
      <c r="R18" s="31">
        <f t="shared" ref="R18:R28" si="4">IF(P$12=0,0,P18/P$12)</f>
        <v>0</v>
      </c>
      <c r="S18" s="21"/>
      <c r="T18" s="21">
        <f>SUM(OSRRefT22x_0)</f>
        <v>70399.076923076922</v>
      </c>
      <c r="U18" s="21"/>
      <c r="V18" s="31">
        <f t="shared" ref="V18:V28" si="5">IF(T$12=0,0,T18/T$12)</f>
        <v>0</v>
      </c>
      <c r="W18" s="4"/>
      <c r="X18" s="21">
        <f t="shared" ref="X18:X28" si="6">+P18-T18</f>
        <v>13732.643076923108</v>
      </c>
      <c r="Y18" s="4"/>
      <c r="Z18" s="31">
        <f t="shared" ref="Z18:Z28" si="7">IF(T18=0,0,X18/T18)</f>
        <v>0.19506851051368726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7813.98</v>
      </c>
      <c r="E19" s="1"/>
      <c r="F19" s="5">
        <f t="shared" si="0"/>
        <v>0</v>
      </c>
      <c r="G19" s="1"/>
      <c r="H19" s="1">
        <f>SUM(OSRRefH22_0x_0)</f>
        <v>3333.0769230769201</v>
      </c>
      <c r="I19" s="1"/>
      <c r="J19" s="5">
        <f t="shared" si="1"/>
        <v>0</v>
      </c>
      <c r="K19" s="1"/>
      <c r="L19" s="1">
        <f t="shared" si="2"/>
        <v>4480.9030769230794</v>
      </c>
      <c r="M19" s="1"/>
      <c r="N19" s="5">
        <f t="shared" si="3"/>
        <v>1.3443743364874241</v>
      </c>
      <c r="O19" s="14"/>
      <c r="P19" s="1">
        <f>SUM(OSRRefP22_0x_0)</f>
        <v>24611.69</v>
      </c>
      <c r="Q19" s="1"/>
      <c r="R19" s="5">
        <f t="shared" si="4"/>
        <v>0</v>
      </c>
      <c r="S19" s="1"/>
      <c r="T19" s="1">
        <f>SUM(OSRRefT22_0x_0)</f>
        <v>12693.07692307692</v>
      </c>
      <c r="U19" s="1"/>
      <c r="V19" s="5">
        <f t="shared" si="5"/>
        <v>0</v>
      </c>
      <c r="W19" s="1"/>
      <c r="X19" s="1">
        <f t="shared" si="6"/>
        <v>11918.613076923079</v>
      </c>
      <c r="Y19" s="1"/>
      <c r="Z19" s="5">
        <f t="shared" si="7"/>
        <v>0.93898533422216868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2199.04</v>
      </c>
      <c r="E20" s="2"/>
      <c r="F20" s="6">
        <f t="shared" si="0"/>
        <v>0</v>
      </c>
      <c r="G20" s="2"/>
      <c r="H20" s="7">
        <v>0</v>
      </c>
      <c r="I20" s="2"/>
      <c r="J20" s="6">
        <f t="shared" si="1"/>
        <v>0</v>
      </c>
      <c r="K20" s="2"/>
      <c r="L20" s="7">
        <f t="shared" si="2"/>
        <v>2199.04</v>
      </c>
      <c r="M20" s="2"/>
      <c r="N20" s="6">
        <f t="shared" si="3"/>
        <v>0</v>
      </c>
      <c r="O20" s="11"/>
      <c r="P20" s="7">
        <v>4898.5600000000004</v>
      </c>
      <c r="Q20" s="2"/>
      <c r="R20" s="6">
        <f t="shared" si="4"/>
        <v>0</v>
      </c>
      <c r="S20" s="2"/>
      <c r="T20" s="7">
        <v>0</v>
      </c>
      <c r="U20" s="2"/>
      <c r="V20" s="6">
        <f t="shared" si="5"/>
        <v>0</v>
      </c>
      <c r="W20" s="2"/>
      <c r="X20" s="7">
        <f t="shared" si="6"/>
        <v>4898.5600000000004</v>
      </c>
      <c r="Y20" s="2"/>
      <c r="Z20" s="6">
        <f t="shared" si="7"/>
        <v>0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36.53</v>
      </c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36.53</v>
      </c>
      <c r="M21" s="2"/>
      <c r="N21" s="6">
        <f t="shared" si="3"/>
        <v>0</v>
      </c>
      <c r="O21" s="11"/>
      <c r="P21" s="7">
        <v>235.35</v>
      </c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235.35</v>
      </c>
      <c r="Y21" s="2"/>
      <c r="Z21" s="6">
        <f t="shared" si="7"/>
        <v>0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1950.75</v>
      </c>
      <c r="E22" s="2"/>
      <c r="F22" s="6">
        <f t="shared" si="0"/>
        <v>0</v>
      </c>
      <c r="G22" s="2"/>
      <c r="H22" s="7">
        <v>2983.0769230769201</v>
      </c>
      <c r="I22" s="2"/>
      <c r="J22" s="6">
        <f t="shared" si="1"/>
        <v>0</v>
      </c>
      <c r="K22" s="2"/>
      <c r="L22" s="7">
        <f t="shared" si="2"/>
        <v>-1032.3269230769201</v>
      </c>
      <c r="M22" s="2"/>
      <c r="N22" s="6">
        <f t="shared" si="3"/>
        <v>-0.34606111397627581</v>
      </c>
      <c r="O22" s="11"/>
      <c r="P22" s="7">
        <v>6668.97</v>
      </c>
      <c r="Q22" s="2"/>
      <c r="R22" s="6">
        <f t="shared" si="4"/>
        <v>0</v>
      </c>
      <c r="S22" s="2"/>
      <c r="T22" s="7">
        <v>11293.07692307692</v>
      </c>
      <c r="U22" s="2"/>
      <c r="V22" s="6">
        <f t="shared" si="5"/>
        <v>0</v>
      </c>
      <c r="W22" s="2"/>
      <c r="X22" s="7">
        <f t="shared" si="6"/>
        <v>-4624.1069230769199</v>
      </c>
      <c r="Y22" s="2"/>
      <c r="Z22" s="6">
        <f t="shared" si="7"/>
        <v>-0.40946386485934183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28.78</v>
      </c>
      <c r="E23" s="2"/>
      <c r="F23" s="6">
        <f t="shared" si="0"/>
        <v>0</v>
      </c>
      <c r="G23" s="2"/>
      <c r="H23" s="7">
        <v>0</v>
      </c>
      <c r="I23" s="2"/>
      <c r="J23" s="6">
        <f t="shared" si="1"/>
        <v>0</v>
      </c>
      <c r="K23" s="2"/>
      <c r="L23" s="7">
        <f t="shared" si="2"/>
        <v>28.78</v>
      </c>
      <c r="M23" s="2"/>
      <c r="N23" s="6">
        <f t="shared" si="3"/>
        <v>0</v>
      </c>
      <c r="O23" s="11"/>
      <c r="P23" s="7">
        <v>120.53</v>
      </c>
      <c r="Q23" s="2"/>
      <c r="R23" s="6">
        <f t="shared" si="4"/>
        <v>0</v>
      </c>
      <c r="S23" s="2"/>
      <c r="T23" s="7">
        <v>0</v>
      </c>
      <c r="U23" s="2"/>
      <c r="V23" s="6">
        <f t="shared" si="5"/>
        <v>0</v>
      </c>
      <c r="W23" s="2"/>
      <c r="X23" s="7">
        <f t="shared" si="6"/>
        <v>120.53</v>
      </c>
      <c r="Y23" s="2"/>
      <c r="Z23" s="6">
        <f t="shared" si="7"/>
        <v>0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1221.05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1221.05</v>
      </c>
      <c r="M24" s="2"/>
      <c r="N24" s="6">
        <f t="shared" si="3"/>
        <v>0</v>
      </c>
      <c r="O24" s="11"/>
      <c r="P24" s="7">
        <v>5205.7700000000004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5205.7700000000004</v>
      </c>
      <c r="Y24" s="2"/>
      <c r="Z24" s="6">
        <f t="shared" si="7"/>
        <v>0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>
        <v>1533.78</v>
      </c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1533.78</v>
      </c>
      <c r="M26" s="2"/>
      <c r="N26" s="6">
        <f t="shared" si="3"/>
        <v>0</v>
      </c>
      <c r="O26" s="11"/>
      <c r="P26" s="7">
        <v>4793.4799999999996</v>
      </c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4793.4799999999996</v>
      </c>
      <c r="Y26" s="2"/>
      <c r="Z26" s="6">
        <f t="shared" si="7"/>
        <v>0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765.87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765.87</v>
      </c>
      <c r="M27" s="2"/>
      <c r="N27" s="6">
        <f t="shared" si="3"/>
        <v>0</v>
      </c>
      <c r="O27" s="11"/>
      <c r="P27" s="7">
        <v>2393.5500000000002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2393.5500000000002</v>
      </c>
      <c r="Y27" s="2"/>
      <c r="Z27" s="6">
        <f t="shared" si="7"/>
        <v>0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>
        <v>78.180000000000007</v>
      </c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-271.82</v>
      </c>
      <c r="M28" s="2"/>
      <c r="N28" s="6">
        <f t="shared" si="3"/>
        <v>-0.77662857142857145</v>
      </c>
      <c r="O28" s="11"/>
      <c r="P28" s="7">
        <v>295.48</v>
      </c>
      <c r="Q28" s="2"/>
      <c r="R28" s="6">
        <f t="shared" si="4"/>
        <v>0</v>
      </c>
      <c r="S28" s="2"/>
      <c r="T28" s="7">
        <v>1400</v>
      </c>
      <c r="U28" s="2"/>
      <c r="V28" s="6">
        <f t="shared" si="5"/>
        <v>0</v>
      </c>
      <c r="W28" s="2"/>
      <c r="X28" s="7">
        <f t="shared" si="6"/>
        <v>-1104.52</v>
      </c>
      <c r="Y28" s="2"/>
      <c r="Z28" s="6">
        <f t="shared" si="7"/>
        <v>-0.78894285714285717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10516.14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10516.14</v>
      </c>
      <c r="M29" s="1"/>
      <c r="N29" s="5">
        <f t="shared" ref="N29:N39" si="11">IF(H29=0,0,L29/H29)</f>
        <v>0</v>
      </c>
      <c r="O29" s="14"/>
      <c r="P29" s="1">
        <f>SUM(OSRRefP22_1x_0)</f>
        <v>45942.03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45942.03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7">
        <v>10516.14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10516.14</v>
      </c>
      <c r="M30" s="2"/>
      <c r="N30" s="6">
        <f t="shared" si="11"/>
        <v>0</v>
      </c>
      <c r="O30" s="11"/>
      <c r="P30" s="7">
        <v>43862.03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43862.03</v>
      </c>
      <c r="Y30" s="2"/>
      <c r="Z30" s="6">
        <f t="shared" si="15"/>
        <v>0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2080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2080</v>
      </c>
      <c r="Y31" s="2"/>
      <c r="Z31" s="6">
        <f t="shared" si="15"/>
        <v>0</v>
      </c>
    </row>
    <row r="32" spans="1:26" s="24" customFormat="1" hidden="1" outlineLevel="2" x14ac:dyDescent="0.25">
      <c r="A32" s="28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8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8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0</v>
      </c>
      <c r="Y40" s="1"/>
      <c r="Z40" s="5">
        <f t="shared" ref="Z40:Z46" si="23">IF(T40=0,0,X40/T40)</f>
        <v>0</v>
      </c>
    </row>
    <row r="41" spans="1:26" s="24" customFormat="1" hidden="1" outlineLevel="2" x14ac:dyDescent="0.25">
      <c r="A41" s="28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7" customFormat="1" outlineLevel="1" collapsed="1" x14ac:dyDescent="0.25">
      <c r="A42" s="29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382.85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382.85</v>
      </c>
      <c r="M42" s="1"/>
      <c r="N42" s="5">
        <f t="shared" si="19"/>
        <v>0</v>
      </c>
      <c r="O42" s="14"/>
      <c r="P42" s="1">
        <f>SUM(OSRRefP22_3x_0)</f>
        <v>1426.66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1426.66</v>
      </c>
      <c r="Y42" s="1"/>
      <c r="Z42" s="5">
        <f t="shared" si="23"/>
        <v>0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7">
        <v>382.85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382.85</v>
      </c>
      <c r="M43" s="2"/>
      <c r="N43" s="6">
        <f t="shared" si="19"/>
        <v>0</v>
      </c>
      <c r="O43" s="11"/>
      <c r="P43" s="7">
        <v>1426.66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1426.66</v>
      </c>
      <c r="Y43" s="2"/>
      <c r="Z43" s="6">
        <f t="shared" si="23"/>
        <v>0</v>
      </c>
    </row>
    <row r="44" spans="1:26" s="27" customFormat="1" outlineLevel="1" collapsed="1" x14ac:dyDescent="0.25">
      <c r="A44" s="29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SUM(OSRRefD22_4x_0)</f>
        <v>6779.8600000000006</v>
      </c>
      <c r="E44" s="1"/>
      <c r="F44" s="5">
        <f t="shared" si="16"/>
        <v>0</v>
      </c>
      <c r="G44" s="1"/>
      <c r="H44" s="1">
        <f>SUM(OSRRefH22_4x_0)</f>
        <v>6744</v>
      </c>
      <c r="I44" s="1"/>
      <c r="J44" s="5">
        <f t="shared" si="17"/>
        <v>0</v>
      </c>
      <c r="K44" s="1"/>
      <c r="L44" s="1">
        <f t="shared" si="18"/>
        <v>35.860000000000582</v>
      </c>
      <c r="M44" s="1"/>
      <c r="N44" s="5">
        <f t="shared" si="19"/>
        <v>5.3173190984579745E-3</v>
      </c>
      <c r="O44" s="14"/>
      <c r="P44" s="1">
        <f>SUM(OSRRefP22_4x_0)</f>
        <v>27903.63</v>
      </c>
      <c r="Q44" s="1"/>
      <c r="R44" s="5">
        <f t="shared" si="20"/>
        <v>0</v>
      </c>
      <c r="S44" s="1"/>
      <c r="T44" s="1">
        <f>SUM(OSRRefT22_4x_0)</f>
        <v>27762</v>
      </c>
      <c r="U44" s="1"/>
      <c r="V44" s="5">
        <f t="shared" si="21"/>
        <v>0</v>
      </c>
      <c r="W44" s="1"/>
      <c r="X44" s="1">
        <f t="shared" si="22"/>
        <v>141.63000000000102</v>
      </c>
      <c r="Y44" s="1"/>
      <c r="Z44" s="5">
        <f t="shared" si="23"/>
        <v>5.1015776961314393E-3</v>
      </c>
    </row>
    <row r="45" spans="1:26" s="24" customFormat="1" hidden="1" outlineLevel="2" x14ac:dyDescent="0.25">
      <c r="A45" s="28"/>
      <c r="B45" s="11" t="str">
        <f>CONCATENATE("          ", "6321", " - ", "BUILDING DEPRECIATION")</f>
        <v xml:space="preserve">          6321 - BUILDING DEPRECIATION</v>
      </c>
      <c r="C45" s="11"/>
      <c r="D45" s="7">
        <v>1822.68</v>
      </c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1822.68</v>
      </c>
      <c r="M45" s="2"/>
      <c r="N45" s="6">
        <f t="shared" si="19"/>
        <v>0</v>
      </c>
      <c r="O45" s="11"/>
      <c r="P45" s="7">
        <v>8074.91</v>
      </c>
      <c r="Q45" s="2"/>
      <c r="R45" s="6">
        <f t="shared" si="20"/>
        <v>0</v>
      </c>
      <c r="S45" s="2"/>
      <c r="T45" s="7"/>
      <c r="U45" s="2"/>
      <c r="V45" s="6">
        <f t="shared" si="21"/>
        <v>0</v>
      </c>
      <c r="W45" s="2"/>
      <c r="X45" s="7">
        <f t="shared" si="22"/>
        <v>8074.91</v>
      </c>
      <c r="Y45" s="2"/>
      <c r="Z45" s="6">
        <f t="shared" si="23"/>
        <v>0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4957.18</v>
      </c>
      <c r="E46" s="2"/>
      <c r="F46" s="6">
        <f t="shared" si="16"/>
        <v>0</v>
      </c>
      <c r="G46" s="2"/>
      <c r="H46" s="7">
        <v>6744</v>
      </c>
      <c r="I46" s="2"/>
      <c r="J46" s="6">
        <f t="shared" si="17"/>
        <v>0</v>
      </c>
      <c r="K46" s="2"/>
      <c r="L46" s="7">
        <f t="shared" si="18"/>
        <v>-1786.8199999999997</v>
      </c>
      <c r="M46" s="2"/>
      <c r="N46" s="6">
        <f t="shared" si="19"/>
        <v>-0.26494958481613279</v>
      </c>
      <c r="O46" s="11"/>
      <c r="P46" s="7">
        <v>19828.72</v>
      </c>
      <c r="Q46" s="2"/>
      <c r="R46" s="6">
        <f t="shared" si="20"/>
        <v>0</v>
      </c>
      <c r="S46" s="2"/>
      <c r="T46" s="7">
        <v>27762</v>
      </c>
      <c r="U46" s="2"/>
      <c r="V46" s="6">
        <f t="shared" si="21"/>
        <v>0</v>
      </c>
      <c r="W46" s="2"/>
      <c r="X46" s="7">
        <f t="shared" si="22"/>
        <v>-7933.2799999999988</v>
      </c>
      <c r="Y46" s="2"/>
      <c r="Z46" s="6">
        <f t="shared" si="23"/>
        <v>-0.28576039190260061</v>
      </c>
    </row>
    <row r="47" spans="1:26" s="27" customFormat="1" outlineLevel="1" collapsed="1" x14ac:dyDescent="0.25">
      <c r="A47" s="29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1576.83</v>
      </c>
      <c r="E47" s="1"/>
      <c r="F47" s="5">
        <f t="shared" ref="F47:F57" si="24">IF(D$12=0,0,D47/D$12)</f>
        <v>0</v>
      </c>
      <c r="G47" s="1"/>
      <c r="H47" s="1">
        <f>SUM(OSRRefH22_5x_0)</f>
        <v>0</v>
      </c>
      <c r="I47" s="1"/>
      <c r="J47" s="5">
        <f t="shared" ref="J47:J57" si="25">IF(H$12=0,0,H47/H$12)</f>
        <v>0</v>
      </c>
      <c r="K47" s="1"/>
      <c r="L47" s="1">
        <f t="shared" ref="L47:L57" si="26">+D47-H47</f>
        <v>1576.83</v>
      </c>
      <c r="M47" s="1"/>
      <c r="N47" s="5">
        <f t="shared" ref="N47:N57" si="27">IF(H47=0,0,L47/H47)</f>
        <v>0</v>
      </c>
      <c r="O47" s="14"/>
      <c r="P47" s="1">
        <f>SUM(OSRRefP22_5x_0)</f>
        <v>2178.71</v>
      </c>
      <c r="Q47" s="1"/>
      <c r="R47" s="5">
        <f t="shared" ref="R47:R57" si="28">IF(P$12=0,0,P47/P$12)</f>
        <v>0</v>
      </c>
      <c r="S47" s="1"/>
      <c r="T47" s="1">
        <f>SUM(OSRRefT22_5x_0)</f>
        <v>0</v>
      </c>
      <c r="U47" s="1"/>
      <c r="V47" s="5">
        <f t="shared" ref="V47:V57" si="29">IF(T$12=0,0,T47/T$12)</f>
        <v>0</v>
      </c>
      <c r="W47" s="1"/>
      <c r="X47" s="1">
        <f t="shared" ref="X47:X57" si="30">+P47-T47</f>
        <v>2178.71</v>
      </c>
      <c r="Y47" s="1"/>
      <c r="Z47" s="5">
        <f t="shared" ref="Z47:Z57" si="31">IF(T47=0,0,X47/T47)</f>
        <v>0</v>
      </c>
    </row>
    <row r="48" spans="1:26" s="24" customFormat="1" hidden="1" outlineLevel="2" x14ac:dyDescent="0.25">
      <c r="A48" s="28"/>
      <c r="B48" s="11" t="str">
        <f>CONCATENATE("          ", "6351", " - ", "EQUIPMENT RENTAL")</f>
        <v xml:space="preserve">          6351 - EQUIPMENT RENTAL</v>
      </c>
      <c r="C48" s="11"/>
      <c r="D48" s="7">
        <v>1576.83</v>
      </c>
      <c r="E48" s="2"/>
      <c r="F48" s="6">
        <f t="shared" si="24"/>
        <v>0</v>
      </c>
      <c r="G48" s="2"/>
      <c r="H48" s="7">
        <v>0</v>
      </c>
      <c r="I48" s="2"/>
      <c r="J48" s="6">
        <f t="shared" si="25"/>
        <v>0</v>
      </c>
      <c r="K48" s="2"/>
      <c r="L48" s="7">
        <f t="shared" si="26"/>
        <v>1576.83</v>
      </c>
      <c r="M48" s="2"/>
      <c r="N48" s="6">
        <f t="shared" si="27"/>
        <v>0</v>
      </c>
      <c r="O48" s="11"/>
      <c r="P48" s="7">
        <v>2178.71</v>
      </c>
      <c r="Q48" s="2"/>
      <c r="R48" s="6">
        <f t="shared" si="28"/>
        <v>0</v>
      </c>
      <c r="S48" s="2"/>
      <c r="T48" s="7">
        <v>0</v>
      </c>
      <c r="U48" s="2"/>
      <c r="V48" s="6">
        <f t="shared" si="29"/>
        <v>0</v>
      </c>
      <c r="W48" s="2"/>
      <c r="X48" s="7">
        <f t="shared" si="30"/>
        <v>2178.71</v>
      </c>
      <c r="Y48" s="2"/>
      <c r="Z48" s="6">
        <f t="shared" si="31"/>
        <v>0</v>
      </c>
    </row>
    <row r="49" spans="1:26" s="27" customFormat="1" outlineLevel="1" collapsed="1" x14ac:dyDescent="0.25">
      <c r="A49" s="29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-5.41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-5.41</v>
      </c>
      <c r="Y49" s="1"/>
      <c r="Z49" s="5">
        <f t="shared" si="31"/>
        <v>0</v>
      </c>
    </row>
    <row r="50" spans="1:26" s="24" customFormat="1" hidden="1" outlineLevel="2" x14ac:dyDescent="0.25">
      <c r="A50" s="28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-5.41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-5.41</v>
      </c>
      <c r="Y50" s="2"/>
      <c r="Z50" s="6">
        <f t="shared" si="31"/>
        <v>0</v>
      </c>
    </row>
    <row r="51" spans="1:26" s="27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4"/>
      <c r="P51" s="1">
        <f>SUM(OSRRefP22_7x_0)</f>
        <v>0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0</v>
      </c>
      <c r="Y51" s="1"/>
      <c r="Z51" s="5">
        <f t="shared" si="31"/>
        <v>0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4"/>
        <v>0</v>
      </c>
      <c r="G52" s="2"/>
      <c r="H52" s="7">
        <v>0</v>
      </c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0</v>
      </c>
      <c r="U52" s="2"/>
      <c r="V52" s="6">
        <f t="shared" si="29"/>
        <v>0</v>
      </c>
      <c r="W52" s="2"/>
      <c r="X52" s="7">
        <f t="shared" si="30"/>
        <v>0</v>
      </c>
      <c r="Y52" s="2"/>
      <c r="Z52" s="6">
        <f t="shared" si="31"/>
        <v>0</v>
      </c>
    </row>
    <row r="53" spans="1:26" s="27" customFormat="1" outlineLevel="1" collapsed="1" x14ac:dyDescent="0.25">
      <c r="A53" s="29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SUM(OSRRefD22_8x_0)</f>
        <v>9710.85</v>
      </c>
      <c r="E53" s="1"/>
      <c r="F53" s="5">
        <f t="shared" si="24"/>
        <v>0</v>
      </c>
      <c r="G53" s="1"/>
      <c r="H53" s="1">
        <f>SUM(OSRRefH22_8x_0)</f>
        <v>3860</v>
      </c>
      <c r="I53" s="1"/>
      <c r="J53" s="5">
        <f t="shared" si="25"/>
        <v>0</v>
      </c>
      <c r="K53" s="1"/>
      <c r="L53" s="1">
        <f t="shared" si="26"/>
        <v>5850.85</v>
      </c>
      <c r="M53" s="1"/>
      <c r="N53" s="5">
        <f t="shared" si="27"/>
        <v>1.5157642487046632</v>
      </c>
      <c r="O53" s="14"/>
      <c r="P53" s="1">
        <f>SUM(OSRRefP22_8x_0)</f>
        <v>20507.400000000001</v>
      </c>
      <c r="Q53" s="1"/>
      <c r="R53" s="5">
        <f t="shared" si="28"/>
        <v>0</v>
      </c>
      <c r="S53" s="1"/>
      <c r="T53" s="1">
        <f>SUM(OSRRefT22_8x_0)</f>
        <v>15440</v>
      </c>
      <c r="U53" s="1"/>
      <c r="V53" s="5">
        <f t="shared" si="29"/>
        <v>0</v>
      </c>
      <c r="W53" s="1"/>
      <c r="X53" s="1">
        <f t="shared" si="30"/>
        <v>5067.4000000000015</v>
      </c>
      <c r="Y53" s="1"/>
      <c r="Z53" s="5">
        <f t="shared" si="31"/>
        <v>0.32819948186528508</v>
      </c>
    </row>
    <row r="54" spans="1:26" s="24" customFormat="1" hidden="1" outlineLevel="2" x14ac:dyDescent="0.25">
      <c r="A54" s="28"/>
      <c r="B54" s="11" t="str">
        <f>CONCATENATE("          ", "6314", " - ", "LIABILITY INSURANCE")</f>
        <v xml:space="preserve">          6314 - LIABILITY INSURANCE</v>
      </c>
      <c r="C54" s="11"/>
      <c r="D54" s="7">
        <v>9710.85</v>
      </c>
      <c r="E54" s="2"/>
      <c r="F54" s="6">
        <f t="shared" si="24"/>
        <v>0</v>
      </c>
      <c r="G54" s="2"/>
      <c r="H54" s="7">
        <v>3860</v>
      </c>
      <c r="I54" s="2"/>
      <c r="J54" s="6">
        <f t="shared" si="25"/>
        <v>0</v>
      </c>
      <c r="K54" s="2"/>
      <c r="L54" s="7">
        <f t="shared" si="26"/>
        <v>5850.85</v>
      </c>
      <c r="M54" s="2"/>
      <c r="N54" s="6">
        <f t="shared" si="27"/>
        <v>1.5157642487046632</v>
      </c>
      <c r="O54" s="11"/>
      <c r="P54" s="7">
        <v>20507.400000000001</v>
      </c>
      <c r="Q54" s="2"/>
      <c r="R54" s="6">
        <f t="shared" si="28"/>
        <v>0</v>
      </c>
      <c r="S54" s="2"/>
      <c r="T54" s="7">
        <v>15440</v>
      </c>
      <c r="U54" s="2"/>
      <c r="V54" s="6">
        <f t="shared" si="29"/>
        <v>0</v>
      </c>
      <c r="W54" s="2"/>
      <c r="X54" s="7">
        <f t="shared" si="30"/>
        <v>5067.4000000000015</v>
      </c>
      <c r="Y54" s="2"/>
      <c r="Z54" s="6">
        <f t="shared" si="31"/>
        <v>0.32819948186528508</v>
      </c>
    </row>
    <row r="55" spans="1:26" s="27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0.03</v>
      </c>
      <c r="E55" s="1"/>
      <c r="F55" s="5">
        <f t="shared" si="24"/>
        <v>0</v>
      </c>
      <c r="G55" s="1"/>
      <c r="H55" s="1">
        <f>SUM(OSRRefH22_9x_0)</f>
        <v>0</v>
      </c>
      <c r="I55" s="1"/>
      <c r="J55" s="5">
        <f t="shared" si="25"/>
        <v>0</v>
      </c>
      <c r="K55" s="1"/>
      <c r="L55" s="1">
        <f t="shared" si="26"/>
        <v>0.03</v>
      </c>
      <c r="M55" s="1"/>
      <c r="N55" s="5">
        <f t="shared" si="27"/>
        <v>0</v>
      </c>
      <c r="O55" s="14"/>
      <c r="P55" s="1">
        <f>SUM(OSRRefP22_9x_0)</f>
        <v>829.35</v>
      </c>
      <c r="Q55" s="1"/>
      <c r="R55" s="5">
        <f t="shared" si="28"/>
        <v>0</v>
      </c>
      <c r="S55" s="1"/>
      <c r="T55" s="1">
        <f>SUM(OSRRefT22_9x_0)</f>
        <v>0</v>
      </c>
      <c r="U55" s="1"/>
      <c r="V55" s="5">
        <f t="shared" si="29"/>
        <v>0</v>
      </c>
      <c r="W55" s="1"/>
      <c r="X55" s="1">
        <f t="shared" si="30"/>
        <v>829.35</v>
      </c>
      <c r="Y55" s="1"/>
      <c r="Z55" s="5">
        <f t="shared" si="31"/>
        <v>0</v>
      </c>
    </row>
    <row r="56" spans="1:26" s="24" customFormat="1" hidden="1" outlineLevel="2" x14ac:dyDescent="0.25">
      <c r="A56" s="28"/>
      <c r="B56" s="11" t="str">
        <f>CONCATENATE("          ", "6373", " - ", "MAINTENANCE CONTRACTS")</f>
        <v xml:space="preserve">          6373 - MAINTENANCE CONTRACTS</v>
      </c>
      <c r="C56" s="11"/>
      <c r="D56" s="7">
        <v>0.03</v>
      </c>
      <c r="E56" s="2"/>
      <c r="F56" s="6">
        <f t="shared" si="24"/>
        <v>0</v>
      </c>
      <c r="G56" s="2"/>
      <c r="H56" s="7">
        <v>0</v>
      </c>
      <c r="I56" s="2"/>
      <c r="J56" s="6">
        <f t="shared" si="25"/>
        <v>0</v>
      </c>
      <c r="K56" s="2"/>
      <c r="L56" s="7">
        <f t="shared" si="26"/>
        <v>0.03</v>
      </c>
      <c r="M56" s="2"/>
      <c r="N56" s="6">
        <f t="shared" si="27"/>
        <v>0</v>
      </c>
      <c r="O56" s="11"/>
      <c r="P56" s="7">
        <v>791.89</v>
      </c>
      <c r="Q56" s="2"/>
      <c r="R56" s="6">
        <f t="shared" si="28"/>
        <v>0</v>
      </c>
      <c r="S56" s="2"/>
      <c r="T56" s="7">
        <v>0</v>
      </c>
      <c r="U56" s="2"/>
      <c r="V56" s="6">
        <f t="shared" si="29"/>
        <v>0</v>
      </c>
      <c r="W56" s="2"/>
      <c r="X56" s="7">
        <f t="shared" si="30"/>
        <v>791.89</v>
      </c>
      <c r="Y56" s="2"/>
      <c r="Z56" s="6">
        <f t="shared" si="31"/>
        <v>0</v>
      </c>
    </row>
    <row r="57" spans="1:26" s="24" customFormat="1" hidden="1" outlineLevel="2" x14ac:dyDescent="0.25">
      <c r="A57" s="28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24"/>
        <v>0</v>
      </c>
      <c r="G57" s="2"/>
      <c r="H57" s="7">
        <v>0</v>
      </c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>
        <v>37.46</v>
      </c>
      <c r="Q57" s="2"/>
      <c r="R57" s="6">
        <f t="shared" si="28"/>
        <v>0</v>
      </c>
      <c r="S57" s="2"/>
      <c r="T57" s="7">
        <v>0</v>
      </c>
      <c r="U57" s="2"/>
      <c r="V57" s="6">
        <f t="shared" si="29"/>
        <v>0</v>
      </c>
      <c r="W57" s="2"/>
      <c r="X57" s="7">
        <f t="shared" si="30"/>
        <v>37.46</v>
      </c>
      <c r="Y57" s="2"/>
      <c r="Z57" s="6">
        <f t="shared" si="31"/>
        <v>0</v>
      </c>
    </row>
    <row r="58" spans="1:26" s="27" customFormat="1" outlineLevel="1" collapsed="1" x14ac:dyDescent="0.25">
      <c r="A58" s="29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SUM(OSRRefD22_10x_0)</f>
        <v>4254</v>
      </c>
      <c r="E58" s="1"/>
      <c r="F58" s="5">
        <f t="shared" ref="F58:F62" si="32">IF(D$12=0,0,D58/D$12)</f>
        <v>0</v>
      </c>
      <c r="G58" s="1"/>
      <c r="H58" s="1">
        <f>SUM(OSRRefH22_10x_0)</f>
        <v>3126</v>
      </c>
      <c r="I58" s="1"/>
      <c r="J58" s="5">
        <f t="shared" ref="J58:J62" si="33">IF(H$12=0,0,H58/H$12)</f>
        <v>0</v>
      </c>
      <c r="K58" s="1"/>
      <c r="L58" s="1">
        <f t="shared" ref="L58:L62" si="34">+D58-H58</f>
        <v>1128</v>
      </c>
      <c r="M58" s="1"/>
      <c r="N58" s="5">
        <f t="shared" ref="N58:N62" si="35">IF(H58=0,0,L58/H58)</f>
        <v>0.36084452975047987</v>
      </c>
      <c r="O58" s="14"/>
      <c r="P58" s="1">
        <f>SUM(OSRRefP22_10x_0)</f>
        <v>4254</v>
      </c>
      <c r="Q58" s="1"/>
      <c r="R58" s="5">
        <f t="shared" ref="R58:R62" si="36">IF(P$12=0,0,P58/P$12)</f>
        <v>0</v>
      </c>
      <c r="S58" s="1"/>
      <c r="T58" s="1">
        <f>SUM(OSRRefT22_10x_0)</f>
        <v>10304</v>
      </c>
      <c r="U58" s="1"/>
      <c r="V58" s="5">
        <f t="shared" ref="V58:V62" si="37">IF(T$12=0,0,T58/T$12)</f>
        <v>0</v>
      </c>
      <c r="W58" s="1"/>
      <c r="X58" s="1">
        <f t="shared" ref="X58:X62" si="38">+P58-T58</f>
        <v>-6050</v>
      </c>
      <c r="Y58" s="1"/>
      <c r="Z58" s="5">
        <f t="shared" ref="Z58:Z62" si="39">IF(T58=0,0,X58/T58)</f>
        <v>-0.58715062111801242</v>
      </c>
    </row>
    <row r="59" spans="1:26" s="24" customFormat="1" hidden="1" outlineLevel="2" x14ac:dyDescent="0.25">
      <c r="A59" s="28"/>
      <c r="B59" s="11" t="str">
        <f>CONCATENATE("          ", "6282", " - ", "JANITORIAL/EXTERMINATOR EXPENS")</f>
        <v xml:space="preserve">          6282 - JANITORIAL/EXTERMINATOR EXPENS</v>
      </c>
      <c r="C59" s="11"/>
      <c r="D59" s="7"/>
      <c r="E59" s="2"/>
      <c r="F59" s="6">
        <f t="shared" si="32"/>
        <v>0</v>
      </c>
      <c r="G59" s="2"/>
      <c r="H59" s="7">
        <v>626</v>
      </c>
      <c r="I59" s="2"/>
      <c r="J59" s="6">
        <f t="shared" si="33"/>
        <v>0</v>
      </c>
      <c r="K59" s="2"/>
      <c r="L59" s="7">
        <f t="shared" si="34"/>
        <v>-626</v>
      </c>
      <c r="M59" s="2"/>
      <c r="N59" s="6">
        <f t="shared" si="35"/>
        <v>-1</v>
      </c>
      <c r="O59" s="11"/>
      <c r="P59" s="7"/>
      <c r="Q59" s="2"/>
      <c r="R59" s="6">
        <f t="shared" si="36"/>
        <v>0</v>
      </c>
      <c r="S59" s="2"/>
      <c r="T59" s="7">
        <v>2504</v>
      </c>
      <c r="U59" s="2"/>
      <c r="V59" s="6">
        <f t="shared" si="37"/>
        <v>0</v>
      </c>
      <c r="W59" s="2"/>
      <c r="X59" s="7">
        <f t="shared" si="38"/>
        <v>-2504</v>
      </c>
      <c r="Y59" s="2"/>
      <c r="Z59" s="6">
        <f t="shared" si="39"/>
        <v>-1</v>
      </c>
    </row>
    <row r="60" spans="1:26" s="24" customFormat="1" hidden="1" outlineLevel="2" x14ac:dyDescent="0.25">
      <c r="A60" s="28"/>
      <c r="B60" s="11" t="str">
        <f>CONCATENATE("          ", "6283", " - ", "PLANT SERVICE")</f>
        <v xml:space="preserve">          6283 - PLANT SERVICE</v>
      </c>
      <c r="C60" s="11"/>
      <c r="D60" s="7"/>
      <c r="E60" s="2"/>
      <c r="F60" s="6">
        <f t="shared" si="32"/>
        <v>0</v>
      </c>
      <c r="G60" s="2"/>
      <c r="H60" s="7">
        <v>0</v>
      </c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/>
      <c r="Q60" s="2"/>
      <c r="R60" s="6">
        <f t="shared" si="36"/>
        <v>0</v>
      </c>
      <c r="S60" s="2"/>
      <c r="T60" s="7">
        <v>0</v>
      </c>
      <c r="U60" s="2"/>
      <c r="V60" s="6">
        <f t="shared" si="37"/>
        <v>0</v>
      </c>
      <c r="W60" s="2"/>
      <c r="X60" s="7">
        <f t="shared" si="38"/>
        <v>0</v>
      </c>
      <c r="Y60" s="2"/>
      <c r="Z60" s="6">
        <f t="shared" si="39"/>
        <v>0</v>
      </c>
    </row>
    <row r="61" spans="1:26" s="24" customFormat="1" hidden="1" outlineLevel="2" x14ac:dyDescent="0.25">
      <c r="A61" s="28"/>
      <c r="B61" s="11" t="str">
        <f>CONCATENATE("          ", "6284", " - ", "TRASH REMOVAL EXPENSE")</f>
        <v xml:space="preserve">          6284 - TRASH REMOVAL EXPENSE</v>
      </c>
      <c r="C61" s="11"/>
      <c r="D61" s="7">
        <v>4254</v>
      </c>
      <c r="E61" s="2"/>
      <c r="F61" s="6">
        <f t="shared" si="32"/>
        <v>0</v>
      </c>
      <c r="G61" s="2"/>
      <c r="H61" s="7">
        <v>2500</v>
      </c>
      <c r="I61" s="2"/>
      <c r="J61" s="6">
        <f t="shared" si="33"/>
        <v>0</v>
      </c>
      <c r="K61" s="2"/>
      <c r="L61" s="7">
        <f t="shared" si="34"/>
        <v>1754</v>
      </c>
      <c r="M61" s="2"/>
      <c r="N61" s="6">
        <f t="shared" si="35"/>
        <v>0.7016</v>
      </c>
      <c r="O61" s="11"/>
      <c r="P61" s="7">
        <v>4254</v>
      </c>
      <c r="Q61" s="2"/>
      <c r="R61" s="6">
        <f t="shared" si="36"/>
        <v>0</v>
      </c>
      <c r="S61" s="2"/>
      <c r="T61" s="7">
        <v>7800</v>
      </c>
      <c r="U61" s="2"/>
      <c r="V61" s="6">
        <f t="shared" si="37"/>
        <v>0</v>
      </c>
      <c r="W61" s="2"/>
      <c r="X61" s="7">
        <f t="shared" si="38"/>
        <v>-3546</v>
      </c>
      <c r="Y61" s="2"/>
      <c r="Z61" s="6">
        <f t="shared" si="39"/>
        <v>-0.45461538461538459</v>
      </c>
    </row>
    <row r="62" spans="1:26" s="24" customFormat="1" hidden="1" outlineLevel="2" x14ac:dyDescent="0.25">
      <c r="A62" s="28"/>
      <c r="B62" s="11" t="str">
        <f>CONCATENATE("          ", "6285", " - ", "JANITORIAL SERVICES")</f>
        <v xml:space="preserve">          6285 - JANITORIAL SERVICES</v>
      </c>
      <c r="C62" s="11"/>
      <c r="D62" s="7"/>
      <c r="E62" s="2"/>
      <c r="F62" s="6">
        <f t="shared" si="32"/>
        <v>0</v>
      </c>
      <c r="G62" s="2"/>
      <c r="H62" s="7">
        <v>0</v>
      </c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/>
      <c r="Q62" s="2"/>
      <c r="R62" s="6">
        <f t="shared" si="36"/>
        <v>0</v>
      </c>
      <c r="S62" s="2"/>
      <c r="T62" s="7">
        <v>0</v>
      </c>
      <c r="U62" s="2"/>
      <c r="V62" s="6">
        <f t="shared" si="37"/>
        <v>0</v>
      </c>
      <c r="W62" s="2"/>
      <c r="X62" s="7">
        <f t="shared" si="38"/>
        <v>0</v>
      </c>
      <c r="Y62" s="2"/>
      <c r="Z62" s="6">
        <f t="shared" si="39"/>
        <v>0</v>
      </c>
    </row>
    <row r="63" spans="1:26" s="27" customFormat="1" outlineLevel="1" collapsed="1" x14ac:dyDescent="0.25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0</v>
      </c>
      <c r="E63" s="1"/>
      <c r="F63" s="5">
        <f t="shared" ref="F63:F70" si="40">IF(D$12=0,0,D63/D$12)</f>
        <v>0</v>
      </c>
      <c r="G63" s="1"/>
      <c r="H63" s="1">
        <f>SUM(OSRRefH22_11x_0)</f>
        <v>0</v>
      </c>
      <c r="I63" s="1"/>
      <c r="J63" s="5">
        <f t="shared" ref="J63:J70" si="41">IF(H$12=0,0,H63/H$12)</f>
        <v>0</v>
      </c>
      <c r="K63" s="1"/>
      <c r="L63" s="1">
        <f t="shared" ref="L63:L70" si="42">+D63-H63</f>
        <v>0</v>
      </c>
      <c r="M63" s="1"/>
      <c r="N63" s="5">
        <f t="shared" ref="N63:N70" si="43">IF(H63=0,0,L63/H63)</f>
        <v>0</v>
      </c>
      <c r="O63" s="14"/>
      <c r="P63" s="1">
        <f>SUM(OSRRefP22_11x_0)</f>
        <v>-29072.879999999997</v>
      </c>
      <c r="Q63" s="1"/>
      <c r="R63" s="5">
        <f t="shared" ref="R63:R70" si="44">IF(P$12=0,0,P63/P$12)</f>
        <v>0</v>
      </c>
      <c r="S63" s="1"/>
      <c r="T63" s="1">
        <f>SUM(OSRRefT22_11x_0)</f>
        <v>0</v>
      </c>
      <c r="U63" s="1"/>
      <c r="V63" s="5">
        <f t="shared" ref="V63:V70" si="45">IF(T$12=0,0,T63/T$12)</f>
        <v>0</v>
      </c>
      <c r="W63" s="1"/>
      <c r="X63" s="1">
        <f t="shared" ref="X63:X70" si="46">+P63-T63</f>
        <v>-29072.879999999997</v>
      </c>
      <c r="Y63" s="1"/>
      <c r="Z63" s="5">
        <f t="shared" ref="Z63:Z70" si="47">IF(T63=0,0,X63/T63)</f>
        <v>0</v>
      </c>
    </row>
    <row r="64" spans="1:26" s="24" customFormat="1" hidden="1" outlineLevel="2" x14ac:dyDescent="0.25">
      <c r="A64" s="28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0"/>
        <v>0</v>
      </c>
      <c r="G64" s="2"/>
      <c r="H64" s="7"/>
      <c r="I64" s="2"/>
      <c r="J64" s="6">
        <f t="shared" si="41"/>
        <v>0</v>
      </c>
      <c r="K64" s="2"/>
      <c r="L64" s="7">
        <f t="shared" si="42"/>
        <v>0</v>
      </c>
      <c r="M64" s="2"/>
      <c r="N64" s="6">
        <f t="shared" si="43"/>
        <v>0</v>
      </c>
      <c r="O64" s="11"/>
      <c r="P64" s="7">
        <v>127.89</v>
      </c>
      <c r="Q64" s="2"/>
      <c r="R64" s="6">
        <f t="shared" si="44"/>
        <v>0</v>
      </c>
      <c r="S64" s="2"/>
      <c r="T64" s="7">
        <v>0</v>
      </c>
      <c r="U64" s="2"/>
      <c r="V64" s="6">
        <f t="shared" si="45"/>
        <v>0</v>
      </c>
      <c r="W64" s="2"/>
      <c r="X64" s="7">
        <f t="shared" si="46"/>
        <v>127.89</v>
      </c>
      <c r="Y64" s="2"/>
      <c r="Z64" s="6">
        <f t="shared" si="47"/>
        <v>0</v>
      </c>
    </row>
    <row r="65" spans="1:26" s="24" customFormat="1" hidden="1" outlineLevel="2" x14ac:dyDescent="0.25">
      <c r="A65" s="28"/>
      <c r="B65" s="11" t="str">
        <f>CONCATENATE("          ", "6237", " - ", "JANITORIAL SUPPLIES")</f>
        <v xml:space="preserve">          6237 - JANITORIAL SUPPLIES</v>
      </c>
      <c r="C65" s="11"/>
      <c r="D65" s="7"/>
      <c r="E65" s="2"/>
      <c r="F65" s="6">
        <f t="shared" si="40"/>
        <v>0</v>
      </c>
      <c r="G65" s="2"/>
      <c r="H65" s="7">
        <v>0</v>
      </c>
      <c r="I65" s="2"/>
      <c r="J65" s="6">
        <f t="shared" si="41"/>
        <v>0</v>
      </c>
      <c r="K65" s="2"/>
      <c r="L65" s="7">
        <f t="shared" si="42"/>
        <v>0</v>
      </c>
      <c r="M65" s="2"/>
      <c r="N65" s="6">
        <f t="shared" si="43"/>
        <v>0</v>
      </c>
      <c r="O65" s="11"/>
      <c r="P65" s="7"/>
      <c r="Q65" s="2"/>
      <c r="R65" s="6">
        <f t="shared" si="44"/>
        <v>0</v>
      </c>
      <c r="S65" s="2"/>
      <c r="T65" s="7">
        <v>0</v>
      </c>
      <c r="U65" s="2"/>
      <c r="V65" s="6">
        <f t="shared" si="45"/>
        <v>0</v>
      </c>
      <c r="W65" s="2"/>
      <c r="X65" s="7">
        <f t="shared" si="46"/>
        <v>0</v>
      </c>
      <c r="Y65" s="2"/>
      <c r="Z65" s="6">
        <f t="shared" si="47"/>
        <v>0</v>
      </c>
    </row>
    <row r="66" spans="1:26" s="24" customFormat="1" hidden="1" outlineLevel="2" x14ac:dyDescent="0.25">
      <c r="A66" s="28"/>
      <c r="B66" s="11" t="str">
        <f>CONCATENATE("          ", "6239", " - ", "KITCHEN SUPPLIES")</f>
        <v xml:space="preserve">          6239 - KITCHEN SUPPLIES</v>
      </c>
      <c r="C66" s="11"/>
      <c r="D66" s="7"/>
      <c r="E66" s="2"/>
      <c r="F66" s="6">
        <f t="shared" si="40"/>
        <v>0</v>
      </c>
      <c r="G66" s="2"/>
      <c r="H66" s="7">
        <v>0</v>
      </c>
      <c r="I66" s="2"/>
      <c r="J66" s="6">
        <f t="shared" si="41"/>
        <v>0</v>
      </c>
      <c r="K66" s="2"/>
      <c r="L66" s="7">
        <f t="shared" si="42"/>
        <v>0</v>
      </c>
      <c r="M66" s="2"/>
      <c r="N66" s="6">
        <f t="shared" si="43"/>
        <v>0</v>
      </c>
      <c r="O66" s="11"/>
      <c r="P66" s="7"/>
      <c r="Q66" s="2"/>
      <c r="R66" s="6">
        <f t="shared" si="44"/>
        <v>0</v>
      </c>
      <c r="S66" s="2"/>
      <c r="T66" s="7">
        <v>0</v>
      </c>
      <c r="U66" s="2"/>
      <c r="V66" s="6">
        <f t="shared" si="45"/>
        <v>0</v>
      </c>
      <c r="W66" s="2"/>
      <c r="X66" s="7">
        <f t="shared" si="46"/>
        <v>0</v>
      </c>
      <c r="Y66" s="2"/>
      <c r="Z66" s="6">
        <f t="shared" si="47"/>
        <v>0</v>
      </c>
    </row>
    <row r="67" spans="1:26" s="24" customFormat="1" hidden="1" outlineLevel="2" x14ac:dyDescent="0.25">
      <c r="A67" s="28"/>
      <c r="B67" s="11" t="str">
        <f>CONCATENATE("          ", "6241", " - ", "OFFICE EXPENSE")</f>
        <v xml:space="preserve">          6241 - OFFICE EXPENSE</v>
      </c>
      <c r="C67" s="11"/>
      <c r="D67" s="7"/>
      <c r="E67" s="2"/>
      <c r="F67" s="6">
        <f t="shared" si="40"/>
        <v>0</v>
      </c>
      <c r="G67" s="2"/>
      <c r="H67" s="7">
        <v>0</v>
      </c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>
        <v>-29200.769999999997</v>
      </c>
      <c r="Q67" s="2"/>
      <c r="R67" s="6">
        <f t="shared" si="44"/>
        <v>0</v>
      </c>
      <c r="S67" s="2"/>
      <c r="T67" s="7">
        <v>0</v>
      </c>
      <c r="U67" s="2"/>
      <c r="V67" s="6">
        <f t="shared" si="45"/>
        <v>0</v>
      </c>
      <c r="W67" s="2"/>
      <c r="X67" s="7">
        <f t="shared" si="46"/>
        <v>-29200.769999999997</v>
      </c>
      <c r="Y67" s="2"/>
      <c r="Z67" s="6">
        <f t="shared" si="47"/>
        <v>0</v>
      </c>
    </row>
    <row r="68" spans="1:26" s="24" customFormat="1" hidden="1" outlineLevel="2" x14ac:dyDescent="0.25">
      <c r="A68" s="28"/>
      <c r="B68" s="11" t="str">
        <f>CONCATENATE("          ", "6246", " - ", "REPLACEMENTS")</f>
        <v xml:space="preserve">          6246 - REPLACEMENTS</v>
      </c>
      <c r="C68" s="11"/>
      <c r="D68" s="7"/>
      <c r="E68" s="2"/>
      <c r="F68" s="6">
        <f t="shared" si="40"/>
        <v>0</v>
      </c>
      <c r="G68" s="2"/>
      <c r="H68" s="7">
        <v>0</v>
      </c>
      <c r="I68" s="2"/>
      <c r="J68" s="6">
        <f t="shared" si="41"/>
        <v>0</v>
      </c>
      <c r="K68" s="2"/>
      <c r="L68" s="7">
        <f t="shared" si="42"/>
        <v>0</v>
      </c>
      <c r="M68" s="2"/>
      <c r="N68" s="6">
        <f t="shared" si="43"/>
        <v>0</v>
      </c>
      <c r="O68" s="11"/>
      <c r="P68" s="7"/>
      <c r="Q68" s="2"/>
      <c r="R68" s="6">
        <f t="shared" si="44"/>
        <v>0</v>
      </c>
      <c r="S68" s="2"/>
      <c r="T68" s="7">
        <v>0</v>
      </c>
      <c r="U68" s="2"/>
      <c r="V68" s="6">
        <f t="shared" si="45"/>
        <v>0</v>
      </c>
      <c r="W68" s="2"/>
      <c r="X68" s="7">
        <f t="shared" si="46"/>
        <v>0</v>
      </c>
      <c r="Y68" s="2"/>
      <c r="Z68" s="6">
        <f t="shared" si="47"/>
        <v>0</v>
      </c>
    </row>
    <row r="69" spans="1:26" s="24" customFormat="1" hidden="1" outlineLevel="2" x14ac:dyDescent="0.25">
      <c r="A69" s="28"/>
      <c r="B69" s="11" t="str">
        <f>CONCATENATE("          ", "6247", " - ", "STORE SUPPLIES")</f>
        <v xml:space="preserve">          6247 - STORE SUPPLIES</v>
      </c>
      <c r="C69" s="11"/>
      <c r="D69" s="7"/>
      <c r="E69" s="2"/>
      <c r="F69" s="6">
        <f t="shared" si="40"/>
        <v>0</v>
      </c>
      <c r="G69" s="2"/>
      <c r="H69" s="7">
        <v>0</v>
      </c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/>
      <c r="Q69" s="2"/>
      <c r="R69" s="6">
        <f t="shared" si="44"/>
        <v>0</v>
      </c>
      <c r="S69" s="2"/>
      <c r="T69" s="7">
        <v>0</v>
      </c>
      <c r="U69" s="2"/>
      <c r="V69" s="6">
        <f t="shared" si="45"/>
        <v>0</v>
      </c>
      <c r="W69" s="2"/>
      <c r="X69" s="7">
        <f t="shared" si="46"/>
        <v>0</v>
      </c>
      <c r="Y69" s="2"/>
      <c r="Z69" s="6">
        <f t="shared" si="47"/>
        <v>0</v>
      </c>
    </row>
    <row r="70" spans="1:26" s="24" customFormat="1" hidden="1" outlineLevel="2" x14ac:dyDescent="0.25">
      <c r="A70" s="28"/>
      <c r="B70" s="11" t="str">
        <f>CONCATENATE("          ", "6248", " - ", "UNIFORMS")</f>
        <v xml:space="preserve">          6248 - UNIFORMS</v>
      </c>
      <c r="C70" s="11"/>
      <c r="D70" s="7"/>
      <c r="E70" s="2"/>
      <c r="F70" s="6">
        <f t="shared" si="40"/>
        <v>0</v>
      </c>
      <c r="G70" s="2"/>
      <c r="H70" s="7"/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/>
      <c r="Q70" s="2"/>
      <c r="R70" s="6">
        <f t="shared" si="44"/>
        <v>0</v>
      </c>
      <c r="S70" s="2"/>
      <c r="T70" s="7">
        <v>0</v>
      </c>
      <c r="U70" s="2"/>
      <c r="V70" s="6">
        <f t="shared" si="45"/>
        <v>0</v>
      </c>
      <c r="W70" s="2"/>
      <c r="X70" s="7">
        <f t="shared" si="46"/>
        <v>0</v>
      </c>
      <c r="Y70" s="2"/>
      <c r="Z70" s="6">
        <f t="shared" si="47"/>
        <v>0</v>
      </c>
    </row>
    <row r="71" spans="1:26" s="27" customFormat="1" outlineLevel="1" collapsed="1" x14ac:dyDescent="0.25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SUM(OSRRefD22_12x_0)</f>
        <v>221.03</v>
      </c>
      <c r="E71" s="1"/>
      <c r="F71" s="5">
        <f t="shared" ref="F71:F76" si="48">IF(D$12=0,0,D71/D$12)</f>
        <v>0</v>
      </c>
      <c r="G71" s="1"/>
      <c r="H71" s="1">
        <f>SUM(OSRRefH22_12x_0)</f>
        <v>50</v>
      </c>
      <c r="I71" s="1"/>
      <c r="J71" s="5">
        <f t="shared" ref="J71:J76" si="49">IF(H$12=0,0,H71/H$12)</f>
        <v>0</v>
      </c>
      <c r="K71" s="1"/>
      <c r="L71" s="1">
        <f t="shared" ref="L71:L76" si="50">+D71-H71</f>
        <v>171.03</v>
      </c>
      <c r="M71" s="1"/>
      <c r="N71" s="5">
        <f t="shared" ref="N71:N76" si="51">IF(H71=0,0,L71/H71)</f>
        <v>3.4205999999999999</v>
      </c>
      <c r="O71" s="14"/>
      <c r="P71" s="1">
        <f>SUM(OSRRefP22_12x_0)</f>
        <v>1100.33</v>
      </c>
      <c r="Q71" s="1"/>
      <c r="R71" s="5">
        <f t="shared" ref="R71:R76" si="52">IF(P$12=0,0,P71/P$12)</f>
        <v>0</v>
      </c>
      <c r="S71" s="1"/>
      <c r="T71" s="1">
        <f>SUM(OSRRefT22_12x_0)</f>
        <v>200</v>
      </c>
      <c r="U71" s="1"/>
      <c r="V71" s="5">
        <f t="shared" ref="V71:V76" si="53">IF(T$12=0,0,T71/T$12)</f>
        <v>0</v>
      </c>
      <c r="W71" s="1"/>
      <c r="X71" s="1">
        <f t="shared" ref="X71:X76" si="54">+P71-T71</f>
        <v>900.32999999999993</v>
      </c>
      <c r="Y71" s="1"/>
      <c r="Z71" s="5">
        <f t="shared" ref="Z71:Z76" si="55">IF(T71=0,0,X71/T71)</f>
        <v>4.5016499999999997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7">
        <v>221.03</v>
      </c>
      <c r="E72" s="2"/>
      <c r="F72" s="6">
        <f t="shared" si="48"/>
        <v>0</v>
      </c>
      <c r="G72" s="2"/>
      <c r="H72" s="7">
        <v>50</v>
      </c>
      <c r="I72" s="2"/>
      <c r="J72" s="6">
        <f t="shared" si="49"/>
        <v>0</v>
      </c>
      <c r="K72" s="2"/>
      <c r="L72" s="7">
        <f t="shared" si="50"/>
        <v>171.03</v>
      </c>
      <c r="M72" s="2"/>
      <c r="N72" s="6">
        <f t="shared" si="51"/>
        <v>3.4205999999999999</v>
      </c>
      <c r="O72" s="11"/>
      <c r="P72" s="7">
        <v>1100.33</v>
      </c>
      <c r="Q72" s="2"/>
      <c r="R72" s="6">
        <f t="shared" si="52"/>
        <v>0</v>
      </c>
      <c r="S72" s="2"/>
      <c r="T72" s="7">
        <v>200</v>
      </c>
      <c r="U72" s="2"/>
      <c r="V72" s="6">
        <f t="shared" si="53"/>
        <v>0</v>
      </c>
      <c r="W72" s="2"/>
      <c r="X72" s="7">
        <f t="shared" si="54"/>
        <v>900.32999999999993</v>
      </c>
      <c r="Y72" s="2"/>
      <c r="Z72" s="6">
        <f t="shared" si="55"/>
        <v>4.5016499999999997</v>
      </c>
    </row>
    <row r="73" spans="1:26" s="27" customFormat="1" outlineLevel="1" collapsed="1" x14ac:dyDescent="0.25">
      <c r="A73" s="29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SUM(OSRRefD22_13x_0)</f>
        <v>0</v>
      </c>
      <c r="E73" s="1"/>
      <c r="F73" s="5">
        <f t="shared" si="48"/>
        <v>0</v>
      </c>
      <c r="G73" s="1"/>
      <c r="H73" s="1">
        <f>SUM(OSRRefH22_13x_0)</f>
        <v>0</v>
      </c>
      <c r="I73" s="1"/>
      <c r="J73" s="5">
        <f t="shared" si="49"/>
        <v>0</v>
      </c>
      <c r="K73" s="1"/>
      <c r="L73" s="1">
        <f t="shared" si="50"/>
        <v>0</v>
      </c>
      <c r="M73" s="1"/>
      <c r="N73" s="5">
        <f t="shared" si="51"/>
        <v>0</v>
      </c>
      <c r="O73" s="14"/>
      <c r="P73" s="1">
        <f>SUM(OSRRefP22_13x_0)</f>
        <v>332.21</v>
      </c>
      <c r="Q73" s="1"/>
      <c r="R73" s="5">
        <f t="shared" si="52"/>
        <v>0</v>
      </c>
      <c r="S73" s="1"/>
      <c r="T73" s="1">
        <f>SUM(OSRRefT22_13x_0)</f>
        <v>0</v>
      </c>
      <c r="U73" s="1"/>
      <c r="V73" s="5">
        <f t="shared" si="53"/>
        <v>0</v>
      </c>
      <c r="W73" s="1"/>
      <c r="X73" s="1">
        <f t="shared" si="54"/>
        <v>332.21</v>
      </c>
      <c r="Y73" s="1"/>
      <c r="Z73" s="5">
        <f t="shared" si="55"/>
        <v>0</v>
      </c>
    </row>
    <row r="74" spans="1:26" s="24" customFormat="1" hidden="1" outlineLevel="2" x14ac:dyDescent="0.25">
      <c r="A74" s="28"/>
      <c r="B74" s="11" t="str">
        <f>CONCATENATE("          ", "6298", " - ", "VEHICLE MILEAGE")</f>
        <v xml:space="preserve">          6298 - VEHICLE MILEAGE</v>
      </c>
      <c r="C74" s="11"/>
      <c r="D74" s="7"/>
      <c r="E74" s="2"/>
      <c r="F74" s="6">
        <f t="shared" si="48"/>
        <v>0</v>
      </c>
      <c r="G74" s="2"/>
      <c r="H74" s="7"/>
      <c r="I74" s="2"/>
      <c r="J74" s="6">
        <f t="shared" si="49"/>
        <v>0</v>
      </c>
      <c r="K74" s="2"/>
      <c r="L74" s="7">
        <f t="shared" si="50"/>
        <v>0</v>
      </c>
      <c r="M74" s="2"/>
      <c r="N74" s="6">
        <f t="shared" si="51"/>
        <v>0</v>
      </c>
      <c r="O74" s="11"/>
      <c r="P74" s="7">
        <v>332.21</v>
      </c>
      <c r="Q74" s="2"/>
      <c r="R74" s="6">
        <f t="shared" si="52"/>
        <v>0</v>
      </c>
      <c r="S74" s="2"/>
      <c r="T74" s="7"/>
      <c r="U74" s="2"/>
      <c r="V74" s="6">
        <f t="shared" si="53"/>
        <v>0</v>
      </c>
      <c r="W74" s="2"/>
      <c r="X74" s="7">
        <f t="shared" si="54"/>
        <v>332.21</v>
      </c>
      <c r="Y74" s="2"/>
      <c r="Z74" s="6">
        <f t="shared" si="55"/>
        <v>0</v>
      </c>
    </row>
    <row r="75" spans="1:26" s="27" customFormat="1" outlineLevel="1" collapsed="1" x14ac:dyDescent="0.25">
      <c r="A75" s="29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SUM(OSRRefD22_14x_0)</f>
        <v>-15876</v>
      </c>
      <c r="E75" s="1"/>
      <c r="F75" s="5">
        <f t="shared" si="48"/>
        <v>0</v>
      </c>
      <c r="G75" s="1"/>
      <c r="H75" s="1">
        <f>SUM(OSRRefH22_14x_0)</f>
        <v>1000</v>
      </c>
      <c r="I75" s="1"/>
      <c r="J75" s="5">
        <f t="shared" si="49"/>
        <v>0</v>
      </c>
      <c r="K75" s="1"/>
      <c r="L75" s="1">
        <f t="shared" si="50"/>
        <v>-16876</v>
      </c>
      <c r="M75" s="1"/>
      <c r="N75" s="5">
        <f t="shared" si="51"/>
        <v>-16.876000000000001</v>
      </c>
      <c r="O75" s="14"/>
      <c r="P75" s="1">
        <f>SUM(OSRRefP22_14x_0)</f>
        <v>-15876</v>
      </c>
      <c r="Q75" s="1"/>
      <c r="R75" s="5">
        <f t="shared" si="52"/>
        <v>0</v>
      </c>
      <c r="S75" s="1"/>
      <c r="T75" s="1">
        <f>SUM(OSRRefT22_14x_0)</f>
        <v>4000</v>
      </c>
      <c r="U75" s="1"/>
      <c r="V75" s="5">
        <f t="shared" si="53"/>
        <v>0</v>
      </c>
      <c r="W75" s="1"/>
      <c r="X75" s="1">
        <f t="shared" si="54"/>
        <v>-19876</v>
      </c>
      <c r="Y75" s="1"/>
      <c r="Z75" s="5">
        <f t="shared" si="55"/>
        <v>-4.9690000000000003</v>
      </c>
    </row>
    <row r="76" spans="1:26" s="24" customFormat="1" hidden="1" outlineLevel="2" x14ac:dyDescent="0.25">
      <c r="A76" s="28"/>
      <c r="B76" s="11" t="str">
        <f>CONCATENATE("          ", "6274", " - ", "UTILITIES")</f>
        <v xml:space="preserve">          6274 - UTILITIES</v>
      </c>
      <c r="C76" s="11"/>
      <c r="D76" s="7">
        <v>-15876</v>
      </c>
      <c r="E76" s="2"/>
      <c r="F76" s="6">
        <f t="shared" si="48"/>
        <v>0</v>
      </c>
      <c r="G76" s="2"/>
      <c r="H76" s="7">
        <v>1000</v>
      </c>
      <c r="I76" s="2"/>
      <c r="J76" s="6">
        <f t="shared" si="49"/>
        <v>0</v>
      </c>
      <c r="K76" s="2"/>
      <c r="L76" s="7">
        <f t="shared" si="50"/>
        <v>-16876</v>
      </c>
      <c r="M76" s="2"/>
      <c r="N76" s="6">
        <f t="shared" si="51"/>
        <v>-16.876000000000001</v>
      </c>
      <c r="O76" s="11"/>
      <c r="P76" s="7">
        <v>-15876</v>
      </c>
      <c r="Q76" s="2"/>
      <c r="R76" s="6">
        <f t="shared" si="52"/>
        <v>0</v>
      </c>
      <c r="S76" s="2"/>
      <c r="T76" s="7">
        <v>4000</v>
      </c>
      <c r="U76" s="2"/>
      <c r="V76" s="6">
        <f t="shared" si="53"/>
        <v>0</v>
      </c>
      <c r="W76" s="2"/>
      <c r="X76" s="7">
        <f t="shared" si="54"/>
        <v>-19876</v>
      </c>
      <c r="Y76" s="2"/>
      <c r="Z76" s="6">
        <f t="shared" si="55"/>
        <v>-4.9690000000000003</v>
      </c>
    </row>
    <row r="77" spans="1:26" s="63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25">
      <c r="A78" s="10"/>
      <c r="B78" s="25" t="s">
        <v>0</v>
      </c>
      <c r="C78" s="10"/>
      <c r="D78" s="4">
        <f>SUM(OSRRefD25x_0)</f>
        <v>119.09</v>
      </c>
      <c r="E78" s="4"/>
      <c r="F78" s="12">
        <f t="shared" ref="F78:F80" si="56">IF(D$12=0,0,D78/D$12)</f>
        <v>0</v>
      </c>
      <c r="G78" s="4"/>
      <c r="H78" s="4">
        <f>SUM(OSRRefH25x_0)</f>
        <v>0</v>
      </c>
      <c r="I78" s="4"/>
      <c r="J78" s="12">
        <f t="shared" ref="J78:J80" si="57">IF(H$12=0,0,H78/H$12)</f>
        <v>0</v>
      </c>
      <c r="K78" s="4"/>
      <c r="L78" s="4">
        <f t="shared" ref="L78:L80" si="58">+D78-H78</f>
        <v>119.09</v>
      </c>
      <c r="M78" s="4"/>
      <c r="N78" s="12">
        <f t="shared" ref="N78:N80" si="59">IF(H78=0,0,L78/H78)</f>
        <v>0</v>
      </c>
      <c r="O78" s="10"/>
      <c r="P78" s="4">
        <f>SUM(OSRRefP25x_0)</f>
        <v>1438.78</v>
      </c>
      <c r="Q78" s="4"/>
      <c r="R78" s="12">
        <f t="shared" ref="R78:R80" si="60">IF(P$12=0,0,P78/P$12)</f>
        <v>0</v>
      </c>
      <c r="S78" s="4"/>
      <c r="T78" s="4">
        <f>SUM(OSRRefT25x_0)</f>
        <v>0</v>
      </c>
      <c r="U78" s="4"/>
      <c r="V78" s="12">
        <f t="shared" ref="V78:V80" si="61">IF(T$12=0,0,T78/T$12)</f>
        <v>0</v>
      </c>
      <c r="W78" s="4"/>
      <c r="X78" s="4">
        <f t="shared" ref="X78:X80" si="62">+P78-T78</f>
        <v>1438.78</v>
      </c>
      <c r="Y78" s="4"/>
      <c r="Z78" s="12">
        <f t="shared" ref="Z78:Z80" si="63">IF(T78=0,0,X78/T78)</f>
        <v>0</v>
      </c>
    </row>
    <row r="79" spans="1:26" s="24" customFormat="1" hidden="1" outlineLevel="1" x14ac:dyDescent="0.25">
      <c r="A79" s="51"/>
      <c r="B79" s="11" t="str">
        <f>CONCATENATE("          ", "9150", " - ", "MISC. INCOME")</f>
        <v xml:space="preserve">          9150 - MISC. INCOME</v>
      </c>
      <c r="C79" s="11"/>
      <c r="D79" s="2">
        <f>--119.09</f>
        <v>119.09</v>
      </c>
      <c r="E79" s="2"/>
      <c r="F79" s="22">
        <f t="shared" si="56"/>
        <v>0</v>
      </c>
      <c r="G79" s="2"/>
      <c r="H79" s="2">
        <v>0</v>
      </c>
      <c r="I79" s="2"/>
      <c r="J79" s="22">
        <f t="shared" si="57"/>
        <v>0</v>
      </c>
      <c r="K79" s="2"/>
      <c r="L79" s="2">
        <f t="shared" si="58"/>
        <v>119.09</v>
      </c>
      <c r="M79" s="2"/>
      <c r="N79" s="22">
        <f t="shared" si="59"/>
        <v>0</v>
      </c>
      <c r="O79" s="11"/>
      <c r="P79" s="2">
        <f>--812.35</f>
        <v>812.35</v>
      </c>
      <c r="Q79" s="2"/>
      <c r="R79" s="22">
        <f t="shared" si="60"/>
        <v>0</v>
      </c>
      <c r="S79" s="2"/>
      <c r="T79" s="2">
        <v>0</v>
      </c>
      <c r="U79" s="2"/>
      <c r="V79" s="22">
        <f t="shared" si="61"/>
        <v>0</v>
      </c>
      <c r="W79" s="2"/>
      <c r="X79" s="2">
        <f t="shared" si="62"/>
        <v>812.35</v>
      </c>
      <c r="Y79" s="2"/>
      <c r="Z79" s="22">
        <f t="shared" si="63"/>
        <v>0</v>
      </c>
    </row>
    <row r="80" spans="1:26" s="24" customFormat="1" hidden="1" outlineLevel="1" x14ac:dyDescent="0.25">
      <c r="A80" s="51"/>
      <c r="B80" s="11" t="str">
        <f>CONCATENATE("          ", "9160", " - ", "MISC. INCOME")</f>
        <v xml:space="preserve">          9160 - MISC. INCOME</v>
      </c>
      <c r="C80" s="11"/>
      <c r="D80" s="2">
        <f>0</f>
        <v>0</v>
      </c>
      <c r="E80" s="2"/>
      <c r="F80" s="22">
        <f t="shared" si="56"/>
        <v>0</v>
      </c>
      <c r="G80" s="2"/>
      <c r="H80" s="2"/>
      <c r="I80" s="2"/>
      <c r="J80" s="22">
        <f t="shared" si="57"/>
        <v>0</v>
      </c>
      <c r="K80" s="2"/>
      <c r="L80" s="2">
        <f t="shared" si="58"/>
        <v>0</v>
      </c>
      <c r="M80" s="2"/>
      <c r="N80" s="22">
        <f t="shared" si="59"/>
        <v>0</v>
      </c>
      <c r="O80" s="11"/>
      <c r="P80" s="2">
        <f>--626.43</f>
        <v>626.42999999999995</v>
      </c>
      <c r="Q80" s="2"/>
      <c r="R80" s="22">
        <f t="shared" si="60"/>
        <v>0</v>
      </c>
      <c r="S80" s="2"/>
      <c r="T80" s="2"/>
      <c r="U80" s="2"/>
      <c r="V80" s="22">
        <f t="shared" si="61"/>
        <v>0</v>
      </c>
      <c r="W80" s="2"/>
      <c r="X80" s="2">
        <f t="shared" si="62"/>
        <v>626.42999999999995</v>
      </c>
      <c r="Y80" s="2"/>
      <c r="Z80" s="22">
        <f t="shared" si="63"/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6" t="s">
        <v>3</v>
      </c>
      <c r="C82" s="26"/>
      <c r="D82" s="20">
        <f>+D16-D18+D78</f>
        <v>-25260.479999999992</v>
      </c>
      <c r="E82" s="13"/>
      <c r="F82" s="19">
        <f>IF(D$12=0,0,D82/D$12)</f>
        <v>0</v>
      </c>
      <c r="G82" s="13"/>
      <c r="H82" s="20">
        <f>+H16-H18+H78</f>
        <v>-18113.076923076922</v>
      </c>
      <c r="I82" s="13"/>
      <c r="J82" s="19">
        <f>IF(H$12=0,0,H82/H$12)</f>
        <v>0</v>
      </c>
      <c r="K82" s="15"/>
      <c r="L82" s="20">
        <f>+D82-H82</f>
        <v>-7147.4030769230703</v>
      </c>
      <c r="M82" s="15"/>
      <c r="N82" s="19">
        <f>IF(H82=0,0,L82/H82)</f>
        <v>0.39459905720473915</v>
      </c>
      <c r="O82" s="25"/>
      <c r="P82" s="20">
        <f>+P16-P18+P78</f>
        <v>-82692.940000000031</v>
      </c>
      <c r="Q82" s="13"/>
      <c r="R82" s="19">
        <f>IF(P$12=0,0,P82/P$12)</f>
        <v>0</v>
      </c>
      <c r="S82" s="13"/>
      <c r="T82" s="20">
        <f>+T16-T18+T78</f>
        <v>-70399.076923076922</v>
      </c>
      <c r="U82" s="13"/>
      <c r="V82" s="19">
        <f>IF(T$12=0,0,T82/T$12)</f>
        <v>0</v>
      </c>
      <c r="W82" s="15"/>
      <c r="X82" s="20">
        <f>+P82-T82</f>
        <v>-12293.863076923109</v>
      </c>
      <c r="Y82" s="15"/>
      <c r="Z82" s="19">
        <f>IF(T82=0,0,X82/T82)</f>
        <v>0.1746310266305944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/>
      <c r="E84" s="4"/>
      <c r="F84" s="12">
        <f>IF(D$12=0,0,D84/D$12)</f>
        <v>0</v>
      </c>
      <c r="G84" s="4"/>
      <c r="H84" s="4"/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/>
      <c r="Q84" s="4"/>
      <c r="R84" s="12">
        <f>IF(P$12=0,0,P84/P$12)</f>
        <v>0</v>
      </c>
      <c r="S84" s="4"/>
      <c r="T84" s="4"/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4</v>
      </c>
      <c r="C86" s="26"/>
      <c r="D86" s="34">
        <f>+D82-D84</f>
        <v>-25260.479999999992</v>
      </c>
      <c r="E86" s="13"/>
      <c r="F86" s="35">
        <f>IF(D$12=0,0,D86/D$12)</f>
        <v>0</v>
      </c>
      <c r="G86" s="13"/>
      <c r="H86" s="34">
        <f>+H82-H84</f>
        <v>-18113.076923076922</v>
      </c>
      <c r="I86" s="13"/>
      <c r="J86" s="35">
        <f>IF(H$12=0,0,H86/H$12)</f>
        <v>0</v>
      </c>
      <c r="K86" s="15"/>
      <c r="L86" s="34">
        <f>D86-H86</f>
        <v>-7147.4030769230703</v>
      </c>
      <c r="M86" s="15"/>
      <c r="N86" s="35">
        <f>IF(H86=0,0,L86/H86)</f>
        <v>0.39459905720473915</v>
      </c>
      <c r="O86" s="25"/>
      <c r="P86" s="34">
        <f>+P82-P84</f>
        <v>-82692.940000000031</v>
      </c>
      <c r="Q86" s="13"/>
      <c r="R86" s="35">
        <f>IF(P$12=0,0,P86/P$12)</f>
        <v>0</v>
      </c>
      <c r="S86" s="13"/>
      <c r="T86" s="34">
        <f>+T82-T84</f>
        <v>-70399.076923076922</v>
      </c>
      <c r="U86" s="13"/>
      <c r="V86" s="35">
        <f>IF(T$12=0,0,T86/T$12)</f>
        <v>0</v>
      </c>
      <c r="W86" s="15"/>
      <c r="X86" s="34">
        <f>P86-T86</f>
        <v>-12293.863076923109</v>
      </c>
      <c r="Y86" s="15"/>
      <c r="Z86" s="35">
        <f>IF(T86=0,0,X86/T86)</f>
        <v>0.1746310266305944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6" t="s">
        <v>5</v>
      </c>
      <c r="C89" s="26"/>
      <c r="D89" s="30">
        <f>SUM(D86:D88)</f>
        <v>-25260.479999999992</v>
      </c>
      <c r="E89" s="13"/>
      <c r="F89" s="32">
        <f>IF(D$12=0,0,D89/D$12)</f>
        <v>0</v>
      </c>
      <c r="G89" s="13"/>
      <c r="H89" s="30">
        <f>SUM(H86:H88)</f>
        <v>-18113.076923076922</v>
      </c>
      <c r="I89" s="13"/>
      <c r="J89" s="32">
        <f>IF(H$12=0,0,H89/H$12)</f>
        <v>0</v>
      </c>
      <c r="K89" s="15"/>
      <c r="L89" s="30">
        <f>+D89-H89</f>
        <v>-7147.4030769230703</v>
      </c>
      <c r="M89" s="15"/>
      <c r="N89" s="32">
        <f>IF(H89=0,0,L89/H89)</f>
        <v>0.39459905720473915</v>
      </c>
      <c r="O89" s="25"/>
      <c r="P89" s="30">
        <f>SUM(P86:P88)</f>
        <v>-82692.940000000031</v>
      </c>
      <c r="Q89" s="13"/>
      <c r="R89" s="32">
        <f>IF(P$12=0,0,P89/P$12)</f>
        <v>0</v>
      </c>
      <c r="S89" s="13"/>
      <c r="T89" s="30">
        <f>SUM(T86:T88)</f>
        <v>-70399.076923076922</v>
      </c>
      <c r="U89" s="13"/>
      <c r="V89" s="32">
        <f>IF(T$12=0,0,T89/T$12)</f>
        <v>0</v>
      </c>
      <c r="W89" s="15"/>
      <c r="X89" s="30">
        <f>+P89-T89</f>
        <v>-12293.863076923109</v>
      </c>
      <c r="Y89" s="15"/>
      <c r="Z89" s="32">
        <f>IF(T89=0,0,X89/T89)</f>
        <v>0.1746310266305944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60">
        <v>44151.56862395833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58" t="s">
        <v>314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3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","412", " - ", "Chartroom")</f>
        <v>Department 412 - Chartroom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>
        <f>D12-D15</f>
        <v>0</v>
      </c>
      <c r="E18" s="13"/>
      <c r="F18" s="19">
        <f>IF(D$12=0,0,D18/D$12)</f>
        <v>0</v>
      </c>
      <c r="G18" s="13"/>
      <c r="H18" s="20">
        <f>H12-H15</f>
        <v>0</v>
      </c>
      <c r="I18" s="13"/>
      <c r="J18" s="19">
        <f>IF(H$12=0,0,H18/H$12)</f>
        <v>0</v>
      </c>
      <c r="K18" s="15"/>
      <c r="L18" s="20">
        <f>+D18-H18</f>
        <v>0</v>
      </c>
      <c r="M18" s="15"/>
      <c r="N18" s="19">
        <f>IF(H18=0,0,L18/H18)</f>
        <v>0</v>
      </c>
      <c r="O18" s="25"/>
      <c r="P18" s="20">
        <f>P12-P15</f>
        <v>0</v>
      </c>
      <c r="Q18" s="13"/>
      <c r="R18" s="19">
        <f>IF(P$12=0,0,P18/P$12)</f>
        <v>0</v>
      </c>
      <c r="S18" s="13"/>
      <c r="T18" s="20">
        <f>T12-T15</f>
        <v>0</v>
      </c>
      <c r="U18" s="13"/>
      <c r="V18" s="19">
        <f>IF(T$12=0,0,T18/T$12)</f>
        <v>0</v>
      </c>
      <c r="W18" s="15"/>
      <c r="X18" s="20">
        <f>+P18-T18</f>
        <v>0</v>
      </c>
      <c r="Y18" s="15"/>
      <c r="Z18" s="19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>
        <f>SUM(OSRRefD22x_0)</f>
        <v>627.29</v>
      </c>
      <c r="E20" s="21"/>
      <c r="F20" s="31">
        <f t="shared" ref="F20:F29" si="12">IF(D$12=0,0,D20/D$12)</f>
        <v>0</v>
      </c>
      <c r="G20" s="21"/>
      <c r="H20" s="21">
        <f>SUM(OSRRefH22x_0)</f>
        <v>848</v>
      </c>
      <c r="I20" s="21"/>
      <c r="J20" s="31">
        <f t="shared" ref="J20:J29" si="13">IF(H$12=0,0,H20/H$12)</f>
        <v>0</v>
      </c>
      <c r="K20" s="4"/>
      <c r="L20" s="21">
        <f t="shared" ref="L20:L29" si="14">+D20-H20</f>
        <v>-220.71000000000004</v>
      </c>
      <c r="M20" s="4"/>
      <c r="N20" s="31">
        <f t="shared" ref="N20:N29" si="15">IF(H20=0,0,L20/H20)</f>
        <v>-0.26027122641509437</v>
      </c>
      <c r="O20" s="10"/>
      <c r="P20" s="21">
        <f>SUM(OSRRefP22x_0)</f>
        <v>3424.08</v>
      </c>
      <c r="Q20" s="21"/>
      <c r="R20" s="31">
        <f t="shared" ref="R20:R29" si="16">IF(P$12=0,0,P20/P$12)</f>
        <v>0</v>
      </c>
      <c r="S20" s="21"/>
      <c r="T20" s="21">
        <f>SUM(OSRRefT22x_0)</f>
        <v>3392</v>
      </c>
      <c r="U20" s="21"/>
      <c r="V20" s="31">
        <f t="shared" ref="V20:V29" si="17">IF(T$12=0,0,T20/T$12)</f>
        <v>0</v>
      </c>
      <c r="W20" s="4"/>
      <c r="X20" s="21">
        <f t="shared" ref="X20:X29" si="18">+P20-T20</f>
        <v>32.079999999999927</v>
      </c>
      <c r="Y20" s="4"/>
      <c r="Z20" s="31">
        <f t="shared" ref="Z20:Z29" si="19">IF(T20=0,0,X20/T20)</f>
        <v>9.4575471698112989E-3</v>
      </c>
    </row>
    <row r="21" spans="1:26" s="27" customFormat="1" outlineLevel="1" collapsed="1" x14ac:dyDescent="0.25">
      <c r="A21" s="29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8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8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8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8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8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8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7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7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4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7" customFormat="1" outlineLevel="1" collapsed="1" x14ac:dyDescent="0.25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7" customFormat="1" outlineLevel="1" collapsed="1" x14ac:dyDescent="0.25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577.36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-270.64</v>
      </c>
      <c r="M45" s="1"/>
      <c r="N45" s="5">
        <f t="shared" si="31"/>
        <v>-0.31915094339622641</v>
      </c>
      <c r="O45" s="14"/>
      <c r="P45" s="1">
        <f>SUM(OSRRefP22_4x_0)</f>
        <v>2648.43</v>
      </c>
      <c r="Q45" s="1"/>
      <c r="R45" s="5">
        <f t="shared" si="32"/>
        <v>0</v>
      </c>
      <c r="S45" s="1"/>
      <c r="T45" s="1">
        <f>SUM(OSRRefT22_4x_0)</f>
        <v>3392</v>
      </c>
      <c r="U45" s="1"/>
      <c r="V45" s="5">
        <f t="shared" si="33"/>
        <v>0</v>
      </c>
      <c r="W45" s="1"/>
      <c r="X45" s="1">
        <f t="shared" si="34"/>
        <v>-743.57000000000016</v>
      </c>
      <c r="Y45" s="1"/>
      <c r="Z45" s="5">
        <f t="shared" si="35"/>
        <v>-0.21921285377358496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577.36</v>
      </c>
      <c r="E46" s="2"/>
      <c r="F46" s="6">
        <f t="shared" si="28"/>
        <v>0</v>
      </c>
      <c r="G46" s="2"/>
      <c r="H46" s="7">
        <v>298</v>
      </c>
      <c r="I46" s="2"/>
      <c r="J46" s="6">
        <f t="shared" si="29"/>
        <v>0</v>
      </c>
      <c r="K46" s="2"/>
      <c r="L46" s="7">
        <f t="shared" si="30"/>
        <v>279.36</v>
      </c>
      <c r="M46" s="2"/>
      <c r="N46" s="6">
        <f t="shared" si="31"/>
        <v>0.93744966442953026</v>
      </c>
      <c r="O46" s="11"/>
      <c r="P46" s="7">
        <v>2648.43</v>
      </c>
      <c r="Q46" s="2"/>
      <c r="R46" s="6">
        <f t="shared" si="32"/>
        <v>0</v>
      </c>
      <c r="S46" s="2"/>
      <c r="T46" s="7">
        <v>1192</v>
      </c>
      <c r="U46" s="2"/>
      <c r="V46" s="6">
        <f t="shared" si="33"/>
        <v>0</v>
      </c>
      <c r="W46" s="2"/>
      <c r="X46" s="7">
        <f t="shared" si="34"/>
        <v>1456.4299999999998</v>
      </c>
      <c r="Y46" s="2"/>
      <c r="Z46" s="6">
        <f t="shared" si="35"/>
        <v>1.2218372483221476</v>
      </c>
    </row>
    <row r="47" spans="1:26" s="24" customFormat="1" hidden="1" outlineLevel="2" x14ac:dyDescent="0.25">
      <c r="A47" s="28"/>
      <c r="B47" s="11" t="str">
        <f>CONCATENATE("          ", "6326", " - ", "VEHICLES DEPRECIATION EXPENSE")</f>
        <v xml:space="preserve">          6326 - VEHICLES DEPRECIATION EXPENSE</v>
      </c>
      <c r="C47" s="11"/>
      <c r="D47" s="7"/>
      <c r="E47" s="2"/>
      <c r="F47" s="6">
        <f t="shared" si="28"/>
        <v>0</v>
      </c>
      <c r="G47" s="2"/>
      <c r="H47" s="7">
        <v>550</v>
      </c>
      <c r="I47" s="2"/>
      <c r="J47" s="6">
        <f t="shared" si="29"/>
        <v>0</v>
      </c>
      <c r="K47" s="2"/>
      <c r="L47" s="7">
        <f t="shared" si="30"/>
        <v>-550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2200</v>
      </c>
      <c r="U47" s="2"/>
      <c r="V47" s="6">
        <f t="shared" si="33"/>
        <v>0</v>
      </c>
      <c r="W47" s="2"/>
      <c r="X47" s="7">
        <f t="shared" si="34"/>
        <v>-2200</v>
      </c>
      <c r="Y47" s="2"/>
      <c r="Z47" s="6">
        <f t="shared" si="35"/>
        <v>-1</v>
      </c>
    </row>
    <row r="48" spans="1:26" s="27" customFormat="1" outlineLevel="1" collapsed="1" x14ac:dyDescent="0.25">
      <c r="A48" s="29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0</v>
      </c>
      <c r="M48" s="1"/>
      <c r="N48" s="5">
        <f t="shared" ref="N48:N56" si="39">IF(H48=0,0,L48/H48)</f>
        <v>0</v>
      </c>
      <c r="O48" s="14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0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0</v>
      </c>
      <c r="Y48" s="1"/>
      <c r="Z48" s="5">
        <f t="shared" ref="Z48:Z56" si="43">IF(T48=0,0,X48/T48)</f>
        <v>0</v>
      </c>
    </row>
    <row r="49" spans="1:26" s="24" customFormat="1" hidden="1" outlineLevel="2" x14ac:dyDescent="0.25">
      <c r="A49" s="28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6"/>
        <v>0</v>
      </c>
      <c r="G49" s="2"/>
      <c r="H49" s="7">
        <v>0</v>
      </c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/>
      <c r="Q49" s="2"/>
      <c r="R49" s="6">
        <f t="shared" si="40"/>
        <v>0</v>
      </c>
      <c r="S49" s="2"/>
      <c r="T49" s="7">
        <v>0</v>
      </c>
      <c r="U49" s="2"/>
      <c r="V49" s="6">
        <f t="shared" si="41"/>
        <v>0</v>
      </c>
      <c r="W49" s="2"/>
      <c r="X49" s="7">
        <f t="shared" si="42"/>
        <v>0</v>
      </c>
      <c r="Y49" s="2"/>
      <c r="Z49" s="6">
        <f t="shared" si="43"/>
        <v>0</v>
      </c>
    </row>
    <row r="50" spans="1:26" s="27" customFormat="1" outlineLevel="1" collapsed="1" x14ac:dyDescent="0.25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4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25">
      <c r="A51" s="28"/>
      <c r="B51" s="11" t="str">
        <f>CONCATENATE("          ", "6351", " - ", "EQUIPMENT RENTAL")</f>
        <v xml:space="preserve">          6351 - EQUIPMENT RENTAL</v>
      </c>
      <c r="C51" s="11"/>
      <c r="D51" s="7"/>
      <c r="E51" s="2"/>
      <c r="F51" s="6">
        <f t="shared" si="36"/>
        <v>0</v>
      </c>
      <c r="G51" s="2"/>
      <c r="H51" s="7">
        <v>0</v>
      </c>
      <c r="I51" s="2"/>
      <c r="J51" s="6">
        <f t="shared" si="37"/>
        <v>0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>
        <v>16.239999999999998</v>
      </c>
      <c r="Q51" s="2"/>
      <c r="R51" s="6">
        <f t="shared" si="40"/>
        <v>0</v>
      </c>
      <c r="S51" s="2"/>
      <c r="T51" s="7">
        <v>0</v>
      </c>
      <c r="U51" s="2"/>
      <c r="V51" s="6">
        <f t="shared" si="41"/>
        <v>0</v>
      </c>
      <c r="W51" s="2"/>
      <c r="X51" s="7">
        <f t="shared" si="42"/>
        <v>16.239999999999998</v>
      </c>
      <c r="Y51" s="2"/>
      <c r="Z51" s="6">
        <f t="shared" si="43"/>
        <v>0</v>
      </c>
    </row>
    <row r="52" spans="1:26" s="27" customFormat="1" outlineLevel="1" collapsed="1" x14ac:dyDescent="0.25">
      <c r="A52" s="29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8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36"/>
        <v>0</v>
      </c>
      <c r="G53" s="2"/>
      <c r="H53" s="7">
        <v>0</v>
      </c>
      <c r="I53" s="2"/>
      <c r="J53" s="6">
        <f t="shared" si="37"/>
        <v>0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/>
      <c r="Q53" s="2"/>
      <c r="R53" s="6">
        <f t="shared" si="40"/>
        <v>0</v>
      </c>
      <c r="S53" s="2"/>
      <c r="T53" s="7">
        <v>0</v>
      </c>
      <c r="U53" s="2"/>
      <c r="V53" s="6">
        <f t="shared" si="41"/>
        <v>0</v>
      </c>
      <c r="W53" s="2"/>
      <c r="X53" s="7">
        <f t="shared" si="42"/>
        <v>0</v>
      </c>
      <c r="Y53" s="2"/>
      <c r="Z53" s="6">
        <f t="shared" si="43"/>
        <v>0</v>
      </c>
    </row>
    <row r="54" spans="1:26" s="27" customFormat="1" outlineLevel="1" collapsed="1" x14ac:dyDescent="0.25">
      <c r="A54" s="29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SUM(OSRRefD22_8x_0)</f>
        <v>0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0</v>
      </c>
      <c r="M54" s="1"/>
      <c r="N54" s="5">
        <f t="shared" si="39"/>
        <v>0</v>
      </c>
      <c r="O54" s="14"/>
      <c r="P54" s="1">
        <f>SUM(OSRRefP22_8x_0)</f>
        <v>217.8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217.8</v>
      </c>
      <c r="Y54" s="1"/>
      <c r="Z54" s="5">
        <f t="shared" si="43"/>
        <v>0</v>
      </c>
    </row>
    <row r="55" spans="1:26" s="24" customFormat="1" hidden="1" outlineLevel="2" x14ac:dyDescent="0.25">
      <c r="A55" s="28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0</v>
      </c>
      <c r="M55" s="2"/>
      <c r="N55" s="6">
        <f t="shared" si="39"/>
        <v>0</v>
      </c>
      <c r="O55" s="11"/>
      <c r="P55" s="7">
        <v>217.8</v>
      </c>
      <c r="Q55" s="2"/>
      <c r="R55" s="6">
        <f t="shared" si="40"/>
        <v>0</v>
      </c>
      <c r="S55" s="2"/>
      <c r="T55" s="7"/>
      <c r="U55" s="2"/>
      <c r="V55" s="6">
        <f t="shared" si="41"/>
        <v>0</v>
      </c>
      <c r="W55" s="2"/>
      <c r="X55" s="7">
        <f t="shared" si="42"/>
        <v>217.8</v>
      </c>
      <c r="Y55" s="2"/>
      <c r="Z55" s="6">
        <f t="shared" si="43"/>
        <v>0</v>
      </c>
    </row>
    <row r="56" spans="1:26" s="24" customFormat="1" hidden="1" outlineLevel="2" x14ac:dyDescent="0.25">
      <c r="A56" s="28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/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0</v>
      </c>
      <c r="Y56" s="2"/>
      <c r="Z56" s="6">
        <f t="shared" si="43"/>
        <v>0</v>
      </c>
    </row>
    <row r="57" spans="1:26" s="27" customFormat="1" outlineLevel="1" collapsed="1" x14ac:dyDescent="0.25">
      <c r="A57" s="29"/>
      <c r="B57" s="14" t="str">
        <f>CONCATENATE("     ","Royalty &amp; Commissions                             ")</f>
        <v xml:space="preserve">     Royalty &amp; Commissions                             </v>
      </c>
      <c r="C57" s="14"/>
      <c r="D57" s="1">
        <f>SUM(OSRRefD22_9x_0)</f>
        <v>0</v>
      </c>
      <c r="E57" s="1"/>
      <c r="F57" s="5">
        <f t="shared" ref="F57:F63" si="44">IF(D$12=0,0,D57/D$12)</f>
        <v>0</v>
      </c>
      <c r="G57" s="1"/>
      <c r="H57" s="1">
        <f>SUM(OSRRefH22_9x_0)</f>
        <v>0</v>
      </c>
      <c r="I57" s="1"/>
      <c r="J57" s="5">
        <f t="shared" ref="J57:J63" si="45">IF(H$12=0,0,H57/H$12)</f>
        <v>0</v>
      </c>
      <c r="K57" s="1"/>
      <c r="L57" s="1">
        <f t="shared" ref="L57:L63" si="46">+D57-H57</f>
        <v>0</v>
      </c>
      <c r="M57" s="1"/>
      <c r="N57" s="5">
        <f t="shared" ref="N57:N63" si="47">IF(H57=0,0,L57/H57)</f>
        <v>0</v>
      </c>
      <c r="O57" s="14"/>
      <c r="P57" s="1">
        <f>SUM(OSRRefP22_9x_0)</f>
        <v>0</v>
      </c>
      <c r="Q57" s="1"/>
      <c r="R57" s="5">
        <f t="shared" ref="R57:R63" si="48">IF(P$12=0,0,P57/P$12)</f>
        <v>0</v>
      </c>
      <c r="S57" s="1"/>
      <c r="T57" s="1">
        <f>SUM(OSRRefT22_9x_0)</f>
        <v>0</v>
      </c>
      <c r="U57" s="1"/>
      <c r="V57" s="5">
        <f t="shared" ref="V57:V63" si="49">IF(T$12=0,0,T57/T$12)</f>
        <v>0</v>
      </c>
      <c r="W57" s="1"/>
      <c r="X57" s="1">
        <f t="shared" ref="X57:X63" si="50">+P57-T57</f>
        <v>0</v>
      </c>
      <c r="Y57" s="1"/>
      <c r="Z57" s="5">
        <f t="shared" ref="Z57:Z63" si="51">IF(T57=0,0,X57/T57)</f>
        <v>0</v>
      </c>
    </row>
    <row r="58" spans="1:26" s="24" customFormat="1" hidden="1" outlineLevel="2" x14ac:dyDescent="0.25">
      <c r="A58" s="28"/>
      <c r="B58" s="11" t="str">
        <f>CONCATENATE("          ", "6254", " - ", "ROYALTY &amp; COMMISSIONS")</f>
        <v xml:space="preserve">          6254 - ROYALTY &amp; COMMISSIONS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7" customFormat="1" outlineLevel="1" collapsed="1" x14ac:dyDescent="0.25">
      <c r="A59" s="29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SUM(OSRRefD22_10x_0)</f>
        <v>0</v>
      </c>
      <c r="E59" s="1"/>
      <c r="F59" s="5">
        <f t="shared" si="44"/>
        <v>0</v>
      </c>
      <c r="G59" s="1"/>
      <c r="H59" s="1">
        <f>SUM(OSRRefH22_10x_0)</f>
        <v>0</v>
      </c>
      <c r="I59" s="1"/>
      <c r="J59" s="5">
        <f t="shared" si="45"/>
        <v>0</v>
      </c>
      <c r="K59" s="1"/>
      <c r="L59" s="1">
        <f t="shared" si="46"/>
        <v>0</v>
      </c>
      <c r="M59" s="1"/>
      <c r="N59" s="5">
        <f t="shared" si="47"/>
        <v>0</v>
      </c>
      <c r="O59" s="14"/>
      <c r="P59" s="1">
        <f>SUM(OSRRefP22_10x_0)</f>
        <v>320.58</v>
      </c>
      <c r="Q59" s="1"/>
      <c r="R59" s="5">
        <f t="shared" si="48"/>
        <v>0</v>
      </c>
      <c r="S59" s="1"/>
      <c r="T59" s="1">
        <f>SUM(OSRRefT22_10x_0)</f>
        <v>0</v>
      </c>
      <c r="U59" s="1"/>
      <c r="V59" s="5">
        <f t="shared" si="49"/>
        <v>0</v>
      </c>
      <c r="W59" s="1"/>
      <c r="X59" s="1">
        <f t="shared" si="50"/>
        <v>320.58</v>
      </c>
      <c r="Y59" s="1"/>
      <c r="Z59" s="5">
        <f t="shared" si="51"/>
        <v>0</v>
      </c>
    </row>
    <row r="60" spans="1:26" s="24" customFormat="1" hidden="1" outlineLevel="2" x14ac:dyDescent="0.25">
      <c r="A60" s="28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44"/>
        <v>0</v>
      </c>
      <c r="G60" s="2"/>
      <c r="H60" s="7">
        <v>0</v>
      </c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4" customFormat="1" hidden="1" outlineLevel="2" x14ac:dyDescent="0.25">
      <c r="A61" s="28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8"/>
      <c r="B62" s="11" t="str">
        <f>CONCATENATE("          ", "6285", " - ", "JANITORIAL SERVICES")</f>
        <v xml:space="preserve">          6285 - JANITORIAL SERVICES</v>
      </c>
      <c r="C62" s="11"/>
      <c r="D62" s="7"/>
      <c r="E62" s="2"/>
      <c r="F62" s="6">
        <f t="shared" si="44"/>
        <v>0</v>
      </c>
      <c r="G62" s="2"/>
      <c r="H62" s="7">
        <v>0</v>
      </c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4" customFormat="1" hidden="1" outlineLevel="2" x14ac:dyDescent="0.25">
      <c r="A63" s="28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44"/>
        <v>0</v>
      </c>
      <c r="G63" s="2"/>
      <c r="H63" s="7">
        <v>0</v>
      </c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>
        <v>320.58</v>
      </c>
      <c r="Q63" s="2"/>
      <c r="R63" s="6">
        <f t="shared" si="48"/>
        <v>0</v>
      </c>
      <c r="S63" s="2"/>
      <c r="T63" s="7">
        <v>0</v>
      </c>
      <c r="U63" s="2"/>
      <c r="V63" s="6">
        <f t="shared" si="49"/>
        <v>0</v>
      </c>
      <c r="W63" s="2"/>
      <c r="X63" s="7">
        <f t="shared" si="50"/>
        <v>320.58</v>
      </c>
      <c r="Y63" s="2"/>
      <c r="Z63" s="6">
        <f t="shared" si="51"/>
        <v>0</v>
      </c>
    </row>
    <row r="64" spans="1:26" s="27" customFormat="1" outlineLevel="1" collapsed="1" x14ac:dyDescent="0.25">
      <c r="A64" s="29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SUM(OSRRefD22_11x_0)</f>
        <v>0</v>
      </c>
      <c r="E64" s="1"/>
      <c r="F64" s="5">
        <f t="shared" ref="F64:F69" si="52">IF(D$12=0,0,D64/D$12)</f>
        <v>0</v>
      </c>
      <c r="G64" s="1"/>
      <c r="H64" s="1">
        <f>SUM(OSRRefH22_11x_0)</f>
        <v>0</v>
      </c>
      <c r="I64" s="1"/>
      <c r="J64" s="5">
        <f t="shared" ref="J64:J69" si="53">IF(H$12=0,0,H64/H$12)</f>
        <v>0</v>
      </c>
      <c r="K64" s="1"/>
      <c r="L64" s="1">
        <f t="shared" ref="L64:L69" si="54">+D64-H64</f>
        <v>0</v>
      </c>
      <c r="M64" s="1"/>
      <c r="N64" s="5">
        <f t="shared" ref="N64:N69" si="55">IF(H64=0,0,L64/H64)</f>
        <v>0</v>
      </c>
      <c r="O64" s="14"/>
      <c r="P64" s="1">
        <f>SUM(OSRRefP22_11x_0)</f>
        <v>0</v>
      </c>
      <c r="Q64" s="1"/>
      <c r="R64" s="5">
        <f t="shared" ref="R64:R69" si="56">IF(P$12=0,0,P64/P$12)</f>
        <v>0</v>
      </c>
      <c r="S64" s="1"/>
      <c r="T64" s="1">
        <f>SUM(OSRRefT22_11x_0)</f>
        <v>0</v>
      </c>
      <c r="U64" s="1"/>
      <c r="V64" s="5">
        <f t="shared" ref="V64:V69" si="57">IF(T$12=0,0,T64/T$12)</f>
        <v>0</v>
      </c>
      <c r="W64" s="1"/>
      <c r="X64" s="1">
        <f t="shared" ref="X64:X69" si="58">+P64-T64</f>
        <v>0</v>
      </c>
      <c r="Y64" s="1"/>
      <c r="Z64" s="5">
        <f t="shared" ref="Z64:Z69" si="59">IF(T64=0,0,X64/T64)</f>
        <v>0</v>
      </c>
    </row>
    <row r="65" spans="1:26" s="24" customFormat="1" hidden="1" outlineLevel="2" x14ac:dyDescent="0.25">
      <c r="A65" s="28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2"/>
        <v>0</v>
      </c>
      <c r="G65" s="2"/>
      <c r="H65" s="7">
        <v>0</v>
      </c>
      <c r="I65" s="2"/>
      <c r="J65" s="6">
        <f t="shared" si="53"/>
        <v>0</v>
      </c>
      <c r="K65" s="2"/>
      <c r="L65" s="7">
        <f t="shared" si="54"/>
        <v>0</v>
      </c>
      <c r="M65" s="2"/>
      <c r="N65" s="6">
        <f t="shared" si="55"/>
        <v>0</v>
      </c>
      <c r="O65" s="11"/>
      <c r="P65" s="7"/>
      <c r="Q65" s="2"/>
      <c r="R65" s="6">
        <f t="shared" si="56"/>
        <v>0</v>
      </c>
      <c r="S65" s="2"/>
      <c r="T65" s="7">
        <v>0</v>
      </c>
      <c r="U65" s="2"/>
      <c r="V65" s="6">
        <f t="shared" si="57"/>
        <v>0</v>
      </c>
      <c r="W65" s="2"/>
      <c r="X65" s="7">
        <f t="shared" si="58"/>
        <v>0</v>
      </c>
      <c r="Y65" s="2"/>
      <c r="Z65" s="6">
        <f t="shared" si="59"/>
        <v>0</v>
      </c>
    </row>
    <row r="66" spans="1:26" s="24" customFormat="1" hidden="1" outlineLevel="2" x14ac:dyDescent="0.25">
      <c r="A66" s="28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0</v>
      </c>
      <c r="Y66" s="2"/>
      <c r="Z66" s="6">
        <f t="shared" si="59"/>
        <v>0</v>
      </c>
    </row>
    <row r="67" spans="1:26" s="24" customFormat="1" hidden="1" outlineLevel="2" x14ac:dyDescent="0.25">
      <c r="A67" s="28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52"/>
        <v>0</v>
      </c>
      <c r="G67" s="2"/>
      <c r="H67" s="7">
        <v>0</v>
      </c>
      <c r="I67" s="2"/>
      <c r="J67" s="6">
        <f t="shared" si="53"/>
        <v>0</v>
      </c>
      <c r="K67" s="2"/>
      <c r="L67" s="7">
        <f t="shared" si="54"/>
        <v>0</v>
      </c>
      <c r="M67" s="2"/>
      <c r="N67" s="6">
        <f t="shared" si="55"/>
        <v>0</v>
      </c>
      <c r="O67" s="11"/>
      <c r="P67" s="7"/>
      <c r="Q67" s="2"/>
      <c r="R67" s="6">
        <f t="shared" si="56"/>
        <v>0</v>
      </c>
      <c r="S67" s="2"/>
      <c r="T67" s="7">
        <v>0</v>
      </c>
      <c r="U67" s="2"/>
      <c r="V67" s="6">
        <f t="shared" si="57"/>
        <v>0</v>
      </c>
      <c r="W67" s="2"/>
      <c r="X67" s="7">
        <f t="shared" si="58"/>
        <v>0</v>
      </c>
      <c r="Y67" s="2"/>
      <c r="Z67" s="6">
        <f t="shared" si="59"/>
        <v>0</v>
      </c>
    </row>
    <row r="68" spans="1:26" s="24" customFormat="1" hidden="1" outlineLevel="2" x14ac:dyDescent="0.25">
      <c r="A68" s="28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52"/>
        <v>0</v>
      </c>
      <c r="G68" s="2"/>
      <c r="H68" s="7">
        <v>0</v>
      </c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/>
      <c r="Q68" s="2"/>
      <c r="R68" s="6">
        <f t="shared" si="56"/>
        <v>0</v>
      </c>
      <c r="S68" s="2"/>
      <c r="T68" s="7">
        <v>0</v>
      </c>
      <c r="U68" s="2"/>
      <c r="V68" s="6">
        <f t="shared" si="57"/>
        <v>0</v>
      </c>
      <c r="W68" s="2"/>
      <c r="X68" s="7">
        <f t="shared" si="58"/>
        <v>0</v>
      </c>
      <c r="Y68" s="2"/>
      <c r="Z68" s="6">
        <f t="shared" si="59"/>
        <v>0</v>
      </c>
    </row>
    <row r="69" spans="1:26" s="24" customFormat="1" hidden="1" outlineLevel="2" x14ac:dyDescent="0.25">
      <c r="A69" s="28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52"/>
        <v>0</v>
      </c>
      <c r="G69" s="2"/>
      <c r="H69" s="7">
        <v>0</v>
      </c>
      <c r="I69" s="2"/>
      <c r="J69" s="6">
        <f t="shared" si="53"/>
        <v>0</v>
      </c>
      <c r="K69" s="2"/>
      <c r="L69" s="7">
        <f t="shared" si="54"/>
        <v>0</v>
      </c>
      <c r="M69" s="2"/>
      <c r="N69" s="6">
        <f t="shared" si="55"/>
        <v>0</v>
      </c>
      <c r="O69" s="11"/>
      <c r="P69" s="7"/>
      <c r="Q69" s="2"/>
      <c r="R69" s="6">
        <f t="shared" si="56"/>
        <v>0</v>
      </c>
      <c r="S69" s="2"/>
      <c r="T69" s="7">
        <v>0</v>
      </c>
      <c r="U69" s="2"/>
      <c r="V69" s="6">
        <f t="shared" si="57"/>
        <v>0</v>
      </c>
      <c r="W69" s="2"/>
      <c r="X69" s="7">
        <f t="shared" si="58"/>
        <v>0</v>
      </c>
      <c r="Y69" s="2"/>
      <c r="Z69" s="6">
        <f t="shared" si="59"/>
        <v>0</v>
      </c>
    </row>
    <row r="70" spans="1:26" s="27" customFormat="1" outlineLevel="1" collapsed="1" x14ac:dyDescent="0.25">
      <c r="A70" s="29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SUM(OSRRefD22_12x_0)</f>
        <v>49.93</v>
      </c>
      <c r="E70" s="1"/>
      <c r="F70" s="5">
        <f t="shared" ref="F70:F72" si="60">IF(D$12=0,0,D70/D$12)</f>
        <v>0</v>
      </c>
      <c r="G70" s="1"/>
      <c r="H70" s="1">
        <f>SUM(OSRRefH22_12x_0)</f>
        <v>0</v>
      </c>
      <c r="I70" s="1"/>
      <c r="J70" s="5">
        <f t="shared" ref="J70:J72" si="61">IF(H$12=0,0,H70/H$12)</f>
        <v>0</v>
      </c>
      <c r="K70" s="1"/>
      <c r="L70" s="1">
        <f t="shared" ref="L70:L72" si="62">+D70-H70</f>
        <v>49.93</v>
      </c>
      <c r="M70" s="1"/>
      <c r="N70" s="5">
        <f t="shared" ref="N70:N72" si="63">IF(H70=0,0,L70/H70)</f>
        <v>0</v>
      </c>
      <c r="O70" s="14"/>
      <c r="P70" s="1">
        <f>SUM(OSRRefP22_12x_0)</f>
        <v>221.03</v>
      </c>
      <c r="Q70" s="1"/>
      <c r="R70" s="5">
        <f t="shared" ref="R70:R72" si="64">IF(P$12=0,0,P70/P$12)</f>
        <v>0</v>
      </c>
      <c r="S70" s="1"/>
      <c r="T70" s="1">
        <f>SUM(OSRRefT22_12x_0)</f>
        <v>0</v>
      </c>
      <c r="U70" s="1"/>
      <c r="V70" s="5">
        <f t="shared" ref="V70:V72" si="65">IF(T$12=0,0,T70/T$12)</f>
        <v>0</v>
      </c>
      <c r="W70" s="1"/>
      <c r="X70" s="1">
        <f t="shared" ref="X70:X72" si="66">+P70-T70</f>
        <v>221.03</v>
      </c>
      <c r="Y70" s="1"/>
      <c r="Z70" s="5">
        <f t="shared" ref="Z70:Z72" si="67">IF(T70=0,0,X70/T70)</f>
        <v>0</v>
      </c>
    </row>
    <row r="71" spans="1:26" s="24" customFormat="1" hidden="1" outlineLevel="2" x14ac:dyDescent="0.25">
      <c r="A71" s="28"/>
      <c r="B71" s="11" t="str">
        <f>CONCATENATE("          ", "6303", " - ", "DATA PHONE LINES")</f>
        <v xml:space="preserve">          6303 - DATA PHONE LINES</v>
      </c>
      <c r="C71" s="11"/>
      <c r="D71" s="7"/>
      <c r="E71" s="2"/>
      <c r="F71" s="6">
        <f t="shared" si="60"/>
        <v>0</v>
      </c>
      <c r="G71" s="2"/>
      <c r="H71" s="7">
        <v>0</v>
      </c>
      <c r="I71" s="2"/>
      <c r="J71" s="6">
        <f t="shared" si="61"/>
        <v>0</v>
      </c>
      <c r="K71" s="2"/>
      <c r="L71" s="7">
        <f t="shared" si="62"/>
        <v>0</v>
      </c>
      <c r="M71" s="2"/>
      <c r="N71" s="6">
        <f t="shared" si="63"/>
        <v>0</v>
      </c>
      <c r="O71" s="11"/>
      <c r="P71" s="7"/>
      <c r="Q71" s="2"/>
      <c r="R71" s="6">
        <f t="shared" si="64"/>
        <v>0</v>
      </c>
      <c r="S71" s="2"/>
      <c r="T71" s="7">
        <v>0</v>
      </c>
      <c r="U71" s="2"/>
      <c r="V71" s="6">
        <f t="shared" si="65"/>
        <v>0</v>
      </c>
      <c r="W71" s="2"/>
      <c r="X71" s="7">
        <f t="shared" si="66"/>
        <v>0</v>
      </c>
      <c r="Y71" s="2"/>
      <c r="Z71" s="6">
        <f t="shared" si="67"/>
        <v>0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7">
        <v>49.93</v>
      </c>
      <c r="E72" s="2"/>
      <c r="F72" s="6">
        <f t="shared" si="60"/>
        <v>0</v>
      </c>
      <c r="G72" s="2"/>
      <c r="H72" s="7"/>
      <c r="I72" s="2"/>
      <c r="J72" s="6">
        <f t="shared" si="61"/>
        <v>0</v>
      </c>
      <c r="K72" s="2"/>
      <c r="L72" s="7">
        <f t="shared" si="62"/>
        <v>49.93</v>
      </c>
      <c r="M72" s="2"/>
      <c r="N72" s="6">
        <f t="shared" si="63"/>
        <v>0</v>
      </c>
      <c r="O72" s="11"/>
      <c r="P72" s="7">
        <v>221.03</v>
      </c>
      <c r="Q72" s="2"/>
      <c r="R72" s="6">
        <f t="shared" si="64"/>
        <v>0</v>
      </c>
      <c r="S72" s="2"/>
      <c r="T72" s="7"/>
      <c r="U72" s="2"/>
      <c r="V72" s="6">
        <f t="shared" si="65"/>
        <v>0</v>
      </c>
      <c r="W72" s="2"/>
      <c r="X72" s="7">
        <f t="shared" si="66"/>
        <v>221.03</v>
      </c>
      <c r="Y72" s="2"/>
      <c r="Z72" s="6">
        <f t="shared" si="67"/>
        <v>0</v>
      </c>
    </row>
    <row r="73" spans="1:26" s="27" customFormat="1" outlineLevel="1" collapsed="1" x14ac:dyDescent="0.25">
      <c r="A73" s="29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0</v>
      </c>
      <c r="E73" s="1"/>
      <c r="F73" s="5">
        <f t="shared" ref="F73:F74" si="68">IF(D$12=0,0,D73/D$12)</f>
        <v>0</v>
      </c>
      <c r="G73" s="1"/>
      <c r="H73" s="1">
        <f>SUM(OSRRefH22_13x_0)</f>
        <v>0</v>
      </c>
      <c r="I73" s="1"/>
      <c r="J73" s="5">
        <f t="shared" ref="J73:J74" si="69">IF(H$12=0,0,H73/H$12)</f>
        <v>0</v>
      </c>
      <c r="K73" s="1"/>
      <c r="L73" s="1">
        <f t="shared" ref="L73:L74" si="70">+D73-H73</f>
        <v>0</v>
      </c>
      <c r="M73" s="1"/>
      <c r="N73" s="5">
        <f t="shared" ref="N73:N74" si="71">IF(H73=0,0,L73/H73)</f>
        <v>0</v>
      </c>
      <c r="O73" s="14"/>
      <c r="P73" s="1">
        <f>SUM(OSRRefP22_13x_0)</f>
        <v>0</v>
      </c>
      <c r="Q73" s="1"/>
      <c r="R73" s="5">
        <f t="shared" ref="R73:R74" si="72">IF(P$12=0,0,P73/P$12)</f>
        <v>0</v>
      </c>
      <c r="S73" s="1"/>
      <c r="T73" s="1">
        <f>SUM(OSRRefT22_13x_0)</f>
        <v>0</v>
      </c>
      <c r="U73" s="1"/>
      <c r="V73" s="5">
        <f t="shared" ref="V73:V74" si="73">IF(T$12=0,0,T73/T$12)</f>
        <v>0</v>
      </c>
      <c r="W73" s="1"/>
      <c r="X73" s="1">
        <f t="shared" ref="X73:X74" si="74">+P73-T73</f>
        <v>0</v>
      </c>
      <c r="Y73" s="1"/>
      <c r="Z73" s="5">
        <f t="shared" ref="Z73:Z74" si="75">IF(T73=0,0,X73/T73)</f>
        <v>0</v>
      </c>
    </row>
    <row r="74" spans="1:26" s="24" customFormat="1" hidden="1" outlineLevel="2" x14ac:dyDescent="0.25">
      <c r="A74" s="28"/>
      <c r="B74" s="11" t="str">
        <f>CONCATENATE("          ", "6274", " - ", "UTILITIES")</f>
        <v xml:space="preserve">          6274 - UTILITIES</v>
      </c>
      <c r="C74" s="11"/>
      <c r="D74" s="7"/>
      <c r="E74" s="2"/>
      <c r="F74" s="6">
        <f t="shared" si="68"/>
        <v>0</v>
      </c>
      <c r="G74" s="2"/>
      <c r="H74" s="7">
        <v>0</v>
      </c>
      <c r="I74" s="2"/>
      <c r="J74" s="6">
        <f t="shared" si="69"/>
        <v>0</v>
      </c>
      <c r="K74" s="2"/>
      <c r="L74" s="7">
        <f t="shared" si="70"/>
        <v>0</v>
      </c>
      <c r="M74" s="2"/>
      <c r="N74" s="6">
        <f t="shared" si="71"/>
        <v>0</v>
      </c>
      <c r="O74" s="11"/>
      <c r="P74" s="7"/>
      <c r="Q74" s="2"/>
      <c r="R74" s="6">
        <f t="shared" si="72"/>
        <v>0</v>
      </c>
      <c r="S74" s="2"/>
      <c r="T74" s="7">
        <v>0</v>
      </c>
      <c r="U74" s="2"/>
      <c r="V74" s="6">
        <f t="shared" si="73"/>
        <v>0</v>
      </c>
      <c r="W74" s="2"/>
      <c r="X74" s="7">
        <f t="shared" si="74"/>
        <v>0</v>
      </c>
      <c r="Y74" s="2"/>
      <c r="Z74" s="6">
        <f t="shared" si="75"/>
        <v>0</v>
      </c>
    </row>
    <row r="75" spans="1:26" s="63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5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6" t="s">
        <v>3</v>
      </c>
      <c r="C78" s="26"/>
      <c r="D78" s="20">
        <f>+D18-D20+D76</f>
        <v>-627.29</v>
      </c>
      <c r="E78" s="13"/>
      <c r="F78" s="19">
        <f>IF(D$12=0,0,D78/D$12)</f>
        <v>0</v>
      </c>
      <c r="G78" s="13"/>
      <c r="H78" s="20">
        <f>+H18-H20+H76</f>
        <v>-848</v>
      </c>
      <c r="I78" s="13"/>
      <c r="J78" s="19">
        <f>IF(H$12=0,0,H78/H$12)</f>
        <v>0</v>
      </c>
      <c r="K78" s="15"/>
      <c r="L78" s="20">
        <f>+D78-H78</f>
        <v>220.71000000000004</v>
      </c>
      <c r="M78" s="15"/>
      <c r="N78" s="19">
        <f>IF(H78=0,0,L78/H78)</f>
        <v>-0.26027122641509437</v>
      </c>
      <c r="O78" s="25"/>
      <c r="P78" s="20">
        <f>+P18-P20+P76</f>
        <v>-3424.08</v>
      </c>
      <c r="Q78" s="13"/>
      <c r="R78" s="19">
        <f>IF(P$12=0,0,P78/P$12)</f>
        <v>0</v>
      </c>
      <c r="S78" s="13"/>
      <c r="T78" s="20">
        <f>+T18-T20+T76</f>
        <v>-3392</v>
      </c>
      <c r="U78" s="13"/>
      <c r="V78" s="19">
        <f>IF(T$12=0,0,T78/T$12)</f>
        <v>0</v>
      </c>
      <c r="W78" s="15"/>
      <c r="X78" s="20">
        <f>+P78-T78</f>
        <v>-32.079999999999927</v>
      </c>
      <c r="Y78" s="15"/>
      <c r="Z78" s="19">
        <f>IF(T78=0,0,X78/T78)</f>
        <v>9.4575471698112989E-3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6" t="s">
        <v>4</v>
      </c>
      <c r="C82" s="26"/>
      <c r="D82" s="34">
        <f>+D78-D80</f>
        <v>-627.29</v>
      </c>
      <c r="E82" s="13"/>
      <c r="F82" s="35">
        <f>IF(D$12=0,0,D82/D$12)</f>
        <v>0</v>
      </c>
      <c r="G82" s="13"/>
      <c r="H82" s="34">
        <f>+H78-H80</f>
        <v>-848</v>
      </c>
      <c r="I82" s="13"/>
      <c r="J82" s="35">
        <f>IF(H$12=0,0,H82/H$12)</f>
        <v>0</v>
      </c>
      <c r="K82" s="15"/>
      <c r="L82" s="34">
        <f>D82-H82</f>
        <v>220.71000000000004</v>
      </c>
      <c r="M82" s="15"/>
      <c r="N82" s="35">
        <f>IF(H82=0,0,L82/H82)</f>
        <v>-0.26027122641509437</v>
      </c>
      <c r="O82" s="25"/>
      <c r="P82" s="34">
        <f>+P78-P80</f>
        <v>-3424.08</v>
      </c>
      <c r="Q82" s="13"/>
      <c r="R82" s="35">
        <f>IF(P$12=0,0,P82/P$12)</f>
        <v>0</v>
      </c>
      <c r="S82" s="13"/>
      <c r="T82" s="34">
        <f>+T78-T80</f>
        <v>-3392</v>
      </c>
      <c r="U82" s="13"/>
      <c r="V82" s="35">
        <f>IF(T$12=0,0,T82/T$12)</f>
        <v>0</v>
      </c>
      <c r="W82" s="15"/>
      <c r="X82" s="34">
        <f>P82-T82</f>
        <v>-32.079999999999927</v>
      </c>
      <c r="Y82" s="15"/>
      <c r="Z82" s="35">
        <f>IF(T82=0,0,X82/T82)</f>
        <v>9.4575471698112989E-3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5</v>
      </c>
      <c r="C85" s="26"/>
      <c r="D85" s="30">
        <f>SUM(D82:D84)</f>
        <v>-627.29</v>
      </c>
      <c r="E85" s="13"/>
      <c r="F85" s="32">
        <f>IF(D$12=0,0,D85/D$12)</f>
        <v>0</v>
      </c>
      <c r="G85" s="13"/>
      <c r="H85" s="30">
        <f>SUM(H82:H84)</f>
        <v>-848</v>
      </c>
      <c r="I85" s="13"/>
      <c r="J85" s="32">
        <f>IF(H$12=0,0,H85/H$12)</f>
        <v>0</v>
      </c>
      <c r="K85" s="15"/>
      <c r="L85" s="30">
        <f>+D85-H85</f>
        <v>220.71000000000004</v>
      </c>
      <c r="M85" s="15"/>
      <c r="N85" s="32">
        <f>IF(H85=0,0,L85/H85)</f>
        <v>-0.26027122641509437</v>
      </c>
      <c r="O85" s="25"/>
      <c r="P85" s="30">
        <f>SUM(P82:P84)</f>
        <v>-3424.08</v>
      </c>
      <c r="Q85" s="13"/>
      <c r="R85" s="32">
        <f>IF(P$12=0,0,P85/P$12)</f>
        <v>0</v>
      </c>
      <c r="S85" s="13"/>
      <c r="T85" s="30">
        <f>SUM(T82:T84)</f>
        <v>-3392</v>
      </c>
      <c r="U85" s="13"/>
      <c r="V85" s="32">
        <f>IF(T$12=0,0,T85/T$12)</f>
        <v>0</v>
      </c>
      <c r="W85" s="15"/>
      <c r="X85" s="30">
        <f>+P85-T85</f>
        <v>-32.079999999999927</v>
      </c>
      <c r="Y85" s="15"/>
      <c r="Z85" s="32">
        <f>IF(T85=0,0,X85/T85)</f>
        <v>9.4575471698112989E-3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60">
        <v>44151.568641168982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8" t="s">
        <v>314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3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","413", " - ", "Beach Walk")</f>
        <v>Department 413 - Beach Walk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D12-D16</f>
        <v>0</v>
      </c>
      <c r="E19" s="13"/>
      <c r="F19" s="19">
        <f>IF(D$12=0,0,D19/D$12)</f>
        <v>0</v>
      </c>
      <c r="G19" s="13"/>
      <c r="H19" s="20">
        <f>H12-H16</f>
        <v>0</v>
      </c>
      <c r="I19" s="13"/>
      <c r="J19" s="19">
        <f>IF(H$12=0,0,H19/H$12)</f>
        <v>0</v>
      </c>
      <c r="K19" s="15"/>
      <c r="L19" s="20">
        <f>+D19-H19</f>
        <v>0</v>
      </c>
      <c r="M19" s="15"/>
      <c r="N19" s="19">
        <f>IF(H19=0,0,L19/H19)</f>
        <v>0</v>
      </c>
      <c r="O19" s="25"/>
      <c r="P19" s="20">
        <f>P12-P16</f>
        <v>0</v>
      </c>
      <c r="Q19" s="13"/>
      <c r="R19" s="19">
        <f>IF(P$12=0,0,P19/P$12)</f>
        <v>0</v>
      </c>
      <c r="S19" s="13"/>
      <c r="T19" s="20">
        <f>T12-T16</f>
        <v>0</v>
      </c>
      <c r="U19" s="13"/>
      <c r="V19" s="19">
        <f>IF(T$12=0,0,T19/T$12)</f>
        <v>0</v>
      </c>
      <c r="W19" s="15"/>
      <c r="X19" s="20">
        <f>+P19-T19</f>
        <v>0</v>
      </c>
      <c r="Y19" s="15"/>
      <c r="Z19" s="19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1">
        <f>SUM(OSRRefD22x_0)</f>
        <v>65.73</v>
      </c>
      <c r="E21" s="21"/>
      <c r="F21" s="31">
        <f t="shared" ref="F21:F31" si="14">IF(D$12=0,0,D21/D$12)</f>
        <v>0</v>
      </c>
      <c r="G21" s="21"/>
      <c r="H21" s="21">
        <f>SUM(OSRRefH22x_0)</f>
        <v>630</v>
      </c>
      <c r="I21" s="21"/>
      <c r="J21" s="31">
        <f t="shared" ref="J21:J31" si="15">IF(H$12=0,0,H21/H$12)</f>
        <v>0</v>
      </c>
      <c r="K21" s="4"/>
      <c r="L21" s="21">
        <f t="shared" ref="L21:L31" si="16">+D21-H21</f>
        <v>-564.27</v>
      </c>
      <c r="M21" s="4"/>
      <c r="N21" s="31">
        <f t="shared" ref="N21:N31" si="17">IF(H21=0,0,L21/H21)</f>
        <v>-0.89566666666666661</v>
      </c>
      <c r="O21" s="10"/>
      <c r="P21" s="21">
        <f>SUM(OSRRefP22x_0)</f>
        <v>4565.7</v>
      </c>
      <c r="Q21" s="21"/>
      <c r="R21" s="31">
        <f t="shared" ref="R21:R31" si="18">IF(P$12=0,0,P21/P$12)</f>
        <v>0</v>
      </c>
      <c r="S21" s="21"/>
      <c r="T21" s="21">
        <f>SUM(OSRRefT22x_0)</f>
        <v>2520</v>
      </c>
      <c r="U21" s="21"/>
      <c r="V21" s="31">
        <f t="shared" ref="V21:V31" si="19">IF(T$12=0,0,T21/T$12)</f>
        <v>0</v>
      </c>
      <c r="W21" s="4"/>
      <c r="X21" s="21">
        <f t="shared" ref="X21:X31" si="20">+P21-T21</f>
        <v>2045.6999999999998</v>
      </c>
      <c r="Y21" s="4"/>
      <c r="Z21" s="31">
        <f t="shared" ref="Z21:Z31" si="21">IF(T21=0,0,X21/T21)</f>
        <v>0.81178571428571422</v>
      </c>
    </row>
    <row r="22" spans="1:26" s="27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1493.43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1493.43</v>
      </c>
      <c r="Y22" s="1"/>
      <c r="Z22" s="5">
        <f t="shared" si="21"/>
        <v>0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191.51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191.51</v>
      </c>
      <c r="Y23" s="2"/>
      <c r="Z23" s="6">
        <f t="shared" si="21"/>
        <v>0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718.51</v>
      </c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718.51</v>
      </c>
      <c r="Y25" s="2"/>
      <c r="Z25" s="6">
        <f t="shared" si="21"/>
        <v>0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377.03</v>
      </c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377.03</v>
      </c>
      <c r="Y27" s="2"/>
      <c r="Z27" s="6">
        <f t="shared" si="21"/>
        <v>0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>
        <v>93.89</v>
      </c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93.89</v>
      </c>
      <c r="Y29" s="2"/>
      <c r="Z29" s="6">
        <f t="shared" si="21"/>
        <v>0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112.49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112.49</v>
      </c>
      <c r="Y30" s="2"/>
      <c r="Z30" s="6">
        <f t="shared" si="21"/>
        <v>0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0</v>
      </c>
      <c r="Y31" s="2"/>
      <c r="Z31" s="6">
        <f t="shared" si="21"/>
        <v>0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4"/>
      <c r="P32" s="1">
        <f>SUM(OSRRefP22_1x_0)</f>
        <v>2259.48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2259.48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8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8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2259.48</v>
      </c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2259.48</v>
      </c>
      <c r="Y34" s="2"/>
      <c r="Z34" s="6">
        <f t="shared" si="29"/>
        <v>0</v>
      </c>
    </row>
    <row r="35" spans="1:26" s="24" customFormat="1" hidden="1" outlineLevel="2" x14ac:dyDescent="0.25">
      <c r="A35" s="28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8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8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7" customFormat="1" outlineLevel="1" collapsed="1" x14ac:dyDescent="0.25">
      <c r="A43" s="29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8" si="30">IF(D$12=0,0,D43/D$12)</f>
        <v>0</v>
      </c>
      <c r="G43" s="1"/>
      <c r="H43" s="1">
        <f>SUM(OSRRefH22_2x_0)</f>
        <v>0</v>
      </c>
      <c r="I43" s="1"/>
      <c r="J43" s="5">
        <f t="shared" ref="J43:J58" si="31">IF(H$12=0,0,H43/H$12)</f>
        <v>0</v>
      </c>
      <c r="K43" s="1"/>
      <c r="L43" s="1">
        <f t="shared" ref="L43:L58" si="32">+D43-H43</f>
        <v>0</v>
      </c>
      <c r="M43" s="1"/>
      <c r="N43" s="5">
        <f t="shared" ref="N43:N58" si="33">IF(H43=0,0,L43/H43)</f>
        <v>0</v>
      </c>
      <c r="O43" s="14"/>
      <c r="P43" s="1">
        <f>SUM(OSRRefP22_2x_0)</f>
        <v>0</v>
      </c>
      <c r="Q43" s="1"/>
      <c r="R43" s="5">
        <f t="shared" ref="R43:R58" si="34">IF(P$12=0,0,P43/P$12)</f>
        <v>0</v>
      </c>
      <c r="S43" s="1"/>
      <c r="T43" s="1">
        <f>SUM(OSRRefT22_2x_0)</f>
        <v>0</v>
      </c>
      <c r="U43" s="1"/>
      <c r="V43" s="5">
        <f t="shared" ref="V43:V58" si="35">IF(T$12=0,0,T43/T$12)</f>
        <v>0</v>
      </c>
      <c r="W43" s="1"/>
      <c r="X43" s="1">
        <f t="shared" ref="X43:X58" si="36">+P43-T43</f>
        <v>0</v>
      </c>
      <c r="Y43" s="1"/>
      <c r="Z43" s="5">
        <f t="shared" ref="Z43:Z58" si="37">IF(T43=0,0,X43/T43)</f>
        <v>0</v>
      </c>
    </row>
    <row r="44" spans="1:26" s="24" customFormat="1" hidden="1" outlineLevel="2" x14ac:dyDescent="0.25">
      <c r="A44" s="28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7" customFormat="1" outlineLevel="1" collapsed="1" x14ac:dyDescent="0.25">
      <c r="A45" s="29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4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8"/>
      <c r="B46" s="11" t="str">
        <f>CONCATENATE("          ", "6272", " - ", "CASH (OVER/SHORT)")</f>
        <v xml:space="preserve">          6272 - CASH (OVER/SHORT)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7" customFormat="1" outlineLevel="1" collapsed="1" x14ac:dyDescent="0.25">
      <c r="A47" s="29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4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25">
      <c r="A48" s="28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30"/>
        <v>0</v>
      </c>
      <c r="G48" s="2"/>
      <c r="H48" s="7">
        <v>0</v>
      </c>
      <c r="I48" s="2"/>
      <c r="J48" s="6">
        <f t="shared" si="31"/>
        <v>0</v>
      </c>
      <c r="K48" s="2"/>
      <c r="L48" s="7">
        <f t="shared" si="32"/>
        <v>0</v>
      </c>
      <c r="M48" s="2"/>
      <c r="N48" s="6">
        <f t="shared" si="33"/>
        <v>0</v>
      </c>
      <c r="O48" s="11"/>
      <c r="P48" s="7"/>
      <c r="Q48" s="2"/>
      <c r="R48" s="6">
        <f t="shared" si="34"/>
        <v>0</v>
      </c>
      <c r="S48" s="2"/>
      <c r="T48" s="7">
        <v>0</v>
      </c>
      <c r="U48" s="2"/>
      <c r="V48" s="6">
        <f t="shared" si="35"/>
        <v>0</v>
      </c>
      <c r="W48" s="2"/>
      <c r="X48" s="7">
        <f t="shared" si="36"/>
        <v>0</v>
      </c>
      <c r="Y48" s="2"/>
      <c r="Z48" s="6">
        <f t="shared" si="37"/>
        <v>0</v>
      </c>
    </row>
    <row r="49" spans="1:26" s="27" customFormat="1" outlineLevel="1" collapsed="1" x14ac:dyDescent="0.25">
      <c r="A49" s="29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58.03</v>
      </c>
      <c r="E49" s="1"/>
      <c r="F49" s="5">
        <f t="shared" si="30"/>
        <v>0</v>
      </c>
      <c r="G49" s="1"/>
      <c r="H49" s="1">
        <f>SUM(OSRRefH22_5x_0)</f>
        <v>630</v>
      </c>
      <c r="I49" s="1"/>
      <c r="J49" s="5">
        <f t="shared" si="31"/>
        <v>0</v>
      </c>
      <c r="K49" s="1"/>
      <c r="L49" s="1">
        <f t="shared" si="32"/>
        <v>-571.97</v>
      </c>
      <c r="M49" s="1"/>
      <c r="N49" s="5">
        <f t="shared" si="33"/>
        <v>-0.90788888888888897</v>
      </c>
      <c r="O49" s="14"/>
      <c r="P49" s="1">
        <f>SUM(OSRRefP22_5x_0)</f>
        <v>232.12</v>
      </c>
      <c r="Q49" s="1"/>
      <c r="R49" s="5">
        <f t="shared" si="34"/>
        <v>0</v>
      </c>
      <c r="S49" s="1"/>
      <c r="T49" s="1">
        <f>SUM(OSRRefT22_5x_0)</f>
        <v>2520</v>
      </c>
      <c r="U49" s="1"/>
      <c r="V49" s="5">
        <f t="shared" si="35"/>
        <v>0</v>
      </c>
      <c r="W49" s="1"/>
      <c r="X49" s="1">
        <f t="shared" si="36"/>
        <v>-2287.88</v>
      </c>
      <c r="Y49" s="1"/>
      <c r="Z49" s="5">
        <f t="shared" si="37"/>
        <v>-0.90788888888888897</v>
      </c>
    </row>
    <row r="50" spans="1:26" s="24" customFormat="1" hidden="1" outlineLevel="2" x14ac:dyDescent="0.25">
      <c r="A50" s="28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58.03</v>
      </c>
      <c r="E50" s="2"/>
      <c r="F50" s="6">
        <f t="shared" si="30"/>
        <v>0</v>
      </c>
      <c r="G50" s="2"/>
      <c r="H50" s="7">
        <v>630</v>
      </c>
      <c r="I50" s="2"/>
      <c r="J50" s="6">
        <f t="shared" si="31"/>
        <v>0</v>
      </c>
      <c r="K50" s="2"/>
      <c r="L50" s="7">
        <f t="shared" si="32"/>
        <v>-571.97</v>
      </c>
      <c r="M50" s="2"/>
      <c r="N50" s="6">
        <f t="shared" si="33"/>
        <v>-0.90788888888888897</v>
      </c>
      <c r="O50" s="11"/>
      <c r="P50" s="7">
        <v>232.12</v>
      </c>
      <c r="Q50" s="2"/>
      <c r="R50" s="6">
        <f t="shared" si="34"/>
        <v>0</v>
      </c>
      <c r="S50" s="2"/>
      <c r="T50" s="7">
        <v>2520</v>
      </c>
      <c r="U50" s="2"/>
      <c r="V50" s="6">
        <f t="shared" si="35"/>
        <v>0</v>
      </c>
      <c r="W50" s="2"/>
      <c r="X50" s="7">
        <f t="shared" si="36"/>
        <v>-2287.88</v>
      </c>
      <c r="Y50" s="2"/>
      <c r="Z50" s="6">
        <f t="shared" si="37"/>
        <v>-0.90788888888888897</v>
      </c>
    </row>
    <row r="51" spans="1:26" s="27" customFormat="1" outlineLevel="1" collapsed="1" x14ac:dyDescent="0.25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4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0</v>
      </c>
      <c r="U51" s="1"/>
      <c r="V51" s="5">
        <f t="shared" si="35"/>
        <v>0</v>
      </c>
      <c r="W51" s="1"/>
      <c r="X51" s="1">
        <f t="shared" si="36"/>
        <v>0</v>
      </c>
      <c r="Y51" s="1"/>
      <c r="Z51" s="5">
        <f t="shared" si="37"/>
        <v>0</v>
      </c>
    </row>
    <row r="52" spans="1:26" s="24" customFormat="1" hidden="1" outlineLevel="2" x14ac:dyDescent="0.25">
      <c r="A52" s="28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0"/>
        <v>0</v>
      </c>
      <c r="G52" s="2"/>
      <c r="H52" s="7">
        <v>0</v>
      </c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/>
      <c r="Q52" s="2"/>
      <c r="R52" s="6">
        <f t="shared" si="34"/>
        <v>0</v>
      </c>
      <c r="S52" s="2"/>
      <c r="T52" s="7">
        <v>0</v>
      </c>
      <c r="U52" s="2"/>
      <c r="V52" s="6">
        <f t="shared" si="35"/>
        <v>0</v>
      </c>
      <c r="W52" s="2"/>
      <c r="X52" s="7">
        <f t="shared" si="36"/>
        <v>0</v>
      </c>
      <c r="Y52" s="2"/>
      <c r="Z52" s="6">
        <f t="shared" si="37"/>
        <v>0</v>
      </c>
    </row>
    <row r="53" spans="1:26" s="27" customFormat="1" outlineLevel="1" collapsed="1" x14ac:dyDescent="0.25">
      <c r="A53" s="29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4"/>
      <c r="P53" s="1">
        <f>SUM(OSRRefP22_7x_0)</f>
        <v>0</v>
      </c>
      <c r="Q53" s="1"/>
      <c r="R53" s="5">
        <f t="shared" si="34"/>
        <v>0</v>
      </c>
      <c r="S53" s="1"/>
      <c r="T53" s="1">
        <f>SUM(OSRRefT22_7x_0)</f>
        <v>0</v>
      </c>
      <c r="U53" s="1"/>
      <c r="V53" s="5">
        <f t="shared" si="35"/>
        <v>0</v>
      </c>
      <c r="W53" s="1"/>
      <c r="X53" s="1">
        <f t="shared" si="36"/>
        <v>0</v>
      </c>
      <c r="Y53" s="1"/>
      <c r="Z53" s="5">
        <f t="shared" si="37"/>
        <v>0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0"/>
        <v>0</v>
      </c>
      <c r="G54" s="2"/>
      <c r="H54" s="7">
        <v>0</v>
      </c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/>
      <c r="Q54" s="2"/>
      <c r="R54" s="6">
        <f t="shared" si="34"/>
        <v>0</v>
      </c>
      <c r="S54" s="2"/>
      <c r="T54" s="7">
        <v>0</v>
      </c>
      <c r="U54" s="2"/>
      <c r="V54" s="6">
        <f t="shared" si="35"/>
        <v>0</v>
      </c>
      <c r="W54" s="2"/>
      <c r="X54" s="7">
        <f t="shared" si="36"/>
        <v>0</v>
      </c>
      <c r="Y54" s="2"/>
      <c r="Z54" s="6">
        <f t="shared" si="37"/>
        <v>0</v>
      </c>
    </row>
    <row r="55" spans="1:26" s="27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0</v>
      </c>
      <c r="E55" s="1"/>
      <c r="F55" s="5">
        <f t="shared" si="30"/>
        <v>0</v>
      </c>
      <c r="G55" s="1"/>
      <c r="H55" s="1">
        <f>SUM(OSRRefH22_8x_0)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4"/>
      <c r="P55" s="1">
        <f>SUM(OSRRefP22_8x_0)</f>
        <v>244.35</v>
      </c>
      <c r="Q55" s="1"/>
      <c r="R55" s="5">
        <f t="shared" si="34"/>
        <v>0</v>
      </c>
      <c r="S55" s="1"/>
      <c r="T55" s="1">
        <f>SUM(OSRRefT22_8x_0)</f>
        <v>0</v>
      </c>
      <c r="U55" s="1"/>
      <c r="V55" s="5">
        <f t="shared" si="35"/>
        <v>0</v>
      </c>
      <c r="W55" s="1"/>
      <c r="X55" s="1">
        <f t="shared" si="36"/>
        <v>244.35</v>
      </c>
      <c r="Y55" s="1"/>
      <c r="Z55" s="5">
        <f t="shared" si="37"/>
        <v>0</v>
      </c>
    </row>
    <row r="56" spans="1:26" s="24" customFormat="1" hidden="1" outlineLevel="2" x14ac:dyDescent="0.25">
      <c r="A56" s="28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/>
      <c r="Q56" s="2"/>
      <c r="R56" s="6">
        <f t="shared" si="34"/>
        <v>0</v>
      </c>
      <c r="S56" s="2"/>
      <c r="T56" s="7">
        <v>0</v>
      </c>
      <c r="U56" s="2"/>
      <c r="V56" s="6">
        <f t="shared" si="35"/>
        <v>0</v>
      </c>
      <c r="W56" s="2"/>
      <c r="X56" s="7">
        <f t="shared" si="36"/>
        <v>0</v>
      </c>
      <c r="Y56" s="2"/>
      <c r="Z56" s="6">
        <f t="shared" si="37"/>
        <v>0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6">
        <f t="shared" si="30"/>
        <v>0</v>
      </c>
      <c r="G57" s="2"/>
      <c r="H57" s="7">
        <v>0</v>
      </c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>
        <v>244.35</v>
      </c>
      <c r="Q57" s="2"/>
      <c r="R57" s="6">
        <f t="shared" si="34"/>
        <v>0</v>
      </c>
      <c r="S57" s="2"/>
      <c r="T57" s="7">
        <v>0</v>
      </c>
      <c r="U57" s="2"/>
      <c r="V57" s="6">
        <f t="shared" si="35"/>
        <v>0</v>
      </c>
      <c r="W57" s="2"/>
      <c r="X57" s="7">
        <f t="shared" si="36"/>
        <v>244.35</v>
      </c>
      <c r="Y57" s="2"/>
      <c r="Z57" s="6">
        <f t="shared" si="37"/>
        <v>0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30"/>
        <v>0</v>
      </c>
      <c r="G58" s="2"/>
      <c r="H58" s="7">
        <v>0</v>
      </c>
      <c r="I58" s="2"/>
      <c r="J58" s="6">
        <f t="shared" si="31"/>
        <v>0</v>
      </c>
      <c r="K58" s="2"/>
      <c r="L58" s="7">
        <f t="shared" si="32"/>
        <v>0</v>
      </c>
      <c r="M58" s="2"/>
      <c r="N58" s="6">
        <f t="shared" si="33"/>
        <v>0</v>
      </c>
      <c r="O58" s="11"/>
      <c r="P58" s="7"/>
      <c r="Q58" s="2"/>
      <c r="R58" s="6">
        <f t="shared" si="34"/>
        <v>0</v>
      </c>
      <c r="S58" s="2"/>
      <c r="T58" s="7">
        <v>0</v>
      </c>
      <c r="U58" s="2"/>
      <c r="V58" s="6">
        <f t="shared" si="35"/>
        <v>0</v>
      </c>
      <c r="W58" s="2"/>
      <c r="X58" s="7">
        <f t="shared" si="36"/>
        <v>0</v>
      </c>
      <c r="Y58" s="2"/>
      <c r="Z58" s="6">
        <f t="shared" si="37"/>
        <v>0</v>
      </c>
    </row>
    <row r="59" spans="1:26" s="27" customFormat="1" outlineLevel="1" collapsed="1" x14ac:dyDescent="0.25">
      <c r="A59" s="29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SUM(OSRRefD22_9x_0)</f>
        <v>0</v>
      </c>
      <c r="E59" s="1"/>
      <c r="F59" s="5">
        <f t="shared" ref="F59:F61" si="38">IF(D$12=0,0,D59/D$12)</f>
        <v>0</v>
      </c>
      <c r="G59" s="1"/>
      <c r="H59" s="1">
        <f>SUM(OSRRefH22_9x_0)</f>
        <v>0</v>
      </c>
      <c r="I59" s="1"/>
      <c r="J59" s="5">
        <f t="shared" ref="J59:J61" si="39">IF(H$12=0,0,H59/H$12)</f>
        <v>0</v>
      </c>
      <c r="K59" s="1"/>
      <c r="L59" s="1">
        <f t="shared" ref="L59:L61" si="40">+D59-H59</f>
        <v>0</v>
      </c>
      <c r="M59" s="1"/>
      <c r="N59" s="5">
        <f t="shared" ref="N59:N61" si="41">IF(H59=0,0,L59/H59)</f>
        <v>0</v>
      </c>
      <c r="O59" s="14"/>
      <c r="P59" s="1">
        <f>SUM(OSRRefP22_9x_0)</f>
        <v>286.62</v>
      </c>
      <c r="Q59" s="1"/>
      <c r="R59" s="5">
        <f t="shared" ref="R59:R61" si="42">IF(P$12=0,0,P59/P$12)</f>
        <v>0</v>
      </c>
      <c r="S59" s="1"/>
      <c r="T59" s="1">
        <f>SUM(OSRRefT22_9x_0)</f>
        <v>0</v>
      </c>
      <c r="U59" s="1"/>
      <c r="V59" s="5">
        <f t="shared" ref="V59:V61" si="43">IF(T$12=0,0,T59/T$12)</f>
        <v>0</v>
      </c>
      <c r="W59" s="1"/>
      <c r="X59" s="1">
        <f t="shared" ref="X59:X61" si="44">+P59-T59</f>
        <v>286.62</v>
      </c>
      <c r="Y59" s="1"/>
      <c r="Z59" s="5">
        <f t="shared" ref="Z59:Z61" si="45">IF(T59=0,0,X59/T59)</f>
        <v>0</v>
      </c>
    </row>
    <row r="60" spans="1:26" s="24" customFormat="1" hidden="1" outlineLevel="2" x14ac:dyDescent="0.25">
      <c r="A60" s="28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38"/>
        <v>0</v>
      </c>
      <c r="G60" s="2"/>
      <c r="H60" s="7"/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286.62</v>
      </c>
      <c r="Q60" s="2"/>
      <c r="R60" s="6">
        <f t="shared" si="42"/>
        <v>0</v>
      </c>
      <c r="S60" s="2"/>
      <c r="T60" s="7"/>
      <c r="U60" s="2"/>
      <c r="V60" s="6">
        <f t="shared" si="43"/>
        <v>0</v>
      </c>
      <c r="W60" s="2"/>
      <c r="X60" s="7">
        <f t="shared" si="44"/>
        <v>286.62</v>
      </c>
      <c r="Y60" s="2"/>
      <c r="Z60" s="6">
        <f t="shared" si="45"/>
        <v>0</v>
      </c>
    </row>
    <row r="61" spans="1:26" s="24" customFormat="1" hidden="1" outlineLevel="2" x14ac:dyDescent="0.25">
      <c r="A61" s="28"/>
      <c r="B61" s="11" t="str">
        <f>CONCATENATE("          ", "6286", " - ", "LAUNDRY EXPENSE")</f>
        <v xml:space="preserve">          6286 - LAUNDRY EXPENSE</v>
      </c>
      <c r="C61" s="11"/>
      <c r="D61" s="7"/>
      <c r="E61" s="2"/>
      <c r="F61" s="6">
        <f t="shared" si="38"/>
        <v>0</v>
      </c>
      <c r="G61" s="2"/>
      <c r="H61" s="7">
        <v>0</v>
      </c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/>
      <c r="Q61" s="2"/>
      <c r="R61" s="6">
        <f t="shared" si="42"/>
        <v>0</v>
      </c>
      <c r="S61" s="2"/>
      <c r="T61" s="7">
        <v>0</v>
      </c>
      <c r="U61" s="2"/>
      <c r="V61" s="6">
        <f t="shared" si="43"/>
        <v>0</v>
      </c>
      <c r="W61" s="2"/>
      <c r="X61" s="7">
        <f t="shared" si="44"/>
        <v>0</v>
      </c>
      <c r="Y61" s="2"/>
      <c r="Z61" s="6">
        <f t="shared" si="45"/>
        <v>0</v>
      </c>
    </row>
    <row r="62" spans="1:26" s="27" customFormat="1" outlineLevel="1" collapsed="1" x14ac:dyDescent="0.25">
      <c r="A62" s="29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0</v>
      </c>
      <c r="E62" s="1"/>
      <c r="F62" s="5">
        <f t="shared" ref="F62:F70" si="46">IF(D$12=0,0,D62/D$12)</f>
        <v>0</v>
      </c>
      <c r="G62" s="1"/>
      <c r="H62" s="1">
        <f>SUM(OSRRefH22_10x_0)</f>
        <v>0</v>
      </c>
      <c r="I62" s="1"/>
      <c r="J62" s="5">
        <f t="shared" ref="J62:J70" si="47">IF(H$12=0,0,H62/H$12)</f>
        <v>0</v>
      </c>
      <c r="K62" s="1"/>
      <c r="L62" s="1">
        <f t="shared" ref="L62:L70" si="48">+D62-H62</f>
        <v>0</v>
      </c>
      <c r="M62" s="1"/>
      <c r="N62" s="5">
        <f t="shared" ref="N62:N70" si="49">IF(H62=0,0,L62/H62)</f>
        <v>0</v>
      </c>
      <c r="O62" s="14"/>
      <c r="P62" s="1">
        <f>SUM(OSRRefP22_10x_0)</f>
        <v>0</v>
      </c>
      <c r="Q62" s="1"/>
      <c r="R62" s="5">
        <f t="shared" ref="R62:R70" si="50">IF(P$12=0,0,P62/P$12)</f>
        <v>0</v>
      </c>
      <c r="S62" s="1"/>
      <c r="T62" s="1">
        <f>SUM(OSRRefT22_10x_0)</f>
        <v>0</v>
      </c>
      <c r="U62" s="1"/>
      <c r="V62" s="5">
        <f t="shared" ref="V62:V70" si="51">IF(T$12=0,0,T62/T$12)</f>
        <v>0</v>
      </c>
      <c r="W62" s="1"/>
      <c r="X62" s="1">
        <f t="shared" ref="X62:X70" si="52">+P62-T62</f>
        <v>0</v>
      </c>
      <c r="Y62" s="1"/>
      <c r="Z62" s="5">
        <f t="shared" ref="Z62:Z70" si="53">IF(T62=0,0,X62/T62)</f>
        <v>0</v>
      </c>
    </row>
    <row r="63" spans="1:26" s="24" customFormat="1" hidden="1" outlineLevel="2" x14ac:dyDescent="0.25">
      <c r="A63" s="28"/>
      <c r="B63" s="11" t="str">
        <f>CONCATENATE("          ", "6235", " - ", "COVID-19 EXPENSES")</f>
        <v xml:space="preserve">          6235 - COVID-19 EXPENSES</v>
      </c>
      <c r="C63" s="11"/>
      <c r="D63" s="7"/>
      <c r="E63" s="2"/>
      <c r="F63" s="6">
        <f t="shared" si="46"/>
        <v>0</v>
      </c>
      <c r="G63" s="2"/>
      <c r="H63" s="7">
        <v>0</v>
      </c>
      <c r="I63" s="2"/>
      <c r="J63" s="6">
        <f t="shared" si="47"/>
        <v>0</v>
      </c>
      <c r="K63" s="2"/>
      <c r="L63" s="7">
        <f t="shared" si="48"/>
        <v>0</v>
      </c>
      <c r="M63" s="2"/>
      <c r="N63" s="6">
        <f t="shared" si="49"/>
        <v>0</v>
      </c>
      <c r="O63" s="11"/>
      <c r="P63" s="7"/>
      <c r="Q63" s="2"/>
      <c r="R63" s="6">
        <f t="shared" si="50"/>
        <v>0</v>
      </c>
      <c r="S63" s="2"/>
      <c r="T63" s="7">
        <v>0</v>
      </c>
      <c r="U63" s="2"/>
      <c r="V63" s="6">
        <f t="shared" si="51"/>
        <v>0</v>
      </c>
      <c r="W63" s="2"/>
      <c r="X63" s="7">
        <f t="shared" si="52"/>
        <v>0</v>
      </c>
      <c r="Y63" s="2"/>
      <c r="Z63" s="6">
        <f t="shared" si="53"/>
        <v>0</v>
      </c>
    </row>
    <row r="64" spans="1:26" s="24" customFormat="1" hidden="1" outlineLevel="2" x14ac:dyDescent="0.25">
      <c r="A64" s="28"/>
      <c r="B64" s="11" t="str">
        <f>CONCATENATE("          ", "6239", " - ", "KITCHEN SUPPLIES")</f>
        <v xml:space="preserve">          6239 - KITCHEN SUPPLIES</v>
      </c>
      <c r="C64" s="11"/>
      <c r="D64" s="7"/>
      <c r="E64" s="2"/>
      <c r="F64" s="6">
        <f t="shared" si="46"/>
        <v>0</v>
      </c>
      <c r="G64" s="2"/>
      <c r="H64" s="7"/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4" customFormat="1" hidden="1" outlineLevel="2" x14ac:dyDescent="0.25">
      <c r="A65" s="28"/>
      <c r="B65" s="11" t="str">
        <f>CONCATENATE("          ", "6241", " - ", "OFFICE EXPENSE")</f>
        <v xml:space="preserve">          6241 - OFFICE EXPENSE</v>
      </c>
      <c r="C65" s="11"/>
      <c r="D65" s="7"/>
      <c r="E65" s="2"/>
      <c r="F65" s="6">
        <f t="shared" si="46"/>
        <v>0</v>
      </c>
      <c r="G65" s="2"/>
      <c r="H65" s="7"/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/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0</v>
      </c>
      <c r="Y65" s="2"/>
      <c r="Z65" s="6">
        <f t="shared" si="53"/>
        <v>0</v>
      </c>
    </row>
    <row r="66" spans="1:26" s="24" customFormat="1" hidden="1" outlineLevel="2" x14ac:dyDescent="0.25">
      <c r="A66" s="28"/>
      <c r="B66" s="11" t="str">
        <f>CONCATENATE("          ", "6243", " - ", "PAPER SUPPLIES")</f>
        <v xml:space="preserve">          6243 - PAPER SUPPLIES</v>
      </c>
      <c r="C66" s="11"/>
      <c r="D66" s="7"/>
      <c r="E66" s="2"/>
      <c r="F66" s="6">
        <f t="shared" si="46"/>
        <v>0</v>
      </c>
      <c r="G66" s="2"/>
      <c r="H66" s="7">
        <v>0</v>
      </c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4" customFormat="1" hidden="1" outlineLevel="2" x14ac:dyDescent="0.25">
      <c r="A67" s="28"/>
      <c r="B67" s="11" t="str">
        <f>CONCATENATE("          ", "6244", " - ", "SAFETY SUPPLY EXPENSE")</f>
        <v xml:space="preserve">          6244 - SAFETY SUPPLY EXPENSE</v>
      </c>
      <c r="C67" s="11"/>
      <c r="D67" s="7"/>
      <c r="E67" s="2"/>
      <c r="F67" s="6">
        <f t="shared" si="46"/>
        <v>0</v>
      </c>
      <c r="G67" s="2"/>
      <c r="H67" s="7"/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0</v>
      </c>
      <c r="U67" s="2"/>
      <c r="V67" s="6">
        <f t="shared" si="51"/>
        <v>0</v>
      </c>
      <c r="W67" s="2"/>
      <c r="X67" s="7">
        <f t="shared" si="52"/>
        <v>0</v>
      </c>
      <c r="Y67" s="2"/>
      <c r="Z67" s="6">
        <f t="shared" si="53"/>
        <v>0</v>
      </c>
    </row>
    <row r="68" spans="1:26" s="24" customFormat="1" hidden="1" outlineLevel="2" x14ac:dyDescent="0.25">
      <c r="A68" s="28"/>
      <c r="B68" s="11" t="str">
        <f>CONCATENATE("          ", "6245", " - ", "PRINTING")</f>
        <v xml:space="preserve">          6245 - PRINTING</v>
      </c>
      <c r="C68" s="11"/>
      <c r="D68" s="7"/>
      <c r="E68" s="2"/>
      <c r="F68" s="6">
        <f t="shared" si="46"/>
        <v>0</v>
      </c>
      <c r="G68" s="2"/>
      <c r="H68" s="7"/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/>
      <c r="Q68" s="2"/>
      <c r="R68" s="6">
        <f t="shared" si="50"/>
        <v>0</v>
      </c>
      <c r="S68" s="2"/>
      <c r="T68" s="7">
        <v>0</v>
      </c>
      <c r="U68" s="2"/>
      <c r="V68" s="6">
        <f t="shared" si="51"/>
        <v>0</v>
      </c>
      <c r="W68" s="2"/>
      <c r="X68" s="7">
        <f t="shared" si="52"/>
        <v>0</v>
      </c>
      <c r="Y68" s="2"/>
      <c r="Z68" s="6">
        <f t="shared" si="53"/>
        <v>0</v>
      </c>
    </row>
    <row r="69" spans="1:26" s="24" customFormat="1" hidden="1" outlineLevel="2" x14ac:dyDescent="0.25">
      <c r="A69" s="28"/>
      <c r="B69" s="11" t="str">
        <f>CONCATENATE("          ", "6247", " - ", "STORE SUPPLIES")</f>
        <v xml:space="preserve">          6247 - STORE SUPPLIES</v>
      </c>
      <c r="C69" s="11"/>
      <c r="D69" s="7"/>
      <c r="E69" s="2"/>
      <c r="F69" s="6">
        <f t="shared" si="46"/>
        <v>0</v>
      </c>
      <c r="G69" s="2"/>
      <c r="H69" s="7"/>
      <c r="I69" s="2"/>
      <c r="J69" s="6">
        <f t="shared" si="47"/>
        <v>0</v>
      </c>
      <c r="K69" s="2"/>
      <c r="L69" s="7">
        <f t="shared" si="48"/>
        <v>0</v>
      </c>
      <c r="M69" s="2"/>
      <c r="N69" s="6">
        <f t="shared" si="49"/>
        <v>0</v>
      </c>
      <c r="O69" s="11"/>
      <c r="P69" s="7"/>
      <c r="Q69" s="2"/>
      <c r="R69" s="6">
        <f t="shared" si="50"/>
        <v>0</v>
      </c>
      <c r="S69" s="2"/>
      <c r="T69" s="7">
        <v>0</v>
      </c>
      <c r="U69" s="2"/>
      <c r="V69" s="6">
        <f t="shared" si="51"/>
        <v>0</v>
      </c>
      <c r="W69" s="2"/>
      <c r="X69" s="7">
        <f t="shared" si="52"/>
        <v>0</v>
      </c>
      <c r="Y69" s="2"/>
      <c r="Z69" s="6">
        <f t="shared" si="53"/>
        <v>0</v>
      </c>
    </row>
    <row r="70" spans="1:26" s="24" customFormat="1" hidden="1" outlineLevel="2" x14ac:dyDescent="0.25">
      <c r="A70" s="28"/>
      <c r="B70" s="11" t="str">
        <f>CONCATENATE("          ", "6248", " - ", "UNIFORMS")</f>
        <v xml:space="preserve">          6248 - UNIFORMS</v>
      </c>
      <c r="C70" s="11"/>
      <c r="D70" s="7"/>
      <c r="E70" s="2"/>
      <c r="F70" s="6">
        <f t="shared" si="46"/>
        <v>0</v>
      </c>
      <c r="G70" s="2"/>
      <c r="H70" s="7"/>
      <c r="I70" s="2"/>
      <c r="J70" s="6">
        <f t="shared" si="47"/>
        <v>0</v>
      </c>
      <c r="K70" s="2"/>
      <c r="L70" s="7">
        <f t="shared" si="48"/>
        <v>0</v>
      </c>
      <c r="M70" s="2"/>
      <c r="N70" s="6">
        <f t="shared" si="49"/>
        <v>0</v>
      </c>
      <c r="O70" s="11"/>
      <c r="P70" s="7"/>
      <c r="Q70" s="2"/>
      <c r="R70" s="6">
        <f t="shared" si="50"/>
        <v>0</v>
      </c>
      <c r="S70" s="2"/>
      <c r="T70" s="7">
        <v>0</v>
      </c>
      <c r="U70" s="2"/>
      <c r="V70" s="6">
        <f t="shared" si="51"/>
        <v>0</v>
      </c>
      <c r="W70" s="2"/>
      <c r="X70" s="7">
        <f t="shared" si="52"/>
        <v>0</v>
      </c>
      <c r="Y70" s="2"/>
      <c r="Z70" s="6">
        <f t="shared" si="53"/>
        <v>0</v>
      </c>
    </row>
    <row r="71" spans="1:26" s="27" customFormat="1" outlineLevel="1" collapsed="1" x14ac:dyDescent="0.25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SUM(OSRRefD22_11x_0)</f>
        <v>7.7</v>
      </c>
      <c r="E71" s="1"/>
      <c r="F71" s="5">
        <f t="shared" ref="F71:F73" si="54">IF(D$12=0,0,D71/D$12)</f>
        <v>0</v>
      </c>
      <c r="G71" s="1"/>
      <c r="H71" s="1">
        <f>SUM(OSRRefH22_11x_0)</f>
        <v>0</v>
      </c>
      <c r="I71" s="1"/>
      <c r="J71" s="5">
        <f t="shared" ref="J71:J73" si="55">IF(H$12=0,0,H71/H$12)</f>
        <v>0</v>
      </c>
      <c r="K71" s="1"/>
      <c r="L71" s="1">
        <f t="shared" ref="L71:L73" si="56">+D71-H71</f>
        <v>7.7</v>
      </c>
      <c r="M71" s="1"/>
      <c r="N71" s="5">
        <f t="shared" ref="N71:N73" si="57">IF(H71=0,0,L71/H71)</f>
        <v>0</v>
      </c>
      <c r="O71" s="14"/>
      <c r="P71" s="1">
        <f>SUM(OSRRefP22_11x_0)</f>
        <v>49.7</v>
      </c>
      <c r="Q71" s="1"/>
      <c r="R71" s="5">
        <f t="shared" ref="R71:R73" si="58">IF(P$12=0,0,P71/P$12)</f>
        <v>0</v>
      </c>
      <c r="S71" s="1"/>
      <c r="T71" s="1">
        <f>SUM(OSRRefT22_11x_0)</f>
        <v>0</v>
      </c>
      <c r="U71" s="1"/>
      <c r="V71" s="5">
        <f t="shared" ref="V71:V73" si="59">IF(T$12=0,0,T71/T$12)</f>
        <v>0</v>
      </c>
      <c r="W71" s="1"/>
      <c r="X71" s="1">
        <f t="shared" ref="X71:X73" si="60">+P71-T71</f>
        <v>49.7</v>
      </c>
      <c r="Y71" s="1"/>
      <c r="Z71" s="5">
        <f t="shared" ref="Z71:Z73" si="61">IF(T71=0,0,X71/T71)</f>
        <v>0</v>
      </c>
    </row>
    <row r="72" spans="1:26" s="24" customFormat="1" hidden="1" outlineLevel="2" x14ac:dyDescent="0.25">
      <c r="A72" s="28"/>
      <c r="B72" s="11" t="str">
        <f>CONCATENATE("          ", "6303", " - ", "DATA PHONE LINES")</f>
        <v xml:space="preserve">          6303 - DATA PHONE LINES</v>
      </c>
      <c r="C72" s="11"/>
      <c r="D72" s="7"/>
      <c r="E72" s="2"/>
      <c r="F72" s="6">
        <f t="shared" si="54"/>
        <v>0</v>
      </c>
      <c r="G72" s="2"/>
      <c r="H72" s="7">
        <v>0</v>
      </c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/>
      <c r="Q72" s="2"/>
      <c r="R72" s="6">
        <f t="shared" si="58"/>
        <v>0</v>
      </c>
      <c r="S72" s="2"/>
      <c r="T72" s="7">
        <v>0</v>
      </c>
      <c r="U72" s="2"/>
      <c r="V72" s="6">
        <f t="shared" si="59"/>
        <v>0</v>
      </c>
      <c r="W72" s="2"/>
      <c r="X72" s="7">
        <f t="shared" si="60"/>
        <v>0</v>
      </c>
      <c r="Y72" s="2"/>
      <c r="Z72" s="6">
        <f t="shared" si="61"/>
        <v>0</v>
      </c>
    </row>
    <row r="73" spans="1:26" s="24" customFormat="1" hidden="1" outlineLevel="2" x14ac:dyDescent="0.25">
      <c r="A73" s="28"/>
      <c r="B73" s="11" t="str">
        <f>CONCATENATE("          ", "6309", " - ", "TELEPHONE")</f>
        <v xml:space="preserve">          6309 - TELEPHONE</v>
      </c>
      <c r="C73" s="11"/>
      <c r="D73" s="7">
        <v>7.7</v>
      </c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7.7</v>
      </c>
      <c r="M73" s="2"/>
      <c r="N73" s="6">
        <f t="shared" si="57"/>
        <v>0</v>
      </c>
      <c r="O73" s="11"/>
      <c r="P73" s="7">
        <v>49.7</v>
      </c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49.7</v>
      </c>
      <c r="Y73" s="2"/>
      <c r="Z73" s="6">
        <f t="shared" si="61"/>
        <v>0</v>
      </c>
    </row>
    <row r="74" spans="1:26" s="27" customFormat="1" outlineLevel="1" collapsed="1" x14ac:dyDescent="0.25">
      <c r="A74" s="29"/>
      <c r="B74" s="14" t="str">
        <f>CONCATENATE("     ","Travel                                            ")</f>
        <v xml:space="preserve">     Travel                                            </v>
      </c>
      <c r="C74" s="14"/>
      <c r="D74" s="1">
        <f>SUM(OSRRefD22_12x_0)</f>
        <v>0</v>
      </c>
      <c r="E74" s="1"/>
      <c r="F74" s="5">
        <f t="shared" ref="F74:F75" si="62">IF(D$12=0,0,D74/D$12)</f>
        <v>0</v>
      </c>
      <c r="G74" s="1"/>
      <c r="H74" s="1">
        <f>SUM(OSRRefH22_12x_0)</f>
        <v>0</v>
      </c>
      <c r="I74" s="1"/>
      <c r="J74" s="5">
        <f t="shared" ref="J74:J75" si="63">IF(H$12=0,0,H74/H$12)</f>
        <v>0</v>
      </c>
      <c r="K74" s="1"/>
      <c r="L74" s="1">
        <f t="shared" ref="L74:L75" si="64">+D74-H74</f>
        <v>0</v>
      </c>
      <c r="M74" s="1"/>
      <c r="N74" s="5">
        <f t="shared" ref="N74:N75" si="65">IF(H74=0,0,L74/H74)</f>
        <v>0</v>
      </c>
      <c r="O74" s="14"/>
      <c r="P74" s="1">
        <f>SUM(OSRRefP22_12x_0)</f>
        <v>0</v>
      </c>
      <c r="Q74" s="1"/>
      <c r="R74" s="5">
        <f t="shared" ref="R74:R75" si="66">IF(P$12=0,0,P74/P$12)</f>
        <v>0</v>
      </c>
      <c r="S74" s="1"/>
      <c r="T74" s="1">
        <f>SUM(OSRRefT22_12x_0)</f>
        <v>0</v>
      </c>
      <c r="U74" s="1"/>
      <c r="V74" s="5">
        <f t="shared" ref="V74:V75" si="67">IF(T$12=0,0,T74/T$12)</f>
        <v>0</v>
      </c>
      <c r="W74" s="1"/>
      <c r="X74" s="1">
        <f t="shared" ref="X74:X75" si="68">+P74-T74</f>
        <v>0</v>
      </c>
      <c r="Y74" s="1"/>
      <c r="Z74" s="5">
        <f t="shared" ref="Z74:Z75" si="69">IF(T74=0,0,X74/T74)</f>
        <v>0</v>
      </c>
    </row>
    <row r="75" spans="1:26" s="24" customFormat="1" hidden="1" outlineLevel="2" x14ac:dyDescent="0.25">
      <c r="A75" s="28"/>
      <c r="B75" s="11" t="str">
        <f>CONCATENATE("          ", "6292", " - ", "TRAVEL/CONFERENCE")</f>
        <v xml:space="preserve">          6292 - TRAVEL/CONFERENCE</v>
      </c>
      <c r="C75" s="11"/>
      <c r="D75" s="7"/>
      <c r="E75" s="2"/>
      <c r="F75" s="6">
        <f t="shared" si="62"/>
        <v>0</v>
      </c>
      <c r="G75" s="2"/>
      <c r="H75" s="7"/>
      <c r="I75" s="2"/>
      <c r="J75" s="6">
        <f t="shared" si="63"/>
        <v>0</v>
      </c>
      <c r="K75" s="2"/>
      <c r="L75" s="7">
        <f t="shared" si="64"/>
        <v>0</v>
      </c>
      <c r="M75" s="2"/>
      <c r="N75" s="6">
        <f t="shared" si="65"/>
        <v>0</v>
      </c>
      <c r="O75" s="11"/>
      <c r="P75" s="7"/>
      <c r="Q75" s="2"/>
      <c r="R75" s="6">
        <f t="shared" si="66"/>
        <v>0</v>
      </c>
      <c r="S75" s="2"/>
      <c r="T75" s="7">
        <v>0</v>
      </c>
      <c r="U75" s="2"/>
      <c r="V75" s="6">
        <f t="shared" si="67"/>
        <v>0</v>
      </c>
      <c r="W75" s="2"/>
      <c r="X75" s="7">
        <f t="shared" si="68"/>
        <v>0</v>
      </c>
      <c r="Y75" s="2"/>
      <c r="Z75" s="6">
        <f t="shared" si="69"/>
        <v>0</v>
      </c>
    </row>
    <row r="76" spans="1:26" s="63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5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6" t="s">
        <v>3</v>
      </c>
      <c r="C79" s="26"/>
      <c r="D79" s="20">
        <f>+D19-D21+D77</f>
        <v>-65.73</v>
      </c>
      <c r="E79" s="13"/>
      <c r="F79" s="19">
        <f>IF(D$12=0,0,D79/D$12)</f>
        <v>0</v>
      </c>
      <c r="G79" s="13"/>
      <c r="H79" s="20">
        <f>+H19-H21+H77</f>
        <v>-630</v>
      </c>
      <c r="I79" s="13"/>
      <c r="J79" s="19">
        <f>IF(H$12=0,0,H79/H$12)</f>
        <v>0</v>
      </c>
      <c r="K79" s="15"/>
      <c r="L79" s="20">
        <f>+D79-H79</f>
        <v>564.27</v>
      </c>
      <c r="M79" s="15"/>
      <c r="N79" s="19">
        <f>IF(H79=0,0,L79/H79)</f>
        <v>-0.89566666666666661</v>
      </c>
      <c r="O79" s="25"/>
      <c r="P79" s="20">
        <f>+P19-P21+P77</f>
        <v>-4565.7</v>
      </c>
      <c r="Q79" s="13"/>
      <c r="R79" s="19">
        <f>IF(P$12=0,0,P79/P$12)</f>
        <v>0</v>
      </c>
      <c r="S79" s="13"/>
      <c r="T79" s="20">
        <f>+T19-T21+T77</f>
        <v>-2520</v>
      </c>
      <c r="U79" s="13"/>
      <c r="V79" s="19">
        <f>IF(T$12=0,0,T79/T$12)</f>
        <v>0</v>
      </c>
      <c r="W79" s="15"/>
      <c r="X79" s="20">
        <f>+P79-T79</f>
        <v>-2045.6999999999998</v>
      </c>
      <c r="Y79" s="15"/>
      <c r="Z79" s="19">
        <f>IF(T79=0,0,X79/T79)</f>
        <v>0.81178571428571422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/>
      <c r="E81" s="4"/>
      <c r="F81" s="12">
        <f>IF(D$12=0,0,D81/D$12)</f>
        <v>0</v>
      </c>
      <c r="G81" s="4"/>
      <c r="H81" s="4"/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/>
      <c r="Q81" s="4"/>
      <c r="R81" s="12">
        <f>IF(P$12=0,0,P81/P$12)</f>
        <v>0</v>
      </c>
      <c r="S81" s="4"/>
      <c r="T81" s="4"/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4</v>
      </c>
      <c r="C83" s="26"/>
      <c r="D83" s="34">
        <f>+D79-D81</f>
        <v>-65.73</v>
      </c>
      <c r="E83" s="13"/>
      <c r="F83" s="35">
        <f>IF(D$12=0,0,D83/D$12)</f>
        <v>0</v>
      </c>
      <c r="G83" s="13"/>
      <c r="H83" s="34">
        <f>+H79-H81</f>
        <v>-630</v>
      </c>
      <c r="I83" s="13"/>
      <c r="J83" s="35">
        <f>IF(H$12=0,0,H83/H$12)</f>
        <v>0</v>
      </c>
      <c r="K83" s="15"/>
      <c r="L83" s="34">
        <f>D83-H83</f>
        <v>564.27</v>
      </c>
      <c r="M83" s="15"/>
      <c r="N83" s="35">
        <f>IF(H83=0,0,L83/H83)</f>
        <v>-0.89566666666666661</v>
      </c>
      <c r="O83" s="25"/>
      <c r="P83" s="34">
        <f>+P79-P81</f>
        <v>-4565.7</v>
      </c>
      <c r="Q83" s="13"/>
      <c r="R83" s="35">
        <f>IF(P$12=0,0,P83/P$12)</f>
        <v>0</v>
      </c>
      <c r="S83" s="13"/>
      <c r="T83" s="34">
        <f>+T79-T81</f>
        <v>-2520</v>
      </c>
      <c r="U83" s="13"/>
      <c r="V83" s="35">
        <f>IF(T$12=0,0,T83/T$12)</f>
        <v>0</v>
      </c>
      <c r="W83" s="15"/>
      <c r="X83" s="34">
        <f>P83-T83</f>
        <v>-2045.6999999999998</v>
      </c>
      <c r="Y83" s="15"/>
      <c r="Z83" s="35">
        <f>IF(T83=0,0,X83/T83)</f>
        <v>0.81178571428571422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5</v>
      </c>
      <c r="C86" s="26"/>
      <c r="D86" s="30">
        <f>SUM(D83:D85)</f>
        <v>-65.73</v>
      </c>
      <c r="E86" s="13"/>
      <c r="F86" s="32">
        <f>IF(D$12=0,0,D86/D$12)</f>
        <v>0</v>
      </c>
      <c r="G86" s="13"/>
      <c r="H86" s="30">
        <f>SUM(H83:H85)</f>
        <v>-630</v>
      </c>
      <c r="I86" s="13"/>
      <c r="J86" s="32">
        <f>IF(H$12=0,0,H86/H$12)</f>
        <v>0</v>
      </c>
      <c r="K86" s="15"/>
      <c r="L86" s="30">
        <f>+D86-H86</f>
        <v>564.27</v>
      </c>
      <c r="M86" s="15"/>
      <c r="N86" s="32">
        <f>IF(H86=0,0,L86/H86)</f>
        <v>-0.89566666666666661</v>
      </c>
      <c r="O86" s="25"/>
      <c r="P86" s="30">
        <f>SUM(P83:P85)</f>
        <v>-4565.7</v>
      </c>
      <c r="Q86" s="13"/>
      <c r="R86" s="32">
        <f>IF(P$12=0,0,P86/P$12)</f>
        <v>0</v>
      </c>
      <c r="S86" s="13"/>
      <c r="T86" s="30">
        <f>SUM(T83:T85)</f>
        <v>-2520</v>
      </c>
      <c r="U86" s="13"/>
      <c r="V86" s="32">
        <f>IF(T$12=0,0,T86/T$12)</f>
        <v>0</v>
      </c>
      <c r="W86" s="15"/>
      <c r="X86" s="30">
        <f>+P86-T86</f>
        <v>-2045.6999999999998</v>
      </c>
      <c r="Y86" s="15"/>
      <c r="Z86" s="32">
        <f>IF(T86=0,0,X86/T86)</f>
        <v>0.81178571428571422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60">
        <v>44151.56865760417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8" t="s">
        <v>314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53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","414", " - ", "Starbucks UDP")</f>
        <v>Department 414 - Starbucks UDP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974.91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974.91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--974.91</f>
        <v>974.91</v>
      </c>
      <c r="Q14" s="2"/>
      <c r="R14" s="22"/>
      <c r="S14" s="2"/>
      <c r="T14" s="2"/>
      <c r="U14" s="2"/>
      <c r="V14" s="22"/>
      <c r="W14" s="2"/>
      <c r="X14" s="2">
        <f t="shared" si="2"/>
        <v>974.91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0</v>
      </c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0</f>
        <v>0</v>
      </c>
      <c r="Q15" s="2"/>
      <c r="R15" s="22"/>
      <c r="S15" s="2"/>
      <c r="T15" s="2">
        <v>0</v>
      </c>
      <c r="U15" s="2"/>
      <c r="V15" s="22"/>
      <c r="W15" s="2"/>
      <c r="X15" s="2">
        <f t="shared" si="2"/>
        <v>0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0</v>
      </c>
      <c r="E17" s="4"/>
      <c r="F17" s="12">
        <f t="shared" ref="F17:F18" si="5">IF(D$12=0,0,D17/D$12)</f>
        <v>0</v>
      </c>
      <c r="G17" s="4"/>
      <c r="H17" s="4">
        <f>SUM(OSRRefH16x_0)</f>
        <v>0</v>
      </c>
      <c r="I17" s="4"/>
      <c r="J17" s="12">
        <f t="shared" ref="J17:J18" si="6">IF(H$12=0,0,H17/H$12)</f>
        <v>0</v>
      </c>
      <c r="K17" s="4"/>
      <c r="L17" s="4">
        <f t="shared" ref="L17:L18" si="7">+D17-H17</f>
        <v>0</v>
      </c>
      <c r="M17" s="4"/>
      <c r="N17" s="12">
        <f t="shared" ref="N17:N18" si="8">IF(H17=0,0,L17/H17)</f>
        <v>0</v>
      </c>
      <c r="O17" s="10"/>
      <c r="P17" s="4">
        <f>SUM(OSRRefP16x_0)</f>
        <v>0</v>
      </c>
      <c r="Q17" s="4"/>
      <c r="R17" s="12">
        <f t="shared" ref="R17:R18" si="9">IF(P$12=0,0,P17/P$12)</f>
        <v>0</v>
      </c>
      <c r="S17" s="4"/>
      <c r="T17" s="4">
        <f>SUM(OSRRefT16x_0)</f>
        <v>0</v>
      </c>
      <c r="U17" s="4"/>
      <c r="V17" s="12">
        <f t="shared" ref="V17:V18" si="10">IF(T$12=0,0,T17/T$12)</f>
        <v>0</v>
      </c>
      <c r="W17" s="4"/>
      <c r="X17" s="4">
        <f t="shared" ref="X17:X18" si="11">+P17-T17</f>
        <v>0</v>
      </c>
      <c r="Y17" s="4"/>
      <c r="Z17" s="12">
        <f t="shared" ref="Z17:Z18" si="12">IF(T17=0,0,X17/T17)</f>
        <v>0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5"/>
        <v>0</v>
      </c>
      <c r="G18" s="2"/>
      <c r="H18" s="2">
        <v>0</v>
      </c>
      <c r="I18" s="2"/>
      <c r="J18" s="22">
        <f t="shared" si="6"/>
        <v>0</v>
      </c>
      <c r="K18" s="2"/>
      <c r="L18" s="2">
        <f t="shared" si="7"/>
        <v>0</v>
      </c>
      <c r="M18" s="2"/>
      <c r="N18" s="22">
        <f t="shared" si="8"/>
        <v>0</v>
      </c>
      <c r="O18" s="11"/>
      <c r="P18" s="2"/>
      <c r="Q18" s="2"/>
      <c r="R18" s="22">
        <f t="shared" si="9"/>
        <v>0</v>
      </c>
      <c r="S18" s="2"/>
      <c r="T18" s="2">
        <v>0</v>
      </c>
      <c r="U18" s="2"/>
      <c r="V18" s="22">
        <f t="shared" si="10"/>
        <v>0</v>
      </c>
      <c r="W18" s="2"/>
      <c r="X18" s="2">
        <f t="shared" si="11"/>
        <v>0</v>
      </c>
      <c r="Y18" s="2"/>
      <c r="Z18" s="22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D12-D17</f>
        <v>0</v>
      </c>
      <c r="E20" s="13"/>
      <c r="F20" s="19">
        <f>IF(D$12=0,0,D20/D$12)</f>
        <v>0</v>
      </c>
      <c r="G20" s="13"/>
      <c r="H20" s="20">
        <f>H12-H17</f>
        <v>0</v>
      </c>
      <c r="I20" s="13"/>
      <c r="J20" s="19">
        <f>IF(H$12=0,0,H20/H$12)</f>
        <v>0</v>
      </c>
      <c r="K20" s="15"/>
      <c r="L20" s="20">
        <f>+D20-H20</f>
        <v>0</v>
      </c>
      <c r="M20" s="15"/>
      <c r="N20" s="19">
        <f>IF(H20=0,0,L20/H20)</f>
        <v>0</v>
      </c>
      <c r="O20" s="25"/>
      <c r="P20" s="20">
        <f>P12-P17</f>
        <v>974.91</v>
      </c>
      <c r="Q20" s="13"/>
      <c r="R20" s="19">
        <f>IF(P$12=0,0,P20/P$12)</f>
        <v>1</v>
      </c>
      <c r="S20" s="13"/>
      <c r="T20" s="20">
        <f>T12-T17</f>
        <v>0</v>
      </c>
      <c r="U20" s="13"/>
      <c r="V20" s="19">
        <f>IF(T$12=0,0,T20/T$12)</f>
        <v>0</v>
      </c>
      <c r="W20" s="15"/>
      <c r="X20" s="20">
        <f>+P20-T20</f>
        <v>974.91</v>
      </c>
      <c r="Y20" s="15"/>
      <c r="Z20" s="19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1825.26</v>
      </c>
      <c r="E22" s="21"/>
      <c r="F22" s="31">
        <f t="shared" ref="F22:F32" si="13">IF(D$12=0,0,D22/D$12)</f>
        <v>0</v>
      </c>
      <c r="G22" s="21"/>
      <c r="H22" s="21">
        <f>SUM(OSRRefH22x_0)</f>
        <v>1972</v>
      </c>
      <c r="I22" s="21"/>
      <c r="J22" s="31">
        <f t="shared" ref="J22:J32" si="14">IF(H$12=0,0,H22/H$12)</f>
        <v>0</v>
      </c>
      <c r="K22" s="4"/>
      <c r="L22" s="21">
        <f t="shared" ref="L22:L32" si="15">+D22-H22</f>
        <v>-146.74</v>
      </c>
      <c r="M22" s="4"/>
      <c r="N22" s="31">
        <f t="shared" ref="N22:N32" si="16">IF(H22=0,0,L22/H22)</f>
        <v>-7.4411764705882358E-2</v>
      </c>
      <c r="O22" s="10"/>
      <c r="P22" s="21">
        <f>SUM(OSRRefP22x_0)</f>
        <v>8622.7999999999993</v>
      </c>
      <c r="Q22" s="21"/>
      <c r="R22" s="31">
        <f t="shared" ref="R22:R32" si="17">IF(P$12=0,0,P22/P$12)</f>
        <v>8.8447138710239912</v>
      </c>
      <c r="S22" s="21"/>
      <c r="T22" s="21">
        <f>SUM(OSRRefT22x_0)</f>
        <v>7888</v>
      </c>
      <c r="U22" s="21"/>
      <c r="V22" s="31">
        <f t="shared" ref="V22:V32" si="18">IF(T$12=0,0,T22/T$12)</f>
        <v>0</v>
      </c>
      <c r="W22" s="4"/>
      <c r="X22" s="21">
        <f t="shared" ref="X22:X32" si="19">+P22-T22</f>
        <v>734.79999999999927</v>
      </c>
      <c r="Y22" s="4"/>
      <c r="Z22" s="31">
        <f t="shared" ref="Z22:Z32" si="20">IF(T22=0,0,X22/T22)</f>
        <v>9.3154158215010052E-2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0</v>
      </c>
      <c r="M23" s="1"/>
      <c r="N23" s="5">
        <f t="shared" si="16"/>
        <v>0</v>
      </c>
      <c r="O23" s="14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702.51</v>
      </c>
      <c r="Y23" s="1"/>
      <c r="Z23" s="5">
        <f t="shared" si="20"/>
        <v>0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3"/>
        <v>0</v>
      </c>
      <c r="G24" s="2"/>
      <c r="H24" s="7">
        <v>0</v>
      </c>
      <c r="I24" s="2"/>
      <c r="J24" s="6">
        <f t="shared" si="14"/>
        <v>0</v>
      </c>
      <c r="K24" s="2"/>
      <c r="L24" s="7">
        <f t="shared" si="15"/>
        <v>0</v>
      </c>
      <c r="M24" s="2"/>
      <c r="N24" s="6">
        <f t="shared" si="16"/>
        <v>0</v>
      </c>
      <c r="O24" s="11"/>
      <c r="P24" s="7"/>
      <c r="Q24" s="2"/>
      <c r="R24" s="6">
        <f t="shared" si="17"/>
        <v>0</v>
      </c>
      <c r="S24" s="2"/>
      <c r="T24" s="7">
        <v>0</v>
      </c>
      <c r="U24" s="2"/>
      <c r="V24" s="6">
        <f t="shared" si="18"/>
        <v>0</v>
      </c>
      <c r="W24" s="2"/>
      <c r="X24" s="7">
        <f t="shared" si="19"/>
        <v>0</v>
      </c>
      <c r="Y24" s="2"/>
      <c r="Z24" s="6">
        <f t="shared" si="20"/>
        <v>0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3"/>
        <v>0</v>
      </c>
      <c r="G25" s="2"/>
      <c r="H25" s="7">
        <v>0</v>
      </c>
      <c r="I25" s="2"/>
      <c r="J25" s="6">
        <f t="shared" si="14"/>
        <v>0</v>
      </c>
      <c r="K25" s="2"/>
      <c r="L25" s="7">
        <f t="shared" si="15"/>
        <v>0</v>
      </c>
      <c r="M25" s="2"/>
      <c r="N25" s="6">
        <f t="shared" si="16"/>
        <v>0</v>
      </c>
      <c r="O25" s="11"/>
      <c r="P25" s="7"/>
      <c r="Q25" s="2"/>
      <c r="R25" s="6">
        <f t="shared" si="17"/>
        <v>0</v>
      </c>
      <c r="S25" s="2"/>
      <c r="T25" s="7">
        <v>0</v>
      </c>
      <c r="U25" s="2"/>
      <c r="V25" s="6">
        <f t="shared" si="18"/>
        <v>0</v>
      </c>
      <c r="W25" s="2"/>
      <c r="X25" s="7">
        <f t="shared" si="19"/>
        <v>0</v>
      </c>
      <c r="Y25" s="2"/>
      <c r="Z25" s="6">
        <f t="shared" si="20"/>
        <v>0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3"/>
        <v>0</v>
      </c>
      <c r="G26" s="2"/>
      <c r="H26" s="7">
        <v>0</v>
      </c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>
        <v>702.51</v>
      </c>
      <c r="Q26" s="2"/>
      <c r="R26" s="6">
        <f t="shared" si="17"/>
        <v>0.72058959288549718</v>
      </c>
      <c r="S26" s="2"/>
      <c r="T26" s="7">
        <v>0</v>
      </c>
      <c r="U26" s="2"/>
      <c r="V26" s="6">
        <f t="shared" si="18"/>
        <v>0</v>
      </c>
      <c r="W26" s="2"/>
      <c r="X26" s="7">
        <f t="shared" si="19"/>
        <v>702.51</v>
      </c>
      <c r="Y26" s="2"/>
      <c r="Z26" s="6">
        <f t="shared" si="20"/>
        <v>0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/>
      <c r="Q27" s="2"/>
      <c r="R27" s="6">
        <f t="shared" si="17"/>
        <v>0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0</v>
      </c>
      <c r="Y27" s="2"/>
      <c r="Z27" s="6">
        <f t="shared" si="20"/>
        <v>0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/>
      <c r="Q28" s="2"/>
      <c r="R28" s="6">
        <f t="shared" si="17"/>
        <v>0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0</v>
      </c>
      <c r="Y28" s="2"/>
      <c r="Z28" s="6">
        <f t="shared" si="20"/>
        <v>0</v>
      </c>
    </row>
    <row r="29" spans="1:26" s="24" customFormat="1" hidden="1" outlineLevel="2" x14ac:dyDescent="0.25">
      <c r="A29" s="28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/>
      <c r="Q29" s="2"/>
      <c r="R29" s="6">
        <f t="shared" si="17"/>
        <v>0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0</v>
      </c>
      <c r="Y29" s="2"/>
      <c r="Z29" s="6">
        <f t="shared" si="20"/>
        <v>0</v>
      </c>
    </row>
    <row r="30" spans="1:26" s="24" customFormat="1" hidden="1" outlineLevel="2" x14ac:dyDescent="0.25">
      <c r="A30" s="28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25">
      <c r="A31" s="28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8"/>
      <c r="B32" s="11" t="str">
        <f>CONCATENATE("          ", "6156", " - ", "EMPLOYEE MEALS")</f>
        <v xml:space="preserve">          6156 - EMPLOYEE MEALS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7" customFormat="1" outlineLevel="1" collapsed="1" x14ac:dyDescent="0.25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1">IF(D$12=0,0,D33/D$12)</f>
        <v>0</v>
      </c>
      <c r="G33" s="1"/>
      <c r="H33" s="1">
        <f>SUM(OSRRefH22_1x_0)</f>
        <v>0</v>
      </c>
      <c r="I33" s="1"/>
      <c r="J33" s="5">
        <f t="shared" ref="J33:J43" si="22">IF(H$12=0,0,H33/H$12)</f>
        <v>0</v>
      </c>
      <c r="K33" s="1"/>
      <c r="L33" s="1">
        <f t="shared" ref="L33:L43" si="23">+D33-H33</f>
        <v>0</v>
      </c>
      <c r="M33" s="1"/>
      <c r="N33" s="5">
        <f t="shared" ref="N33:N43" si="24">IF(H33=0,0,L33/H33)</f>
        <v>0</v>
      </c>
      <c r="O33" s="14"/>
      <c r="P33" s="1">
        <f>SUM(OSRRefP22_1x_0)</f>
        <v>0</v>
      </c>
      <c r="Q33" s="1"/>
      <c r="R33" s="5">
        <f t="shared" ref="R33:R43" si="25">IF(P$12=0,0,P33/P$12)</f>
        <v>0</v>
      </c>
      <c r="S33" s="1"/>
      <c r="T33" s="1">
        <f>SUM(OSRRefT22_1x_0)</f>
        <v>0</v>
      </c>
      <c r="U33" s="1"/>
      <c r="V33" s="5">
        <f t="shared" ref="V33:V43" si="26">IF(T$12=0,0,T33/T$12)</f>
        <v>0</v>
      </c>
      <c r="W33" s="1"/>
      <c r="X33" s="1">
        <f t="shared" ref="X33:X43" si="27">+P33-T33</f>
        <v>0</v>
      </c>
      <c r="Y33" s="1"/>
      <c r="Z33" s="5">
        <f t="shared" ref="Z33:Z43" si="28">IF(T33=0,0,X33/T33)</f>
        <v>0</v>
      </c>
    </row>
    <row r="34" spans="1:26" s="24" customFormat="1" hidden="1" outlineLevel="2" x14ac:dyDescent="0.25">
      <c r="A34" s="28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1"/>
        <v>0</v>
      </c>
      <c r="G34" s="2"/>
      <c r="H34" s="7">
        <v>0</v>
      </c>
      <c r="I34" s="2"/>
      <c r="J34" s="6">
        <f t="shared" si="22"/>
        <v>0</v>
      </c>
      <c r="K34" s="2"/>
      <c r="L34" s="7">
        <f t="shared" si="23"/>
        <v>0</v>
      </c>
      <c r="M34" s="2"/>
      <c r="N34" s="6">
        <f t="shared" si="24"/>
        <v>0</v>
      </c>
      <c r="O34" s="11"/>
      <c r="P34" s="7"/>
      <c r="Q34" s="2"/>
      <c r="R34" s="6">
        <f t="shared" si="25"/>
        <v>0</v>
      </c>
      <c r="S34" s="2"/>
      <c r="T34" s="7">
        <v>0</v>
      </c>
      <c r="U34" s="2"/>
      <c r="V34" s="6">
        <f t="shared" si="26"/>
        <v>0</v>
      </c>
      <c r="W34" s="2"/>
      <c r="X34" s="7">
        <f t="shared" si="27"/>
        <v>0</v>
      </c>
      <c r="Y34" s="2"/>
      <c r="Z34" s="6">
        <f t="shared" si="28"/>
        <v>0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25">
      <c r="A36" s="28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8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8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8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8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8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8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8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7" customFormat="1" outlineLevel="1" collapsed="1" x14ac:dyDescent="0.25">
      <c r="A44" s="29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8" si="29">IF(D$12=0,0,D44/D$12)</f>
        <v>0</v>
      </c>
      <c r="G44" s="1"/>
      <c r="H44" s="1">
        <f>SUM(OSRRefH22_2x_0)</f>
        <v>0</v>
      </c>
      <c r="I44" s="1"/>
      <c r="J44" s="5">
        <f t="shared" ref="J44:J58" si="30">IF(H$12=0,0,H44/H$12)</f>
        <v>0</v>
      </c>
      <c r="K44" s="1"/>
      <c r="L44" s="1">
        <f t="shared" ref="L44:L58" si="31">+D44-H44</f>
        <v>0</v>
      </c>
      <c r="M44" s="1"/>
      <c r="N44" s="5">
        <f t="shared" ref="N44:N58" si="32">IF(H44=0,0,L44/H44)</f>
        <v>0</v>
      </c>
      <c r="O44" s="14"/>
      <c r="P44" s="1">
        <f>SUM(OSRRefP22_2x_0)</f>
        <v>0</v>
      </c>
      <c r="Q44" s="1"/>
      <c r="R44" s="5">
        <f t="shared" ref="R44:R58" si="33">IF(P$12=0,0,P44/P$12)</f>
        <v>0</v>
      </c>
      <c r="S44" s="1"/>
      <c r="T44" s="1">
        <f>SUM(OSRRefT22_2x_0)</f>
        <v>0</v>
      </c>
      <c r="U44" s="1"/>
      <c r="V44" s="5">
        <f t="shared" ref="V44:V58" si="34">IF(T$12=0,0,T44/T$12)</f>
        <v>0</v>
      </c>
      <c r="W44" s="1"/>
      <c r="X44" s="1">
        <f t="shared" ref="X44:X58" si="35">+P44-T44</f>
        <v>0</v>
      </c>
      <c r="Y44" s="1"/>
      <c r="Z44" s="5">
        <f t="shared" ref="Z44:Z58" si="36">IF(T44=0,0,X44/T44)</f>
        <v>0</v>
      </c>
    </row>
    <row r="45" spans="1:26" s="24" customFormat="1" hidden="1" outlineLevel="2" x14ac:dyDescent="0.25">
      <c r="A45" s="28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29"/>
        <v>0</v>
      </c>
      <c r="G45" s="2"/>
      <c r="H45" s="7">
        <v>0</v>
      </c>
      <c r="I45" s="2"/>
      <c r="J45" s="6">
        <f t="shared" si="30"/>
        <v>0</v>
      </c>
      <c r="K45" s="2"/>
      <c r="L45" s="7">
        <f t="shared" si="31"/>
        <v>0</v>
      </c>
      <c r="M45" s="2"/>
      <c r="N45" s="6">
        <f t="shared" si="32"/>
        <v>0</v>
      </c>
      <c r="O45" s="11"/>
      <c r="P45" s="7"/>
      <c r="Q45" s="2"/>
      <c r="R45" s="6">
        <f t="shared" si="33"/>
        <v>0</v>
      </c>
      <c r="S45" s="2"/>
      <c r="T45" s="7">
        <v>0</v>
      </c>
      <c r="U45" s="2"/>
      <c r="V45" s="6">
        <f t="shared" si="34"/>
        <v>0</v>
      </c>
      <c r="W45" s="2"/>
      <c r="X45" s="7">
        <f t="shared" si="35"/>
        <v>0</v>
      </c>
      <c r="Y45" s="2"/>
      <c r="Z45" s="6">
        <f t="shared" si="36"/>
        <v>0</v>
      </c>
    </row>
    <row r="46" spans="1:26" s="27" customFormat="1" outlineLevel="1" collapsed="1" x14ac:dyDescent="0.25">
      <c r="A46" s="29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</v>
      </c>
      <c r="E46" s="1"/>
      <c r="F46" s="5">
        <f t="shared" si="29"/>
        <v>0</v>
      </c>
      <c r="G46" s="1"/>
      <c r="H46" s="1">
        <f>SUM(OSRRefH22_3x_0)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4"/>
      <c r="P46" s="1">
        <f>SUM(OSRRefP22_3x_0)</f>
        <v>0</v>
      </c>
      <c r="Q46" s="1"/>
      <c r="R46" s="5">
        <f t="shared" si="33"/>
        <v>0</v>
      </c>
      <c r="S46" s="1"/>
      <c r="T46" s="1">
        <f>SUM(OSRRefT22_3x_0)</f>
        <v>0</v>
      </c>
      <c r="U46" s="1"/>
      <c r="V46" s="5">
        <f t="shared" si="34"/>
        <v>0</v>
      </c>
      <c r="W46" s="1"/>
      <c r="X46" s="1">
        <f t="shared" si="35"/>
        <v>0</v>
      </c>
      <c r="Y46" s="1"/>
      <c r="Z46" s="5">
        <f t="shared" si="36"/>
        <v>0</v>
      </c>
    </row>
    <row r="47" spans="1:26" s="24" customFormat="1" hidden="1" outlineLevel="2" x14ac:dyDescent="0.25">
      <c r="A47" s="28"/>
      <c r="B47" s="11" t="str">
        <f>CONCATENATE("          ", "6381", " - ", "BANK/CREDIT CARD FEES")</f>
        <v xml:space="preserve">          6381 - BANK/CREDIT CARD FEES</v>
      </c>
      <c r="C47" s="11"/>
      <c r="D47" s="7"/>
      <c r="E47" s="2"/>
      <c r="F47" s="6">
        <f t="shared" si="29"/>
        <v>0</v>
      </c>
      <c r="G47" s="2"/>
      <c r="H47" s="7">
        <v>0</v>
      </c>
      <c r="I47" s="2"/>
      <c r="J47" s="6">
        <f t="shared" si="30"/>
        <v>0</v>
      </c>
      <c r="K47" s="2"/>
      <c r="L47" s="7">
        <f t="shared" si="31"/>
        <v>0</v>
      </c>
      <c r="M47" s="2"/>
      <c r="N47" s="6">
        <f t="shared" si="32"/>
        <v>0</v>
      </c>
      <c r="O47" s="11"/>
      <c r="P47" s="7"/>
      <c r="Q47" s="2"/>
      <c r="R47" s="6">
        <f t="shared" si="33"/>
        <v>0</v>
      </c>
      <c r="S47" s="2"/>
      <c r="T47" s="7">
        <v>0</v>
      </c>
      <c r="U47" s="2"/>
      <c r="V47" s="6">
        <f t="shared" si="34"/>
        <v>0</v>
      </c>
      <c r="W47" s="2"/>
      <c r="X47" s="7">
        <f t="shared" si="35"/>
        <v>0</v>
      </c>
      <c r="Y47" s="2"/>
      <c r="Z47" s="6">
        <f t="shared" si="36"/>
        <v>0</v>
      </c>
    </row>
    <row r="48" spans="1:26" s="27" customFormat="1" outlineLevel="1" collapsed="1" x14ac:dyDescent="0.25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1825.26</v>
      </c>
      <c r="E48" s="1"/>
      <c r="F48" s="5">
        <f t="shared" si="29"/>
        <v>0</v>
      </c>
      <c r="G48" s="1"/>
      <c r="H48" s="1">
        <f>SUM(OSRRefH22_4x_0)</f>
        <v>1972</v>
      </c>
      <c r="I48" s="1"/>
      <c r="J48" s="5">
        <f t="shared" si="30"/>
        <v>0</v>
      </c>
      <c r="K48" s="1"/>
      <c r="L48" s="1">
        <f t="shared" si="31"/>
        <v>-146.74</v>
      </c>
      <c r="M48" s="1"/>
      <c r="N48" s="5">
        <f t="shared" si="32"/>
        <v>-7.4411764705882358E-2</v>
      </c>
      <c r="O48" s="14"/>
      <c r="P48" s="1">
        <f>SUM(OSRRefP22_4x_0)</f>
        <v>7447.83</v>
      </c>
      <c r="Q48" s="1"/>
      <c r="R48" s="5">
        <f t="shared" si="33"/>
        <v>7.6395051850940092</v>
      </c>
      <c r="S48" s="1"/>
      <c r="T48" s="1">
        <f>SUM(OSRRefT22_4x_0)</f>
        <v>7888</v>
      </c>
      <c r="U48" s="1"/>
      <c r="V48" s="5">
        <f t="shared" si="34"/>
        <v>0</v>
      </c>
      <c r="W48" s="1"/>
      <c r="X48" s="1">
        <f t="shared" si="35"/>
        <v>-440.17000000000007</v>
      </c>
      <c r="Y48" s="1"/>
      <c r="Z48" s="5">
        <f t="shared" si="36"/>
        <v>-5.5802484787018262E-2</v>
      </c>
    </row>
    <row r="49" spans="1:26" s="24" customFormat="1" hidden="1" outlineLevel="2" x14ac:dyDescent="0.25">
      <c r="A49" s="28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1825.26</v>
      </c>
      <c r="E49" s="2"/>
      <c r="F49" s="6">
        <f t="shared" si="29"/>
        <v>0</v>
      </c>
      <c r="G49" s="2"/>
      <c r="H49" s="7">
        <v>1972</v>
      </c>
      <c r="I49" s="2"/>
      <c r="J49" s="6">
        <f t="shared" si="30"/>
        <v>0</v>
      </c>
      <c r="K49" s="2"/>
      <c r="L49" s="7">
        <f t="shared" si="31"/>
        <v>-146.74</v>
      </c>
      <c r="M49" s="2"/>
      <c r="N49" s="6">
        <f t="shared" si="32"/>
        <v>-7.4411764705882358E-2</v>
      </c>
      <c r="O49" s="11"/>
      <c r="P49" s="7">
        <v>7447.83</v>
      </c>
      <c r="Q49" s="2"/>
      <c r="R49" s="6">
        <f t="shared" si="33"/>
        <v>7.6395051850940092</v>
      </c>
      <c r="S49" s="2"/>
      <c r="T49" s="7">
        <v>7888</v>
      </c>
      <c r="U49" s="2"/>
      <c r="V49" s="6">
        <f t="shared" si="34"/>
        <v>0</v>
      </c>
      <c r="W49" s="2"/>
      <c r="X49" s="7">
        <f t="shared" si="35"/>
        <v>-440.17000000000007</v>
      </c>
      <c r="Y49" s="2"/>
      <c r="Z49" s="6">
        <f t="shared" si="36"/>
        <v>-5.5802484787018262E-2</v>
      </c>
    </row>
    <row r="50" spans="1:26" s="27" customFormat="1" outlineLevel="1" collapsed="1" x14ac:dyDescent="0.25">
      <c r="A50" s="29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SUM(OSRRefD22_5x_0)</f>
        <v>0</v>
      </c>
      <c r="E50" s="1"/>
      <c r="F50" s="5">
        <f t="shared" si="29"/>
        <v>0</v>
      </c>
      <c r="G50" s="1"/>
      <c r="H50" s="1">
        <f>SUM(OSRRefH22_5x_0)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4"/>
      <c r="P50" s="1">
        <f>SUM(OSRRefP22_5x_0)</f>
        <v>0</v>
      </c>
      <c r="Q50" s="1"/>
      <c r="R50" s="5">
        <f t="shared" si="33"/>
        <v>0</v>
      </c>
      <c r="S50" s="1"/>
      <c r="T50" s="1">
        <f>SUM(OSRRefT22_5x_0)</f>
        <v>0</v>
      </c>
      <c r="U50" s="1"/>
      <c r="V50" s="5">
        <f t="shared" si="34"/>
        <v>0</v>
      </c>
      <c r="W50" s="1"/>
      <c r="X50" s="1">
        <f t="shared" si="35"/>
        <v>0</v>
      </c>
      <c r="Y50" s="1"/>
      <c r="Z50" s="5">
        <f t="shared" si="36"/>
        <v>0</v>
      </c>
    </row>
    <row r="51" spans="1:26" s="24" customFormat="1" hidden="1" outlineLevel="2" x14ac:dyDescent="0.25">
      <c r="A51" s="28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29"/>
        <v>0</v>
      </c>
      <c r="G51" s="2"/>
      <c r="H51" s="7">
        <v>0</v>
      </c>
      <c r="I51" s="2"/>
      <c r="J51" s="6">
        <f t="shared" si="30"/>
        <v>0</v>
      </c>
      <c r="K51" s="2"/>
      <c r="L51" s="7">
        <f t="shared" si="31"/>
        <v>0</v>
      </c>
      <c r="M51" s="2"/>
      <c r="N51" s="6">
        <f t="shared" si="32"/>
        <v>0</v>
      </c>
      <c r="O51" s="11"/>
      <c r="P51" s="7"/>
      <c r="Q51" s="2"/>
      <c r="R51" s="6">
        <f t="shared" si="33"/>
        <v>0</v>
      </c>
      <c r="S51" s="2"/>
      <c r="T51" s="7">
        <v>0</v>
      </c>
      <c r="U51" s="2"/>
      <c r="V51" s="6">
        <f t="shared" si="34"/>
        <v>0</v>
      </c>
      <c r="W51" s="2"/>
      <c r="X51" s="7">
        <f t="shared" si="35"/>
        <v>0</v>
      </c>
      <c r="Y51" s="2"/>
      <c r="Z51" s="6">
        <f t="shared" si="36"/>
        <v>0</v>
      </c>
    </row>
    <row r="52" spans="1:26" s="27" customFormat="1" outlineLevel="1" collapsed="1" x14ac:dyDescent="0.25">
      <c r="A52" s="29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SUM(OSRRefD22_6x_0)</f>
        <v>0</v>
      </c>
      <c r="E52" s="1"/>
      <c r="F52" s="5">
        <f t="shared" si="29"/>
        <v>0</v>
      </c>
      <c r="G52" s="1"/>
      <c r="H52" s="1">
        <f>SUM(OSRRefH22_6x_0)</f>
        <v>0</v>
      </c>
      <c r="I52" s="1"/>
      <c r="J52" s="5">
        <f t="shared" si="30"/>
        <v>0</v>
      </c>
      <c r="K52" s="1"/>
      <c r="L52" s="1">
        <f t="shared" si="31"/>
        <v>0</v>
      </c>
      <c r="M52" s="1"/>
      <c r="N52" s="5">
        <f t="shared" si="32"/>
        <v>0</v>
      </c>
      <c r="O52" s="14"/>
      <c r="P52" s="1">
        <f>SUM(OSRRefP22_6x_0)</f>
        <v>96.3</v>
      </c>
      <c r="Q52" s="1"/>
      <c r="R52" s="5">
        <f t="shared" si="33"/>
        <v>9.8778348770655749E-2</v>
      </c>
      <c r="S52" s="1"/>
      <c r="T52" s="1">
        <f>SUM(OSRRefT22_6x_0)</f>
        <v>0</v>
      </c>
      <c r="U52" s="1"/>
      <c r="V52" s="5">
        <f t="shared" si="34"/>
        <v>0</v>
      </c>
      <c r="W52" s="1"/>
      <c r="X52" s="1">
        <f t="shared" si="35"/>
        <v>96.3</v>
      </c>
      <c r="Y52" s="1"/>
      <c r="Z52" s="5">
        <f t="shared" si="36"/>
        <v>0</v>
      </c>
    </row>
    <row r="53" spans="1:26" s="24" customFormat="1" hidden="1" outlineLevel="2" x14ac:dyDescent="0.25">
      <c r="A53" s="28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29"/>
        <v>0</v>
      </c>
      <c r="G53" s="2"/>
      <c r="H53" s="7"/>
      <c r="I53" s="2"/>
      <c r="J53" s="6">
        <f t="shared" si="30"/>
        <v>0</v>
      </c>
      <c r="K53" s="2"/>
      <c r="L53" s="7">
        <f t="shared" si="31"/>
        <v>0</v>
      </c>
      <c r="M53" s="2"/>
      <c r="N53" s="6">
        <f t="shared" si="32"/>
        <v>0</v>
      </c>
      <c r="O53" s="11"/>
      <c r="P53" s="7">
        <v>96.3</v>
      </c>
      <c r="Q53" s="2"/>
      <c r="R53" s="6">
        <f t="shared" si="33"/>
        <v>9.8778348770655749E-2</v>
      </c>
      <c r="S53" s="2"/>
      <c r="T53" s="7"/>
      <c r="U53" s="2"/>
      <c r="V53" s="6">
        <f t="shared" si="34"/>
        <v>0</v>
      </c>
      <c r="W53" s="2"/>
      <c r="X53" s="7">
        <f t="shared" si="35"/>
        <v>96.3</v>
      </c>
      <c r="Y53" s="2"/>
      <c r="Z53" s="6">
        <f t="shared" si="36"/>
        <v>0</v>
      </c>
    </row>
    <row r="54" spans="1:26" s="27" customFormat="1" outlineLevel="1" collapsed="1" x14ac:dyDescent="0.25">
      <c r="A54" s="29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SUM(OSRRefD22_7x_0)</f>
        <v>0</v>
      </c>
      <c r="E54" s="1"/>
      <c r="F54" s="5">
        <f t="shared" si="29"/>
        <v>0</v>
      </c>
      <c r="G54" s="1"/>
      <c r="H54" s="1">
        <f>SUM(OSRRefH22_7x_0)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4"/>
      <c r="P54" s="1">
        <f>SUM(OSRRefP22_7x_0)</f>
        <v>7.28</v>
      </c>
      <c r="Q54" s="1"/>
      <c r="R54" s="5">
        <f t="shared" si="33"/>
        <v>7.467355961063073E-3</v>
      </c>
      <c r="S54" s="1"/>
      <c r="T54" s="1">
        <f>SUM(OSRRefT22_7x_0)</f>
        <v>0</v>
      </c>
      <c r="U54" s="1"/>
      <c r="V54" s="5">
        <f t="shared" si="34"/>
        <v>0</v>
      </c>
      <c r="W54" s="1"/>
      <c r="X54" s="1">
        <f t="shared" si="35"/>
        <v>7.28</v>
      </c>
      <c r="Y54" s="1"/>
      <c r="Z54" s="5">
        <f t="shared" si="36"/>
        <v>0</v>
      </c>
    </row>
    <row r="55" spans="1:26" s="24" customFormat="1" hidden="1" outlineLevel="2" x14ac:dyDescent="0.25">
      <c r="A55" s="28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0</v>
      </c>
      <c r="M55" s="2"/>
      <c r="N55" s="6">
        <f t="shared" si="32"/>
        <v>0</v>
      </c>
      <c r="O55" s="11"/>
      <c r="P55" s="7">
        <v>7.28</v>
      </c>
      <c r="Q55" s="2"/>
      <c r="R55" s="6">
        <f t="shared" si="33"/>
        <v>7.467355961063073E-3</v>
      </c>
      <c r="S55" s="2"/>
      <c r="T55" s="7">
        <v>0</v>
      </c>
      <c r="U55" s="2"/>
      <c r="V55" s="6">
        <f t="shared" si="34"/>
        <v>0</v>
      </c>
      <c r="W55" s="2"/>
      <c r="X55" s="7">
        <f t="shared" si="35"/>
        <v>7.28</v>
      </c>
      <c r="Y55" s="2"/>
      <c r="Z55" s="6">
        <f t="shared" si="36"/>
        <v>0</v>
      </c>
    </row>
    <row r="56" spans="1:26" s="27" customFormat="1" outlineLevel="1" collapsed="1" x14ac:dyDescent="0.25">
      <c r="A56" s="29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SUM(OSRRefD22_8x_0)</f>
        <v>0</v>
      </c>
      <c r="E56" s="1"/>
      <c r="F56" s="5">
        <f t="shared" si="29"/>
        <v>0</v>
      </c>
      <c r="G56" s="1"/>
      <c r="H56" s="1">
        <f>SUM(OSRRefH22_8x_0)</f>
        <v>0</v>
      </c>
      <c r="I56" s="1"/>
      <c r="J56" s="5">
        <f t="shared" si="30"/>
        <v>0</v>
      </c>
      <c r="K56" s="1"/>
      <c r="L56" s="1">
        <f t="shared" si="31"/>
        <v>0</v>
      </c>
      <c r="M56" s="1"/>
      <c r="N56" s="5">
        <f t="shared" si="32"/>
        <v>0</v>
      </c>
      <c r="O56" s="14"/>
      <c r="P56" s="1">
        <f>SUM(OSRRefP22_8x_0)</f>
        <v>368.88</v>
      </c>
      <c r="Q56" s="1"/>
      <c r="R56" s="5">
        <f t="shared" si="33"/>
        <v>0.37837338831276734</v>
      </c>
      <c r="S56" s="1"/>
      <c r="T56" s="1">
        <f>SUM(OSRRefT22_8x_0)</f>
        <v>0</v>
      </c>
      <c r="U56" s="1"/>
      <c r="V56" s="5">
        <f t="shared" si="34"/>
        <v>0</v>
      </c>
      <c r="W56" s="1"/>
      <c r="X56" s="1">
        <f t="shared" si="35"/>
        <v>368.88</v>
      </c>
      <c r="Y56" s="1"/>
      <c r="Z56" s="5">
        <f t="shared" si="36"/>
        <v>0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0</v>
      </c>
      <c r="M57" s="2"/>
      <c r="N57" s="6">
        <f t="shared" si="32"/>
        <v>0</v>
      </c>
      <c r="O57" s="11"/>
      <c r="P57" s="7">
        <v>168.88</v>
      </c>
      <c r="Q57" s="2"/>
      <c r="R57" s="6">
        <f t="shared" si="33"/>
        <v>0.17322624652532029</v>
      </c>
      <c r="S57" s="2"/>
      <c r="T57" s="7"/>
      <c r="U57" s="2"/>
      <c r="V57" s="6">
        <f t="shared" si="34"/>
        <v>0</v>
      </c>
      <c r="W57" s="2"/>
      <c r="X57" s="7">
        <f t="shared" si="35"/>
        <v>168.88</v>
      </c>
      <c r="Y57" s="2"/>
      <c r="Z57" s="6">
        <f t="shared" si="36"/>
        <v>0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29"/>
        <v>0</v>
      </c>
      <c r="G58" s="2"/>
      <c r="H58" s="7"/>
      <c r="I58" s="2"/>
      <c r="J58" s="6">
        <f t="shared" si="30"/>
        <v>0</v>
      </c>
      <c r="K58" s="2"/>
      <c r="L58" s="7">
        <f t="shared" si="31"/>
        <v>0</v>
      </c>
      <c r="M58" s="2"/>
      <c r="N58" s="6">
        <f t="shared" si="32"/>
        <v>0</v>
      </c>
      <c r="O58" s="11"/>
      <c r="P58" s="7">
        <v>200</v>
      </c>
      <c r="Q58" s="2"/>
      <c r="R58" s="6">
        <f t="shared" si="33"/>
        <v>0.20514714178744706</v>
      </c>
      <c r="S58" s="2"/>
      <c r="T58" s="7"/>
      <c r="U58" s="2"/>
      <c r="V58" s="6">
        <f t="shared" si="34"/>
        <v>0</v>
      </c>
      <c r="W58" s="2"/>
      <c r="X58" s="7">
        <f t="shared" si="35"/>
        <v>200</v>
      </c>
      <c r="Y58" s="2"/>
      <c r="Z58" s="6">
        <f t="shared" si="36"/>
        <v>0</v>
      </c>
    </row>
    <row r="59" spans="1:26" s="27" customFormat="1" outlineLevel="1" collapsed="1" x14ac:dyDescent="0.25">
      <c r="A59" s="29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SUM(OSRRefD22_9x_0)</f>
        <v>0</v>
      </c>
      <c r="E59" s="1"/>
      <c r="F59" s="5">
        <f t="shared" ref="F59:F68" si="37">IF(D$12=0,0,D59/D$12)</f>
        <v>0</v>
      </c>
      <c r="G59" s="1"/>
      <c r="H59" s="1">
        <f>SUM(OSRRefH22_9x_0)</f>
        <v>0</v>
      </c>
      <c r="I59" s="1"/>
      <c r="J59" s="5">
        <f t="shared" ref="J59:J68" si="38">IF(H$12=0,0,H59/H$12)</f>
        <v>0</v>
      </c>
      <c r="K59" s="1"/>
      <c r="L59" s="1">
        <f t="shared" ref="L59:L68" si="39">+D59-H59</f>
        <v>0</v>
      </c>
      <c r="M59" s="1"/>
      <c r="N59" s="5">
        <f t="shared" ref="N59:N68" si="40">IF(H59=0,0,L59/H59)</f>
        <v>0</v>
      </c>
      <c r="O59" s="14"/>
      <c r="P59" s="1">
        <f>SUM(OSRRefP22_9x_0)</f>
        <v>0</v>
      </c>
      <c r="Q59" s="1"/>
      <c r="R59" s="5">
        <f t="shared" ref="R59:R68" si="41">IF(P$12=0,0,P59/P$12)</f>
        <v>0</v>
      </c>
      <c r="S59" s="1"/>
      <c r="T59" s="1">
        <f>SUM(OSRRefT22_9x_0)</f>
        <v>0</v>
      </c>
      <c r="U59" s="1"/>
      <c r="V59" s="5">
        <f t="shared" ref="V59:V68" si="42">IF(T$12=0,0,T59/T$12)</f>
        <v>0</v>
      </c>
      <c r="W59" s="1"/>
      <c r="X59" s="1">
        <f t="shared" ref="X59:X68" si="43">+P59-T59</f>
        <v>0</v>
      </c>
      <c r="Y59" s="1"/>
      <c r="Z59" s="5">
        <f t="shared" ref="Z59:Z68" si="44">IF(T59=0,0,X59/T59)</f>
        <v>0</v>
      </c>
    </row>
    <row r="60" spans="1:26" s="24" customFormat="1" hidden="1" outlineLevel="2" x14ac:dyDescent="0.25">
      <c r="A60" s="28"/>
      <c r="B60" s="11" t="str">
        <f>CONCATENATE("          ", "6259", " - ", "ROYALTY &amp; COMMISSIONS")</f>
        <v xml:space="preserve">          6259 - ROYALTY &amp; COMMISSIONS</v>
      </c>
      <c r="C60" s="11"/>
      <c r="D60" s="7"/>
      <c r="E60" s="2"/>
      <c r="F60" s="6">
        <f t="shared" si="37"/>
        <v>0</v>
      </c>
      <c r="G60" s="2"/>
      <c r="H60" s="7">
        <v>0</v>
      </c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/>
      <c r="Q60" s="2"/>
      <c r="R60" s="6">
        <f t="shared" si="41"/>
        <v>0</v>
      </c>
      <c r="S60" s="2"/>
      <c r="T60" s="7">
        <v>0</v>
      </c>
      <c r="U60" s="2"/>
      <c r="V60" s="6">
        <f t="shared" si="42"/>
        <v>0</v>
      </c>
      <c r="W60" s="2"/>
      <c r="X60" s="7">
        <f t="shared" si="43"/>
        <v>0</v>
      </c>
      <c r="Y60" s="2"/>
      <c r="Z60" s="6">
        <f t="shared" si="44"/>
        <v>0</v>
      </c>
    </row>
    <row r="61" spans="1:26" s="27" customFormat="1" outlineLevel="1" collapsed="1" x14ac:dyDescent="0.25">
      <c r="A61" s="29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SUM(OSRRefD22_10x_0)</f>
        <v>0</v>
      </c>
      <c r="E61" s="1"/>
      <c r="F61" s="5">
        <f t="shared" si="37"/>
        <v>0</v>
      </c>
      <c r="G61" s="1"/>
      <c r="H61" s="1">
        <f>SUM(OSRRefH22_10x_0)</f>
        <v>0</v>
      </c>
      <c r="I61" s="1"/>
      <c r="J61" s="5">
        <f t="shared" si="38"/>
        <v>0</v>
      </c>
      <c r="K61" s="1"/>
      <c r="L61" s="1">
        <f t="shared" si="39"/>
        <v>0</v>
      </c>
      <c r="M61" s="1"/>
      <c r="N61" s="5">
        <f t="shared" si="40"/>
        <v>0</v>
      </c>
      <c r="O61" s="14"/>
      <c r="P61" s="1">
        <f>SUM(OSRRefP22_10x_0)</f>
        <v>0</v>
      </c>
      <c r="Q61" s="1"/>
      <c r="R61" s="5">
        <f t="shared" si="41"/>
        <v>0</v>
      </c>
      <c r="S61" s="1"/>
      <c r="T61" s="1">
        <f>SUM(OSRRefT22_10x_0)</f>
        <v>0</v>
      </c>
      <c r="U61" s="1"/>
      <c r="V61" s="5">
        <f t="shared" si="42"/>
        <v>0</v>
      </c>
      <c r="W61" s="1"/>
      <c r="X61" s="1">
        <f t="shared" si="43"/>
        <v>0</v>
      </c>
      <c r="Y61" s="1"/>
      <c r="Z61" s="5">
        <f t="shared" si="44"/>
        <v>0</v>
      </c>
    </row>
    <row r="62" spans="1:26" s="24" customFormat="1" hidden="1" outlineLevel="2" x14ac:dyDescent="0.25">
      <c r="A62" s="28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37"/>
        <v>0</v>
      </c>
      <c r="G62" s="2"/>
      <c r="H62" s="7">
        <v>0</v>
      </c>
      <c r="I62" s="2"/>
      <c r="J62" s="6">
        <f t="shared" si="38"/>
        <v>0</v>
      </c>
      <c r="K62" s="2"/>
      <c r="L62" s="7">
        <f t="shared" si="39"/>
        <v>0</v>
      </c>
      <c r="M62" s="2"/>
      <c r="N62" s="6">
        <f t="shared" si="40"/>
        <v>0</v>
      </c>
      <c r="O62" s="11"/>
      <c r="P62" s="7"/>
      <c r="Q62" s="2"/>
      <c r="R62" s="6">
        <f t="shared" si="41"/>
        <v>0</v>
      </c>
      <c r="S62" s="2"/>
      <c r="T62" s="7">
        <v>0</v>
      </c>
      <c r="U62" s="2"/>
      <c r="V62" s="6">
        <f t="shared" si="42"/>
        <v>0</v>
      </c>
      <c r="W62" s="2"/>
      <c r="X62" s="7">
        <f t="shared" si="43"/>
        <v>0</v>
      </c>
      <c r="Y62" s="2"/>
      <c r="Z62" s="6">
        <f t="shared" si="44"/>
        <v>0</v>
      </c>
    </row>
    <row r="63" spans="1:26" s="27" customFormat="1" outlineLevel="1" collapsed="1" x14ac:dyDescent="0.25">
      <c r="A63" s="29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SUM(OSRRefD22_11x_0)</f>
        <v>0</v>
      </c>
      <c r="E63" s="1"/>
      <c r="F63" s="5">
        <f t="shared" si="37"/>
        <v>0</v>
      </c>
      <c r="G63" s="1"/>
      <c r="H63" s="1">
        <f>SUM(OSRRefH22_11x_0)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4"/>
      <c r="P63" s="1">
        <f>SUM(OSRRefP22_11x_0)</f>
        <v>0</v>
      </c>
      <c r="Q63" s="1"/>
      <c r="R63" s="5">
        <f t="shared" si="41"/>
        <v>0</v>
      </c>
      <c r="S63" s="1"/>
      <c r="T63" s="1">
        <f>SUM(OSRRefT22_11x_0)</f>
        <v>0</v>
      </c>
      <c r="U63" s="1"/>
      <c r="V63" s="5">
        <f t="shared" si="42"/>
        <v>0</v>
      </c>
      <c r="W63" s="1"/>
      <c r="X63" s="1">
        <f t="shared" si="43"/>
        <v>0</v>
      </c>
      <c r="Y63" s="1"/>
      <c r="Z63" s="5">
        <f t="shared" si="44"/>
        <v>0</v>
      </c>
    </row>
    <row r="64" spans="1:26" s="24" customFormat="1" hidden="1" outlineLevel="2" x14ac:dyDescent="0.25">
      <c r="A64" s="28"/>
      <c r="B64" s="11" t="str">
        <f>CONCATENATE("          ", "6275", " - ", "SUBSCRIPTIONS")</f>
        <v xml:space="preserve">          6275 - SUBSCRIPTIONS</v>
      </c>
      <c r="C64" s="11"/>
      <c r="D64" s="7"/>
      <c r="E64" s="2"/>
      <c r="F64" s="6">
        <f t="shared" si="37"/>
        <v>0</v>
      </c>
      <c r="G64" s="2"/>
      <c r="H64" s="7">
        <v>0</v>
      </c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/>
      <c r="Q64" s="2"/>
      <c r="R64" s="6">
        <f t="shared" si="41"/>
        <v>0</v>
      </c>
      <c r="S64" s="2"/>
      <c r="T64" s="7">
        <v>0</v>
      </c>
      <c r="U64" s="2"/>
      <c r="V64" s="6">
        <f t="shared" si="42"/>
        <v>0</v>
      </c>
      <c r="W64" s="2"/>
      <c r="X64" s="7">
        <f t="shared" si="43"/>
        <v>0</v>
      </c>
      <c r="Y64" s="2"/>
      <c r="Z64" s="6">
        <f t="shared" si="44"/>
        <v>0</v>
      </c>
    </row>
    <row r="65" spans="1:26" s="27" customFormat="1" outlineLevel="1" collapsed="1" x14ac:dyDescent="0.25">
      <c r="A65" s="29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SUM(OSRRefD22_12x_0)</f>
        <v>0</v>
      </c>
      <c r="E65" s="1"/>
      <c r="F65" s="5">
        <f t="shared" si="37"/>
        <v>0</v>
      </c>
      <c r="G65" s="1"/>
      <c r="H65" s="1">
        <f>SUM(OSRRefH22_12x_0)</f>
        <v>0</v>
      </c>
      <c r="I65" s="1"/>
      <c r="J65" s="5">
        <f t="shared" si="38"/>
        <v>0</v>
      </c>
      <c r="K65" s="1"/>
      <c r="L65" s="1">
        <f t="shared" si="39"/>
        <v>0</v>
      </c>
      <c r="M65" s="1"/>
      <c r="N65" s="5">
        <f t="shared" si="40"/>
        <v>0</v>
      </c>
      <c r="O65" s="14"/>
      <c r="P65" s="1">
        <f>SUM(OSRRefP22_12x_0)</f>
        <v>0</v>
      </c>
      <c r="Q65" s="1"/>
      <c r="R65" s="5">
        <f t="shared" si="41"/>
        <v>0</v>
      </c>
      <c r="S65" s="1"/>
      <c r="T65" s="1">
        <f>SUM(OSRRefT22_12x_0)</f>
        <v>0</v>
      </c>
      <c r="U65" s="1"/>
      <c r="V65" s="5">
        <f t="shared" si="42"/>
        <v>0</v>
      </c>
      <c r="W65" s="1"/>
      <c r="X65" s="1">
        <f t="shared" si="43"/>
        <v>0</v>
      </c>
      <c r="Y65" s="1"/>
      <c r="Z65" s="5">
        <f t="shared" si="44"/>
        <v>0</v>
      </c>
    </row>
    <row r="66" spans="1:26" s="24" customFormat="1" hidden="1" outlineLevel="2" x14ac:dyDescent="0.25">
      <c r="A66" s="28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37"/>
        <v>0</v>
      </c>
      <c r="G66" s="2"/>
      <c r="H66" s="7">
        <v>0</v>
      </c>
      <c r="I66" s="2"/>
      <c r="J66" s="6">
        <f t="shared" si="38"/>
        <v>0</v>
      </c>
      <c r="K66" s="2"/>
      <c r="L66" s="7">
        <f t="shared" si="39"/>
        <v>0</v>
      </c>
      <c r="M66" s="2"/>
      <c r="N66" s="6">
        <f t="shared" si="40"/>
        <v>0</v>
      </c>
      <c r="O66" s="11"/>
      <c r="P66" s="7"/>
      <c r="Q66" s="2"/>
      <c r="R66" s="6">
        <f t="shared" si="41"/>
        <v>0</v>
      </c>
      <c r="S66" s="2"/>
      <c r="T66" s="7">
        <v>0</v>
      </c>
      <c r="U66" s="2"/>
      <c r="V66" s="6">
        <f t="shared" si="42"/>
        <v>0</v>
      </c>
      <c r="W66" s="2"/>
      <c r="X66" s="7">
        <f t="shared" si="43"/>
        <v>0</v>
      </c>
      <c r="Y66" s="2"/>
      <c r="Z66" s="6">
        <f t="shared" si="44"/>
        <v>0</v>
      </c>
    </row>
    <row r="67" spans="1:26" s="24" customFormat="1" hidden="1" outlineLevel="2" x14ac:dyDescent="0.25">
      <c r="A67" s="28"/>
      <c r="B67" s="11" t="str">
        <f>CONCATENATE("          ", "6241", " - ", "OFFICE EXPENSE")</f>
        <v xml:space="preserve">          6241 - OFFICE EXPENSE</v>
      </c>
      <c r="C67" s="11"/>
      <c r="D67" s="7"/>
      <c r="E67" s="2"/>
      <c r="F67" s="6">
        <f t="shared" si="37"/>
        <v>0</v>
      </c>
      <c r="G67" s="2"/>
      <c r="H67" s="7">
        <v>0</v>
      </c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/>
      <c r="Q67" s="2"/>
      <c r="R67" s="6">
        <f t="shared" si="41"/>
        <v>0</v>
      </c>
      <c r="S67" s="2"/>
      <c r="T67" s="7">
        <v>0</v>
      </c>
      <c r="U67" s="2"/>
      <c r="V67" s="6">
        <f t="shared" si="42"/>
        <v>0</v>
      </c>
      <c r="W67" s="2"/>
      <c r="X67" s="7">
        <f t="shared" si="43"/>
        <v>0</v>
      </c>
      <c r="Y67" s="2"/>
      <c r="Z67" s="6">
        <f t="shared" si="44"/>
        <v>0</v>
      </c>
    </row>
    <row r="68" spans="1:26" s="24" customFormat="1" hidden="1" outlineLevel="2" x14ac:dyDescent="0.25">
      <c r="A68" s="28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37"/>
        <v>0</v>
      </c>
      <c r="G68" s="2"/>
      <c r="H68" s="7">
        <v>0</v>
      </c>
      <c r="I68" s="2"/>
      <c r="J68" s="6">
        <f t="shared" si="38"/>
        <v>0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/>
      <c r="Q68" s="2"/>
      <c r="R68" s="6">
        <f t="shared" si="41"/>
        <v>0</v>
      </c>
      <c r="S68" s="2"/>
      <c r="T68" s="7">
        <v>0</v>
      </c>
      <c r="U68" s="2"/>
      <c r="V68" s="6">
        <f t="shared" si="42"/>
        <v>0</v>
      </c>
      <c r="W68" s="2"/>
      <c r="X68" s="7">
        <f t="shared" si="43"/>
        <v>0</v>
      </c>
      <c r="Y68" s="2"/>
      <c r="Z68" s="6">
        <f t="shared" si="44"/>
        <v>0</v>
      </c>
    </row>
    <row r="69" spans="1:26" s="27" customFormat="1" outlineLevel="1" collapsed="1" x14ac:dyDescent="0.25">
      <c r="A69" s="29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SUM(OSRRefD22_13x_0)</f>
        <v>0</v>
      </c>
      <c r="E69" s="1"/>
      <c r="F69" s="5">
        <f t="shared" ref="F69:F74" si="45">IF(D$12=0,0,D69/D$12)</f>
        <v>0</v>
      </c>
      <c r="G69" s="1"/>
      <c r="H69" s="1">
        <f>SUM(OSRRefH22_13x_0)</f>
        <v>0</v>
      </c>
      <c r="I69" s="1"/>
      <c r="J69" s="5">
        <f t="shared" ref="J69:J74" si="46">IF(H$12=0,0,H69/H$12)</f>
        <v>0</v>
      </c>
      <c r="K69" s="1"/>
      <c r="L69" s="1">
        <f t="shared" ref="L69:L74" si="47">+D69-H69</f>
        <v>0</v>
      </c>
      <c r="M69" s="1"/>
      <c r="N69" s="5">
        <f t="shared" ref="N69:N74" si="48">IF(H69=0,0,L69/H69)</f>
        <v>0</v>
      </c>
      <c r="O69" s="14"/>
      <c r="P69" s="1">
        <f>SUM(OSRRefP22_13x_0)</f>
        <v>0</v>
      </c>
      <c r="Q69" s="1"/>
      <c r="R69" s="5">
        <f t="shared" ref="R69:R74" si="49">IF(P$12=0,0,P69/P$12)</f>
        <v>0</v>
      </c>
      <c r="S69" s="1"/>
      <c r="T69" s="1">
        <f>SUM(OSRRefT22_13x_0)</f>
        <v>0</v>
      </c>
      <c r="U69" s="1"/>
      <c r="V69" s="5">
        <f t="shared" ref="V69:V74" si="50">IF(T$12=0,0,T69/T$12)</f>
        <v>0</v>
      </c>
      <c r="W69" s="1"/>
      <c r="X69" s="1">
        <f t="shared" ref="X69:X74" si="51">+P69-T69</f>
        <v>0</v>
      </c>
      <c r="Y69" s="1"/>
      <c r="Z69" s="5">
        <f t="shared" ref="Z69:Z74" si="52">IF(T69=0,0,X69/T69)</f>
        <v>0</v>
      </c>
    </row>
    <row r="70" spans="1:26" s="24" customFormat="1" hidden="1" outlineLevel="2" x14ac:dyDescent="0.25">
      <c r="A70" s="28"/>
      <c r="B70" s="11" t="str">
        <f>CONCATENATE("          ", "6309", " - ", "TELEPHONE")</f>
        <v xml:space="preserve">          6309 - TELEPHONE</v>
      </c>
      <c r="C70" s="11"/>
      <c r="D70" s="7"/>
      <c r="E70" s="2"/>
      <c r="F70" s="6">
        <f t="shared" si="45"/>
        <v>0</v>
      </c>
      <c r="G70" s="2"/>
      <c r="H70" s="7">
        <v>0</v>
      </c>
      <c r="I70" s="2"/>
      <c r="J70" s="6">
        <f t="shared" si="46"/>
        <v>0</v>
      </c>
      <c r="K70" s="2"/>
      <c r="L70" s="7">
        <f t="shared" si="47"/>
        <v>0</v>
      </c>
      <c r="M70" s="2"/>
      <c r="N70" s="6">
        <f t="shared" si="48"/>
        <v>0</v>
      </c>
      <c r="O70" s="11"/>
      <c r="P70" s="7"/>
      <c r="Q70" s="2"/>
      <c r="R70" s="6">
        <f t="shared" si="49"/>
        <v>0</v>
      </c>
      <c r="S70" s="2"/>
      <c r="T70" s="7">
        <v>0</v>
      </c>
      <c r="U70" s="2"/>
      <c r="V70" s="6">
        <f t="shared" si="50"/>
        <v>0</v>
      </c>
      <c r="W70" s="2"/>
      <c r="X70" s="7">
        <f t="shared" si="51"/>
        <v>0</v>
      </c>
      <c r="Y70" s="2"/>
      <c r="Z70" s="6">
        <f t="shared" si="52"/>
        <v>0</v>
      </c>
    </row>
    <row r="71" spans="1:26" s="27" customFormat="1" outlineLevel="1" collapsed="1" x14ac:dyDescent="0.25">
      <c r="A71" s="29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SUM(OSRRefD22_14x_0)</f>
        <v>0</v>
      </c>
      <c r="E71" s="1"/>
      <c r="F71" s="5">
        <f t="shared" si="45"/>
        <v>0</v>
      </c>
      <c r="G71" s="1"/>
      <c r="H71" s="1">
        <f>SUM(OSRRefH22_14x_0)</f>
        <v>0</v>
      </c>
      <c r="I71" s="1"/>
      <c r="J71" s="5">
        <f t="shared" si="46"/>
        <v>0</v>
      </c>
      <c r="K71" s="1"/>
      <c r="L71" s="1">
        <f t="shared" si="47"/>
        <v>0</v>
      </c>
      <c r="M71" s="1"/>
      <c r="N71" s="5">
        <f t="shared" si="48"/>
        <v>0</v>
      </c>
      <c r="O71" s="14"/>
      <c r="P71" s="1">
        <f>SUM(OSRRefP22_14x_0)</f>
        <v>0</v>
      </c>
      <c r="Q71" s="1"/>
      <c r="R71" s="5">
        <f t="shared" si="49"/>
        <v>0</v>
      </c>
      <c r="S71" s="1"/>
      <c r="T71" s="1">
        <f>SUM(OSRRefT22_14x_0)</f>
        <v>0</v>
      </c>
      <c r="U71" s="1"/>
      <c r="V71" s="5">
        <f t="shared" si="50"/>
        <v>0</v>
      </c>
      <c r="W71" s="1"/>
      <c r="X71" s="1">
        <f t="shared" si="51"/>
        <v>0</v>
      </c>
      <c r="Y71" s="1"/>
      <c r="Z71" s="5">
        <f t="shared" si="52"/>
        <v>0</v>
      </c>
    </row>
    <row r="72" spans="1:26" s="24" customFormat="1" hidden="1" outlineLevel="2" x14ac:dyDescent="0.25">
      <c r="A72" s="28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45"/>
        <v>0</v>
      </c>
      <c r="G72" s="2"/>
      <c r="H72" s="7"/>
      <c r="I72" s="2"/>
      <c r="J72" s="6">
        <f t="shared" si="46"/>
        <v>0</v>
      </c>
      <c r="K72" s="2"/>
      <c r="L72" s="7">
        <f t="shared" si="47"/>
        <v>0</v>
      </c>
      <c r="M72" s="2"/>
      <c r="N72" s="6">
        <f t="shared" si="48"/>
        <v>0</v>
      </c>
      <c r="O72" s="11"/>
      <c r="P72" s="7"/>
      <c r="Q72" s="2"/>
      <c r="R72" s="6">
        <f t="shared" si="49"/>
        <v>0</v>
      </c>
      <c r="S72" s="2"/>
      <c r="T72" s="7">
        <v>0</v>
      </c>
      <c r="U72" s="2"/>
      <c r="V72" s="6">
        <f t="shared" si="50"/>
        <v>0</v>
      </c>
      <c r="W72" s="2"/>
      <c r="X72" s="7">
        <f t="shared" si="51"/>
        <v>0</v>
      </c>
      <c r="Y72" s="2"/>
      <c r="Z72" s="6">
        <f t="shared" si="52"/>
        <v>0</v>
      </c>
    </row>
    <row r="73" spans="1:26" s="27" customFormat="1" outlineLevel="1" collapsed="1" x14ac:dyDescent="0.25">
      <c r="A73" s="29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SUM(OSRRefD22_15x_0)</f>
        <v>0</v>
      </c>
      <c r="E73" s="1"/>
      <c r="F73" s="5">
        <f t="shared" si="45"/>
        <v>0</v>
      </c>
      <c r="G73" s="1"/>
      <c r="H73" s="1">
        <f>SUM(OSRRefH22_15x_0)</f>
        <v>0</v>
      </c>
      <c r="I73" s="1"/>
      <c r="J73" s="5">
        <f t="shared" si="46"/>
        <v>0</v>
      </c>
      <c r="K73" s="1"/>
      <c r="L73" s="1">
        <f t="shared" si="47"/>
        <v>0</v>
      </c>
      <c r="M73" s="1"/>
      <c r="N73" s="5">
        <f t="shared" si="48"/>
        <v>0</v>
      </c>
      <c r="O73" s="14"/>
      <c r="P73" s="1">
        <f>SUM(OSRRefP22_15x_0)</f>
        <v>0</v>
      </c>
      <c r="Q73" s="1"/>
      <c r="R73" s="5">
        <f t="shared" si="49"/>
        <v>0</v>
      </c>
      <c r="S73" s="1"/>
      <c r="T73" s="1">
        <f>SUM(OSRRefT22_15x_0)</f>
        <v>0</v>
      </c>
      <c r="U73" s="1"/>
      <c r="V73" s="5">
        <f t="shared" si="50"/>
        <v>0</v>
      </c>
      <c r="W73" s="1"/>
      <c r="X73" s="1">
        <f t="shared" si="51"/>
        <v>0</v>
      </c>
      <c r="Y73" s="1"/>
      <c r="Z73" s="5">
        <f t="shared" si="52"/>
        <v>0</v>
      </c>
    </row>
    <row r="74" spans="1:26" s="24" customFormat="1" hidden="1" outlineLevel="2" x14ac:dyDescent="0.25">
      <c r="A74" s="28"/>
      <c r="B74" s="11" t="str">
        <f>CONCATENATE("          ", "6292", " - ", "TRAVEL/CONFERENCE")</f>
        <v xml:space="preserve">          6292 - TRAVEL/CONFERENCE</v>
      </c>
      <c r="C74" s="11"/>
      <c r="D74" s="7"/>
      <c r="E74" s="2"/>
      <c r="F74" s="6">
        <f t="shared" si="45"/>
        <v>0</v>
      </c>
      <c r="G74" s="2"/>
      <c r="H74" s="7"/>
      <c r="I74" s="2"/>
      <c r="J74" s="6">
        <f t="shared" si="46"/>
        <v>0</v>
      </c>
      <c r="K74" s="2"/>
      <c r="L74" s="7">
        <f t="shared" si="47"/>
        <v>0</v>
      </c>
      <c r="M74" s="2"/>
      <c r="N74" s="6">
        <f t="shared" si="48"/>
        <v>0</v>
      </c>
      <c r="O74" s="11"/>
      <c r="P74" s="7"/>
      <c r="Q74" s="2"/>
      <c r="R74" s="6">
        <f t="shared" si="49"/>
        <v>0</v>
      </c>
      <c r="S74" s="2"/>
      <c r="T74" s="7">
        <v>0</v>
      </c>
      <c r="U74" s="2"/>
      <c r="V74" s="6">
        <f t="shared" si="50"/>
        <v>0</v>
      </c>
      <c r="W74" s="2"/>
      <c r="X74" s="7">
        <f t="shared" si="51"/>
        <v>0</v>
      </c>
      <c r="Y74" s="2"/>
      <c r="Z74" s="6">
        <f t="shared" si="52"/>
        <v>0</v>
      </c>
    </row>
    <row r="75" spans="1:26" s="63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5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6" t="s">
        <v>3</v>
      </c>
      <c r="C78" s="26"/>
      <c r="D78" s="20">
        <f>+D20-D22+D76</f>
        <v>-1825.26</v>
      </c>
      <c r="E78" s="13"/>
      <c r="F78" s="19">
        <f>IF(D$12=0,0,D78/D$12)</f>
        <v>0</v>
      </c>
      <c r="G78" s="13"/>
      <c r="H78" s="20">
        <f>+H20-H22+H76</f>
        <v>-1972</v>
      </c>
      <c r="I78" s="13"/>
      <c r="J78" s="19">
        <f>IF(H$12=0,0,H78/H$12)</f>
        <v>0</v>
      </c>
      <c r="K78" s="15"/>
      <c r="L78" s="20">
        <f>+D78-H78</f>
        <v>146.74</v>
      </c>
      <c r="M78" s="15"/>
      <c r="N78" s="19">
        <f>IF(H78=0,0,L78/H78)</f>
        <v>-7.4411764705882358E-2</v>
      </c>
      <c r="O78" s="25"/>
      <c r="P78" s="20">
        <f>+P20-P22+P76</f>
        <v>-7647.8899999999994</v>
      </c>
      <c r="Q78" s="13"/>
      <c r="R78" s="19">
        <f>IF(P$12=0,0,P78/P$12)</f>
        <v>-7.8447138710239912</v>
      </c>
      <c r="S78" s="13"/>
      <c r="T78" s="20">
        <f>+T20-T22+T76</f>
        <v>-7888</v>
      </c>
      <c r="U78" s="13"/>
      <c r="V78" s="19">
        <f>IF(T$12=0,0,T78/T$12)</f>
        <v>0</v>
      </c>
      <c r="W78" s="15"/>
      <c r="X78" s="20">
        <f>+P78-T78</f>
        <v>240.11000000000058</v>
      </c>
      <c r="Y78" s="15"/>
      <c r="Z78" s="19">
        <f>IF(T78=0,0,X78/T78)</f>
        <v>-3.0439908722109606E-2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>
        <v>30.58</v>
      </c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30.58</v>
      </c>
      <c r="M80" s="4"/>
      <c r="N80" s="12">
        <f>IF(H80=0,0,L80/H80)</f>
        <v>0</v>
      </c>
      <c r="O80" s="10"/>
      <c r="P80" s="4">
        <v>211.19</v>
      </c>
      <c r="Q80" s="4"/>
      <c r="R80" s="12">
        <f>IF(P$12=0,0,P80/P$12)</f>
        <v>0.21662512437045472</v>
      </c>
      <c r="S80" s="4"/>
      <c r="T80" s="4"/>
      <c r="U80" s="4"/>
      <c r="V80" s="12">
        <f>IF(T$12=0,0,T80/T$12)</f>
        <v>0</v>
      </c>
      <c r="W80" s="4"/>
      <c r="X80" s="4">
        <f>+P80-T80</f>
        <v>211.19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6" t="s">
        <v>4</v>
      </c>
      <c r="C82" s="26"/>
      <c r="D82" s="34">
        <f>+D78-D80</f>
        <v>-1855.84</v>
      </c>
      <c r="E82" s="13"/>
      <c r="F82" s="35">
        <f>IF(D$12=0,0,D82/D$12)</f>
        <v>0</v>
      </c>
      <c r="G82" s="13"/>
      <c r="H82" s="34">
        <f>+H78-H80</f>
        <v>-1972</v>
      </c>
      <c r="I82" s="13"/>
      <c r="J82" s="35">
        <f>IF(H$12=0,0,H82/H$12)</f>
        <v>0</v>
      </c>
      <c r="K82" s="15"/>
      <c r="L82" s="34">
        <f>D82-H82</f>
        <v>116.16000000000008</v>
      </c>
      <c r="M82" s="15"/>
      <c r="N82" s="35">
        <f>IF(H82=0,0,L82/H82)</f>
        <v>-5.8904665314401666E-2</v>
      </c>
      <c r="O82" s="25"/>
      <c r="P82" s="34">
        <f>+P78-P80</f>
        <v>-7859.079999999999</v>
      </c>
      <c r="Q82" s="13"/>
      <c r="R82" s="35">
        <f>IF(P$12=0,0,P82/P$12)</f>
        <v>-8.0613389953944452</v>
      </c>
      <c r="S82" s="13"/>
      <c r="T82" s="34">
        <f>+T78-T80</f>
        <v>-7888</v>
      </c>
      <c r="U82" s="13"/>
      <c r="V82" s="35">
        <f>IF(T$12=0,0,T82/T$12)</f>
        <v>0</v>
      </c>
      <c r="W82" s="15"/>
      <c r="X82" s="34">
        <f>P82-T82</f>
        <v>28.920000000000982</v>
      </c>
      <c r="Y82" s="15"/>
      <c r="Z82" s="35">
        <f>IF(T82=0,0,X82/T82)</f>
        <v>-3.666328600405804E-3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5</v>
      </c>
      <c r="C85" s="26"/>
      <c r="D85" s="30">
        <f>SUM(D82:D84)</f>
        <v>-1855.84</v>
      </c>
      <c r="E85" s="13"/>
      <c r="F85" s="32">
        <f>IF(D$12=0,0,D85/D$12)</f>
        <v>0</v>
      </c>
      <c r="G85" s="13"/>
      <c r="H85" s="30">
        <f>SUM(H82:H84)</f>
        <v>-1972</v>
      </c>
      <c r="I85" s="13"/>
      <c r="J85" s="32">
        <f>IF(H$12=0,0,H85/H$12)</f>
        <v>0</v>
      </c>
      <c r="K85" s="15"/>
      <c r="L85" s="30">
        <f>+D85-H85</f>
        <v>116.16000000000008</v>
      </c>
      <c r="M85" s="15"/>
      <c r="N85" s="32">
        <f>IF(H85=0,0,L85/H85)</f>
        <v>-5.8904665314401666E-2</v>
      </c>
      <c r="O85" s="25"/>
      <c r="P85" s="30">
        <f>SUM(P82:P84)</f>
        <v>-7859.079999999999</v>
      </c>
      <c r="Q85" s="13"/>
      <c r="R85" s="32">
        <f>IF(P$12=0,0,P85/P$12)</f>
        <v>-8.0613389953944452</v>
      </c>
      <c r="S85" s="13"/>
      <c r="T85" s="30">
        <f>SUM(T82:T84)</f>
        <v>-7888</v>
      </c>
      <c r="U85" s="13"/>
      <c r="V85" s="32">
        <f>IF(T$12=0,0,T85/T$12)</f>
        <v>0</v>
      </c>
      <c r="W85" s="15"/>
      <c r="X85" s="30">
        <f>+P85-T85</f>
        <v>28.920000000000982</v>
      </c>
      <c r="Y85" s="15"/>
      <c r="Z85" s="32">
        <f>IF(T85=0,0,X85/T85)</f>
        <v>-3.666328600405804E-3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60">
        <v>44151.568675462964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8" t="s">
        <v>314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3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299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","415", " - ", "Outpost")</f>
        <v>Department 415 - Outpost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13289.61</v>
      </c>
      <c r="E12" s="4"/>
      <c r="F12" s="12"/>
      <c r="G12" s="4"/>
      <c r="H12" s="4">
        <f>SUM(OSRRefH13x_0)</f>
        <v>27631</v>
      </c>
      <c r="I12" s="4"/>
      <c r="J12" s="12"/>
      <c r="K12" s="4"/>
      <c r="L12" s="4">
        <f t="shared" ref="L12:L16" si="0">+D12-H12</f>
        <v>-14341.39</v>
      </c>
      <c r="M12" s="4"/>
      <c r="N12" s="12">
        <f t="shared" ref="N12:N16" si="1">IF(H12=0,0,L12/H12)</f>
        <v>-0.51903260830226916</v>
      </c>
      <c r="O12" s="10"/>
      <c r="P12" s="4">
        <f>SUM(OSRRefP13x_0)</f>
        <v>26686.2</v>
      </c>
      <c r="Q12" s="4"/>
      <c r="R12" s="12"/>
      <c r="S12" s="4"/>
      <c r="T12" s="4">
        <f>SUM(OSRRefT13x_0)</f>
        <v>61516</v>
      </c>
      <c r="U12" s="4"/>
      <c r="V12" s="12"/>
      <c r="W12" s="4"/>
      <c r="X12" s="4">
        <f t="shared" ref="X12:X16" si="2">+P12-T12</f>
        <v>-34829.800000000003</v>
      </c>
      <c r="Y12" s="4"/>
      <c r="Z12" s="12">
        <f t="shared" ref="Z12:Z16" si="3">IF(T12=0,0,X12/T12)</f>
        <v>-0.566190909682034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8594</v>
      </c>
      <c r="I13" s="2"/>
      <c r="J13" s="22"/>
      <c r="K13" s="2"/>
      <c r="L13" s="2">
        <f t="shared" si="0"/>
        <v>-8594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19133</v>
      </c>
      <c r="U13" s="2"/>
      <c r="V13" s="22"/>
      <c r="W13" s="2"/>
      <c r="X13" s="2">
        <f t="shared" si="2"/>
        <v>-19133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--6097.26</f>
        <v>6097.26</v>
      </c>
      <c r="E14" s="2"/>
      <c r="F14" s="22"/>
      <c r="G14" s="2"/>
      <c r="H14" s="2"/>
      <c r="I14" s="2"/>
      <c r="J14" s="22"/>
      <c r="K14" s="2"/>
      <c r="L14" s="2">
        <f t="shared" si="0"/>
        <v>6097.26</v>
      </c>
      <c r="M14" s="2"/>
      <c r="N14" s="22">
        <f t="shared" si="1"/>
        <v>0</v>
      </c>
      <c r="O14" s="11"/>
      <c r="P14" s="2">
        <f>--12749.94</f>
        <v>12749.94</v>
      </c>
      <c r="Q14" s="2"/>
      <c r="R14" s="22"/>
      <c r="S14" s="2"/>
      <c r="T14" s="2"/>
      <c r="U14" s="2"/>
      <c r="V14" s="22"/>
      <c r="W14" s="2"/>
      <c r="X14" s="2">
        <f t="shared" si="2"/>
        <v>12749.94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2"/>
      <c r="G15" s="2"/>
      <c r="H15" s="2">
        <v>19037</v>
      </c>
      <c r="I15" s="2"/>
      <c r="J15" s="22"/>
      <c r="K15" s="2"/>
      <c r="L15" s="2">
        <f t="shared" si="0"/>
        <v>-19037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42383</v>
      </c>
      <c r="U15" s="2"/>
      <c r="V15" s="22"/>
      <c r="W15" s="2"/>
      <c r="X15" s="2">
        <f t="shared" si="2"/>
        <v>-42383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"4151", " - ", "NON-TAXABLE SALES-FOOD")</f>
        <v xml:space="preserve">          4151 - NON-TAXABLE SALES-FOOD</v>
      </c>
      <c r="C16" s="11"/>
      <c r="D16" s="2">
        <f>--7192.35</f>
        <v>7192.35</v>
      </c>
      <c r="E16" s="2"/>
      <c r="F16" s="22"/>
      <c r="G16" s="2"/>
      <c r="H16" s="2"/>
      <c r="I16" s="2"/>
      <c r="J16" s="22"/>
      <c r="K16" s="2"/>
      <c r="L16" s="2">
        <f t="shared" si="0"/>
        <v>7192.35</v>
      </c>
      <c r="M16" s="2"/>
      <c r="N16" s="22">
        <f t="shared" si="1"/>
        <v>0</v>
      </c>
      <c r="O16" s="11"/>
      <c r="P16" s="2">
        <f>--13936.26</f>
        <v>13936.26</v>
      </c>
      <c r="Q16" s="2"/>
      <c r="R16" s="22"/>
      <c r="S16" s="2"/>
      <c r="T16" s="2"/>
      <c r="U16" s="2"/>
      <c r="V16" s="22"/>
      <c r="W16" s="2"/>
      <c r="X16" s="2">
        <f t="shared" si="2"/>
        <v>13936.26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5796.07</v>
      </c>
      <c r="E18" s="4"/>
      <c r="F18" s="12">
        <f t="shared" ref="F18:F21" si="4">IF(D$12=0,0,D18/D$12)</f>
        <v>0.43613544716511615</v>
      </c>
      <c r="G18" s="4"/>
      <c r="H18" s="4">
        <f>SUM(OSRRefH16x_0)</f>
        <v>7460</v>
      </c>
      <c r="I18" s="4"/>
      <c r="J18" s="12">
        <f t="shared" ref="J18:J21" si="5">IF(H$12=0,0,H18/H$12)</f>
        <v>0.2699866092432413</v>
      </c>
      <c r="K18" s="4"/>
      <c r="L18" s="4">
        <f t="shared" ref="L18:L21" si="6">+D18-H18</f>
        <v>-1663.9300000000003</v>
      </c>
      <c r="M18" s="4"/>
      <c r="N18" s="12">
        <f t="shared" ref="N18:N21" si="7">IF(H18=0,0,L18/H18)</f>
        <v>-0.22304691689008047</v>
      </c>
      <c r="O18" s="10"/>
      <c r="P18" s="4">
        <f>SUM(OSRRefP16x_0)</f>
        <v>11812.47</v>
      </c>
      <c r="Q18" s="4"/>
      <c r="R18" s="12">
        <f t="shared" ref="R18:R21" si="8">IF(P$12=0,0,P18/P$12)</f>
        <v>0.44264338871776421</v>
      </c>
      <c r="S18" s="4"/>
      <c r="T18" s="4">
        <f>SUM(OSRRefT16x_0)</f>
        <v>19308</v>
      </c>
      <c r="U18" s="4"/>
      <c r="V18" s="12">
        <f t="shared" ref="V18:V21" si="9">IF(T$12=0,0,T18/T$12)</f>
        <v>0.31386956239027247</v>
      </c>
      <c r="W18" s="4"/>
      <c r="X18" s="4">
        <f t="shared" ref="X18:X21" si="10">+P18-T18</f>
        <v>-7495.5300000000007</v>
      </c>
      <c r="Y18" s="4"/>
      <c r="Z18" s="12">
        <f t="shared" ref="Z18:Z21" si="11">IF(T18=0,0,X18/T18)</f>
        <v>-0.38820851460534495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7460</v>
      </c>
      <c r="I19" s="2"/>
      <c r="J19" s="22">
        <f t="shared" si="5"/>
        <v>0.2699866092432413</v>
      </c>
      <c r="K19" s="2"/>
      <c r="L19" s="2">
        <f t="shared" si="6"/>
        <v>-7460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19308</v>
      </c>
      <c r="U19" s="2"/>
      <c r="V19" s="22">
        <f t="shared" si="9"/>
        <v>0.31386956239027247</v>
      </c>
      <c r="W19" s="2"/>
      <c r="X19" s="2">
        <f t="shared" si="10"/>
        <v>-19308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4199.07</v>
      </c>
      <c r="E20" s="2"/>
      <c r="F20" s="22">
        <f t="shared" si="4"/>
        <v>0.31596638276066791</v>
      </c>
      <c r="G20" s="2"/>
      <c r="H20" s="2"/>
      <c r="I20" s="2"/>
      <c r="J20" s="22">
        <f t="shared" si="5"/>
        <v>0</v>
      </c>
      <c r="K20" s="2"/>
      <c r="L20" s="2">
        <f t="shared" si="6"/>
        <v>4199.07</v>
      </c>
      <c r="M20" s="2"/>
      <c r="N20" s="22">
        <f t="shared" si="7"/>
        <v>0</v>
      </c>
      <c r="O20" s="11"/>
      <c r="P20" s="2">
        <v>9629.41</v>
      </c>
      <c r="Q20" s="2"/>
      <c r="R20" s="22">
        <f t="shared" si="8"/>
        <v>0.36083856075424747</v>
      </c>
      <c r="S20" s="2"/>
      <c r="T20" s="2"/>
      <c r="U20" s="2"/>
      <c r="V20" s="22">
        <f t="shared" si="9"/>
        <v>0</v>
      </c>
      <c r="W20" s="2"/>
      <c r="X20" s="2">
        <f t="shared" si="10"/>
        <v>9629.41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1597</v>
      </c>
      <c r="E21" s="2"/>
      <c r="F21" s="22">
        <f t="shared" si="4"/>
        <v>0.12016906440444829</v>
      </c>
      <c r="G21" s="2"/>
      <c r="H21" s="2"/>
      <c r="I21" s="2"/>
      <c r="J21" s="22">
        <f t="shared" si="5"/>
        <v>0</v>
      </c>
      <c r="K21" s="2"/>
      <c r="L21" s="2">
        <f t="shared" si="6"/>
        <v>1597</v>
      </c>
      <c r="M21" s="2"/>
      <c r="N21" s="22">
        <f t="shared" si="7"/>
        <v>0</v>
      </c>
      <c r="O21" s="11"/>
      <c r="P21" s="2">
        <v>2183.06</v>
      </c>
      <c r="Q21" s="2"/>
      <c r="R21" s="22">
        <f t="shared" si="8"/>
        <v>8.1804827963516721E-2</v>
      </c>
      <c r="S21" s="2"/>
      <c r="T21" s="2"/>
      <c r="U21" s="2"/>
      <c r="V21" s="22">
        <f t="shared" si="9"/>
        <v>0</v>
      </c>
      <c r="W21" s="2"/>
      <c r="X21" s="2">
        <f t="shared" si="10"/>
        <v>2183.06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0">
        <f>D12-D18</f>
        <v>7493.5400000000009</v>
      </c>
      <c r="E23" s="13"/>
      <c r="F23" s="19">
        <f>IF(D$12=0,0,D23/D$12)</f>
        <v>0.56386455283488379</v>
      </c>
      <c r="G23" s="13"/>
      <c r="H23" s="20">
        <f>H12-H18</f>
        <v>20171</v>
      </c>
      <c r="I23" s="13"/>
      <c r="J23" s="19">
        <f>IF(H$12=0,0,H23/H$12)</f>
        <v>0.73001339075675875</v>
      </c>
      <c r="K23" s="15"/>
      <c r="L23" s="20">
        <f>+D23-H23</f>
        <v>-12677.46</v>
      </c>
      <c r="M23" s="15"/>
      <c r="N23" s="19">
        <f>IF(H23=0,0,L23/H23)</f>
        <v>-0.62849933072232411</v>
      </c>
      <c r="O23" s="25"/>
      <c r="P23" s="20">
        <f>P12-P18</f>
        <v>14873.730000000001</v>
      </c>
      <c r="Q23" s="13"/>
      <c r="R23" s="19">
        <f>IF(P$12=0,0,P23/P$12)</f>
        <v>0.55735661128223579</v>
      </c>
      <c r="S23" s="13"/>
      <c r="T23" s="20">
        <f>T12-T18</f>
        <v>42208</v>
      </c>
      <c r="U23" s="13"/>
      <c r="V23" s="19">
        <f>IF(T$12=0,0,T23/T$12)</f>
        <v>0.68613043760972758</v>
      </c>
      <c r="W23" s="15"/>
      <c r="X23" s="20">
        <f>+P23-T23</f>
        <v>-27334.269999999997</v>
      </c>
      <c r="Y23" s="15"/>
      <c r="Z23" s="19">
        <f>IF(T23=0,0,X23/T23)</f>
        <v>-0.64760874715693695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1">
        <f>SUM(OSRRefD22x_0)</f>
        <v>75869.480000000025</v>
      </c>
      <c r="E25" s="21"/>
      <c r="F25" s="31">
        <f t="shared" ref="F25:F35" si="12">IF(D$12=0,0,D25/D$12)</f>
        <v>5.7089320153112109</v>
      </c>
      <c r="G25" s="21"/>
      <c r="H25" s="21">
        <f>SUM(OSRRefH22x_0)</f>
        <v>66703.115606365376</v>
      </c>
      <c r="I25" s="21"/>
      <c r="J25" s="31">
        <f t="shared" ref="J25:J35" si="13">IF(H$12=0,0,H25/H$12)</f>
        <v>2.4140680976571742</v>
      </c>
      <c r="K25" s="4"/>
      <c r="L25" s="21">
        <f t="shared" ref="L25:L35" si="14">+D25-H25</f>
        <v>9166.3643936346489</v>
      </c>
      <c r="M25" s="4"/>
      <c r="N25" s="31">
        <f t="shared" ref="N25:N35" si="15">IF(H25=0,0,L25/H25)</f>
        <v>0.1374203335227705</v>
      </c>
      <c r="O25" s="10"/>
      <c r="P25" s="21">
        <f>SUM(OSRRefP22x_0)</f>
        <v>265913.90999999992</v>
      </c>
      <c r="Q25" s="21"/>
      <c r="R25" s="31">
        <f t="shared" ref="R25:R35" si="16">IF(P$12=0,0,P25/P$12)</f>
        <v>9.9644726487847617</v>
      </c>
      <c r="S25" s="21"/>
      <c r="T25" s="21">
        <f>SUM(OSRRefT22x_0)</f>
        <v>225202.84074291537</v>
      </c>
      <c r="U25" s="21"/>
      <c r="V25" s="31">
        <f t="shared" ref="V25:V35" si="17">IF(T$12=0,0,T25/T$12)</f>
        <v>3.660882384142587</v>
      </c>
      <c r="W25" s="4"/>
      <c r="X25" s="21">
        <f t="shared" ref="X25:X35" si="18">+P25-T25</f>
        <v>40711.069257084542</v>
      </c>
      <c r="Y25" s="4"/>
      <c r="Z25" s="31">
        <f t="shared" ref="Z25:Z35" si="19">IF(T25=0,0,X25/T25)</f>
        <v>0.18077511421607265</v>
      </c>
    </row>
    <row r="26" spans="1:26" s="27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15447.64</v>
      </c>
      <c r="E26" s="1"/>
      <c r="F26" s="5">
        <f t="shared" si="12"/>
        <v>1.1623847501920672</v>
      </c>
      <c r="G26" s="1"/>
      <c r="H26" s="1">
        <f>SUM(OSRRefH22_0x_0)</f>
        <v>6921.8531063653791</v>
      </c>
      <c r="I26" s="1"/>
      <c r="J26" s="5">
        <f t="shared" si="13"/>
        <v>0.25051040882940823</v>
      </c>
      <c r="K26" s="1"/>
      <c r="L26" s="1">
        <f t="shared" si="14"/>
        <v>8525.7868936346204</v>
      </c>
      <c r="M26" s="1"/>
      <c r="N26" s="5">
        <f t="shared" si="15"/>
        <v>1.2317202868396981</v>
      </c>
      <c r="O26" s="14"/>
      <c r="P26" s="1">
        <f>SUM(OSRRefP22_0x_0)</f>
        <v>54642.130000000005</v>
      </c>
      <c r="Q26" s="1"/>
      <c r="R26" s="5">
        <f t="shared" si="16"/>
        <v>2.0475800226334213</v>
      </c>
      <c r="S26" s="1"/>
      <c r="T26" s="1">
        <f>SUM(OSRRefT22_0x_0)</f>
        <v>25405.18974291538</v>
      </c>
      <c r="U26" s="1"/>
      <c r="V26" s="5">
        <f t="shared" si="17"/>
        <v>0.4129850728739739</v>
      </c>
      <c r="W26" s="1"/>
      <c r="X26" s="1">
        <f t="shared" si="18"/>
        <v>29236.940257084625</v>
      </c>
      <c r="Y26" s="1"/>
      <c r="Z26" s="5">
        <f t="shared" si="19"/>
        <v>1.1508255027002028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7">
        <v>2728.37</v>
      </c>
      <c r="E27" s="2"/>
      <c r="F27" s="6">
        <f t="shared" si="12"/>
        <v>0.20530098324932031</v>
      </c>
      <c r="G27" s="2"/>
      <c r="H27" s="7">
        <v>798.26338424999994</v>
      </c>
      <c r="I27" s="2"/>
      <c r="J27" s="6">
        <f t="shared" si="13"/>
        <v>2.8890137318591434E-2</v>
      </c>
      <c r="K27" s="2"/>
      <c r="L27" s="7">
        <f t="shared" si="14"/>
        <v>1930.1066157499999</v>
      </c>
      <c r="M27" s="2"/>
      <c r="N27" s="6">
        <f t="shared" si="15"/>
        <v>2.417881934498864</v>
      </c>
      <c r="O27" s="11"/>
      <c r="P27" s="7">
        <v>6851.78</v>
      </c>
      <c r="Q27" s="2"/>
      <c r="R27" s="6">
        <f t="shared" si="16"/>
        <v>0.25675367793091558</v>
      </c>
      <c r="S27" s="2"/>
      <c r="T27" s="7">
        <v>3066.7568432999997</v>
      </c>
      <c r="U27" s="2"/>
      <c r="V27" s="6">
        <f t="shared" si="17"/>
        <v>4.9852995046817082E-2</v>
      </c>
      <c r="W27" s="2"/>
      <c r="X27" s="7">
        <f t="shared" si="18"/>
        <v>3785.0231567000001</v>
      </c>
      <c r="Y27" s="2"/>
      <c r="Z27" s="6">
        <f t="shared" si="19"/>
        <v>1.2342103890529208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7">
        <v>620.08000000000004</v>
      </c>
      <c r="E28" s="2"/>
      <c r="F28" s="6">
        <f t="shared" si="12"/>
        <v>4.6659006547219974E-2</v>
      </c>
      <c r="G28" s="2"/>
      <c r="H28" s="7">
        <v>671.11580249999997</v>
      </c>
      <c r="I28" s="2"/>
      <c r="J28" s="6">
        <f t="shared" si="13"/>
        <v>2.4288509373529731E-2</v>
      </c>
      <c r="K28" s="2"/>
      <c r="L28" s="7">
        <f t="shared" si="14"/>
        <v>-51.035802499999932</v>
      </c>
      <c r="M28" s="2"/>
      <c r="N28" s="6">
        <f t="shared" si="15"/>
        <v>-7.6046193980061932E-2</v>
      </c>
      <c r="O28" s="11"/>
      <c r="P28" s="7">
        <v>2428.75</v>
      </c>
      <c r="Q28" s="2"/>
      <c r="R28" s="6">
        <f t="shared" si="16"/>
        <v>9.1011459106204701E-2</v>
      </c>
      <c r="S28" s="2"/>
      <c r="T28" s="7">
        <v>2268.0033089999997</v>
      </c>
      <c r="U28" s="2"/>
      <c r="V28" s="6">
        <f t="shared" si="17"/>
        <v>3.6868510777683848E-2</v>
      </c>
      <c r="W28" s="2"/>
      <c r="X28" s="7">
        <f t="shared" si="18"/>
        <v>160.74669100000028</v>
      </c>
      <c r="Y28" s="2"/>
      <c r="Z28" s="6">
        <f t="shared" si="19"/>
        <v>7.087586264187426E-2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7">
        <v>6712.24</v>
      </c>
      <c r="E29" s="2"/>
      <c r="F29" s="6">
        <f t="shared" si="12"/>
        <v>0.50507426478278894</v>
      </c>
      <c r="G29" s="2"/>
      <c r="H29" s="7">
        <v>3669.6153846153798</v>
      </c>
      <c r="I29" s="2"/>
      <c r="J29" s="6">
        <f t="shared" si="13"/>
        <v>0.13280791084706958</v>
      </c>
      <c r="K29" s="2"/>
      <c r="L29" s="7">
        <f t="shared" si="14"/>
        <v>3042.62461538462</v>
      </c>
      <c r="M29" s="2"/>
      <c r="N29" s="6">
        <f t="shared" si="15"/>
        <v>0.82913992243999812</v>
      </c>
      <c r="O29" s="11"/>
      <c r="P29" s="7">
        <v>27506.91</v>
      </c>
      <c r="Q29" s="2"/>
      <c r="R29" s="6">
        <f t="shared" si="16"/>
        <v>1.0307540976234908</v>
      </c>
      <c r="S29" s="2"/>
      <c r="T29" s="7">
        <v>13764.615384615381</v>
      </c>
      <c r="U29" s="2"/>
      <c r="V29" s="6">
        <f t="shared" si="17"/>
        <v>0.22375667118498246</v>
      </c>
      <c r="W29" s="2"/>
      <c r="X29" s="7">
        <f t="shared" si="18"/>
        <v>13742.294615384619</v>
      </c>
      <c r="Y29" s="2"/>
      <c r="Z29" s="6">
        <f t="shared" si="19"/>
        <v>0.99837839499273551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7">
        <v>52.33</v>
      </c>
      <c r="E30" s="2"/>
      <c r="F30" s="6">
        <f t="shared" si="12"/>
        <v>3.9376625800155154E-3</v>
      </c>
      <c r="G30" s="2"/>
      <c r="H30" s="7">
        <v>40.673684999999999</v>
      </c>
      <c r="I30" s="2"/>
      <c r="J30" s="6">
        <f t="shared" si="13"/>
        <v>1.472030871123014E-3</v>
      </c>
      <c r="K30" s="2"/>
      <c r="L30" s="7">
        <f t="shared" si="14"/>
        <v>11.656314999999999</v>
      </c>
      <c r="M30" s="2"/>
      <c r="N30" s="6">
        <f t="shared" si="15"/>
        <v>0.28658123796749668</v>
      </c>
      <c r="O30" s="11"/>
      <c r="P30" s="7">
        <v>218.51</v>
      </c>
      <c r="Q30" s="2"/>
      <c r="R30" s="6">
        <f t="shared" si="16"/>
        <v>8.1881271968283226E-3</v>
      </c>
      <c r="S30" s="2"/>
      <c r="T30" s="7">
        <v>137.454746</v>
      </c>
      <c r="U30" s="2"/>
      <c r="V30" s="6">
        <f t="shared" si="17"/>
        <v>2.2344551986475062E-3</v>
      </c>
      <c r="W30" s="2"/>
      <c r="X30" s="7">
        <f t="shared" si="18"/>
        <v>81.055253999999991</v>
      </c>
      <c r="Y30" s="2"/>
      <c r="Z30" s="6">
        <f t="shared" si="19"/>
        <v>0.58968683409447342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7">
        <v>1441.26</v>
      </c>
      <c r="E31" s="2"/>
      <c r="F31" s="6">
        <f t="shared" si="12"/>
        <v>0.10845013510554485</v>
      </c>
      <c r="G31" s="2"/>
      <c r="H31" s="7">
        <v>542.72235000000001</v>
      </c>
      <c r="I31" s="2"/>
      <c r="J31" s="6">
        <f t="shared" si="13"/>
        <v>1.9641791828019253E-2</v>
      </c>
      <c r="K31" s="2"/>
      <c r="L31" s="7">
        <f t="shared" si="14"/>
        <v>898.53764999999999</v>
      </c>
      <c r="M31" s="2"/>
      <c r="N31" s="6">
        <f t="shared" si="15"/>
        <v>1.6556120270337125</v>
      </c>
      <c r="O31" s="11"/>
      <c r="P31" s="7">
        <v>5581.11</v>
      </c>
      <c r="Q31" s="2"/>
      <c r="R31" s="6">
        <f t="shared" si="16"/>
        <v>0.20913843109921981</v>
      </c>
      <c r="S31" s="2"/>
      <c r="T31" s="7">
        <v>1953.8004599999999</v>
      </c>
      <c r="U31" s="2"/>
      <c r="V31" s="6">
        <f t="shared" si="17"/>
        <v>3.1760850185317636E-2</v>
      </c>
      <c r="W31" s="2"/>
      <c r="X31" s="7">
        <f t="shared" si="18"/>
        <v>3627.3095399999997</v>
      </c>
      <c r="Y31" s="2"/>
      <c r="Z31" s="6">
        <f t="shared" si="19"/>
        <v>1.8565404268560772</v>
      </c>
    </row>
    <row r="32" spans="1:26" s="24" customFormat="1" hidden="1" outlineLevel="2" x14ac:dyDescent="0.25">
      <c r="A32" s="28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8"/>
      <c r="B33" s="11" t="str">
        <f>CONCATENATE("          ", "6118", " - ", "VACATION")</f>
        <v xml:space="preserve">          6118 - VACATION</v>
      </c>
      <c r="C33" s="11"/>
      <c r="D33" s="7">
        <v>2066.79</v>
      </c>
      <c r="E33" s="2"/>
      <c r="F33" s="6">
        <f t="shared" si="12"/>
        <v>0.15551923645614882</v>
      </c>
      <c r="G33" s="2"/>
      <c r="H33" s="7">
        <v>521.53625</v>
      </c>
      <c r="I33" s="2"/>
      <c r="J33" s="6">
        <f t="shared" si="13"/>
        <v>1.8875040715138795E-2</v>
      </c>
      <c r="K33" s="2"/>
      <c r="L33" s="7">
        <f t="shared" si="14"/>
        <v>1545.2537499999999</v>
      </c>
      <c r="M33" s="2"/>
      <c r="N33" s="6">
        <f t="shared" si="15"/>
        <v>2.9628884856996995</v>
      </c>
      <c r="O33" s="11"/>
      <c r="P33" s="7">
        <v>6060.5</v>
      </c>
      <c r="Q33" s="2"/>
      <c r="R33" s="6">
        <f t="shared" si="16"/>
        <v>0.22710239749383576</v>
      </c>
      <c r="S33" s="2"/>
      <c r="T33" s="7">
        <v>1877.5305000000001</v>
      </c>
      <c r="U33" s="2"/>
      <c r="V33" s="6">
        <f t="shared" si="17"/>
        <v>3.052101079393979E-2</v>
      </c>
      <c r="W33" s="2"/>
      <c r="X33" s="7">
        <f t="shared" si="18"/>
        <v>4182.9695000000002</v>
      </c>
      <c r="Y33" s="2"/>
      <c r="Z33" s="6">
        <f t="shared" si="19"/>
        <v>2.22791027895419</v>
      </c>
    </row>
    <row r="34" spans="1:26" s="24" customFormat="1" hidden="1" outlineLevel="2" x14ac:dyDescent="0.25">
      <c r="A34" s="28"/>
      <c r="B34" s="11" t="str">
        <f>CONCATENATE("          ", "6119", " - ", "SICK LEAVE")</f>
        <v xml:space="preserve">          6119 - SICK LEAVE</v>
      </c>
      <c r="C34" s="11"/>
      <c r="D34" s="7">
        <v>1286.28</v>
      </c>
      <c r="E34" s="2"/>
      <c r="F34" s="6">
        <f t="shared" si="12"/>
        <v>9.6788393338856443E-2</v>
      </c>
      <c r="G34" s="2"/>
      <c r="H34" s="7">
        <v>677.92624999999998</v>
      </c>
      <c r="I34" s="2"/>
      <c r="J34" s="6">
        <f t="shared" si="13"/>
        <v>2.4534987875936446E-2</v>
      </c>
      <c r="K34" s="2"/>
      <c r="L34" s="7">
        <f t="shared" si="14"/>
        <v>608.35374999999999</v>
      </c>
      <c r="M34" s="2"/>
      <c r="N34" s="6">
        <f t="shared" si="15"/>
        <v>0.89737453004659429</v>
      </c>
      <c r="O34" s="11"/>
      <c r="P34" s="7">
        <v>3869.56</v>
      </c>
      <c r="Q34" s="2"/>
      <c r="R34" s="6">
        <f t="shared" si="16"/>
        <v>0.14500228582563271</v>
      </c>
      <c r="S34" s="2"/>
      <c r="T34" s="7">
        <v>2337.0284999999999</v>
      </c>
      <c r="U34" s="2"/>
      <c r="V34" s="6">
        <f t="shared" si="17"/>
        <v>3.7990579686585604E-2</v>
      </c>
      <c r="W34" s="2"/>
      <c r="X34" s="7">
        <f t="shared" si="18"/>
        <v>1532.5315000000001</v>
      </c>
      <c r="Y34" s="2"/>
      <c r="Z34" s="6">
        <f t="shared" si="19"/>
        <v>0.65576072349994885</v>
      </c>
    </row>
    <row r="35" spans="1:26" s="24" customFormat="1" hidden="1" outlineLevel="2" x14ac:dyDescent="0.25">
      <c r="A35" s="28"/>
      <c r="B35" s="11" t="str">
        <f>CONCATENATE("          ", "6156", " - ", "EMPLOYEE MEALS")</f>
        <v xml:space="preserve">          6156 - EMPLOYEE MEALS</v>
      </c>
      <c r="C35" s="11"/>
      <c r="D35" s="7">
        <v>540.29</v>
      </c>
      <c r="E35" s="2"/>
      <c r="F35" s="6">
        <f t="shared" si="12"/>
        <v>4.0655068132172421E-2</v>
      </c>
      <c r="G35" s="2"/>
      <c r="H35" s="7"/>
      <c r="I35" s="2"/>
      <c r="J35" s="6">
        <f t="shared" si="13"/>
        <v>0</v>
      </c>
      <c r="K35" s="2"/>
      <c r="L35" s="7">
        <f t="shared" si="14"/>
        <v>540.29</v>
      </c>
      <c r="M35" s="2"/>
      <c r="N35" s="6">
        <f t="shared" si="15"/>
        <v>0</v>
      </c>
      <c r="O35" s="11"/>
      <c r="P35" s="7">
        <v>2125.0100000000002</v>
      </c>
      <c r="Q35" s="2"/>
      <c r="R35" s="6">
        <f t="shared" si="16"/>
        <v>7.9629546357293288E-2</v>
      </c>
      <c r="S35" s="2"/>
      <c r="T35" s="7"/>
      <c r="U35" s="2"/>
      <c r="V35" s="6">
        <f t="shared" si="17"/>
        <v>0</v>
      </c>
      <c r="W35" s="2"/>
      <c r="X35" s="7">
        <f t="shared" si="18"/>
        <v>2125.0100000000002</v>
      </c>
      <c r="Y35" s="2"/>
      <c r="Z35" s="6">
        <f t="shared" si="19"/>
        <v>0</v>
      </c>
    </row>
    <row r="36" spans="1:26" s="27" customFormat="1" outlineLevel="1" collapsed="1" x14ac:dyDescent="0.25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21241.500000000004</v>
      </c>
      <c r="E36" s="1"/>
      <c r="F36" s="5">
        <f t="shared" ref="F36:F46" si="20">IF(D$12=0,0,D36/D$12)</f>
        <v>1.5983539020332427</v>
      </c>
      <c r="G36" s="1"/>
      <c r="H36" s="1">
        <f>SUM(OSRRefH22_1x_0)</f>
        <v>14444.262500000001</v>
      </c>
      <c r="I36" s="1"/>
      <c r="J36" s="5">
        <f t="shared" ref="J36:J46" si="21">IF(H$12=0,0,H36/H$12)</f>
        <v>0.52275569107162245</v>
      </c>
      <c r="K36" s="1"/>
      <c r="L36" s="1">
        <f t="shared" ref="L36:L46" si="22">+D36-H36</f>
        <v>6797.2375000000029</v>
      </c>
      <c r="M36" s="1"/>
      <c r="N36" s="5">
        <f t="shared" ref="N36:N46" si="23">IF(H36=0,0,L36/H36)</f>
        <v>0.47058390831653762</v>
      </c>
      <c r="O36" s="14"/>
      <c r="P36" s="1">
        <f>SUM(OSRRefP22_1x_0)</f>
        <v>77213.710000000006</v>
      </c>
      <c r="Q36" s="1"/>
      <c r="R36" s="5">
        <f t="shared" ref="R36:R46" si="24">IF(P$12=0,0,P36/P$12)</f>
        <v>2.8933947133724547</v>
      </c>
      <c r="S36" s="1"/>
      <c r="T36" s="1">
        <f>SUM(OSRRefT22_1x_0)</f>
        <v>48652.650999999998</v>
      </c>
      <c r="U36" s="1"/>
      <c r="V36" s="5">
        <f t="shared" ref="V36:V46" si="25">IF(T$12=0,0,T36/T$12)</f>
        <v>0.79089425515313083</v>
      </c>
      <c r="W36" s="1"/>
      <c r="X36" s="1">
        <f t="shared" ref="X36:X46" si="26">+P36-T36</f>
        <v>28561.059000000008</v>
      </c>
      <c r="Y36" s="1"/>
      <c r="Z36" s="5">
        <f t="shared" ref="Z36:Z46" si="27">IF(T36=0,0,X36/T36)</f>
        <v>0.58704013888164097</v>
      </c>
    </row>
    <row r="37" spans="1:26" s="24" customFormat="1" hidden="1" outlineLevel="2" x14ac:dyDescent="0.25">
      <c r="A37" s="28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8"/>
      <c r="B38" s="11" t="str">
        <f>CONCATENATE("          ", "6002", " - ", "STAFF SALARIES")</f>
        <v xml:space="preserve">          6002 - STAFF SALARIES</v>
      </c>
      <c r="C38" s="11"/>
      <c r="D38" s="7">
        <v>16649.230000000003</v>
      </c>
      <c r="E38" s="2"/>
      <c r="F38" s="6">
        <f t="shared" si="20"/>
        <v>1.2528004960265955</v>
      </c>
      <c r="G38" s="2"/>
      <c r="H38" s="7">
        <v>5679.6524999999992</v>
      </c>
      <c r="I38" s="2"/>
      <c r="J38" s="6">
        <f t="shared" si="21"/>
        <v>0.2055536354095038</v>
      </c>
      <c r="K38" s="2"/>
      <c r="L38" s="7">
        <f t="shared" si="22"/>
        <v>10969.577500000003</v>
      </c>
      <c r="M38" s="2"/>
      <c r="N38" s="6">
        <f t="shared" si="23"/>
        <v>1.9313818054889811</v>
      </c>
      <c r="O38" s="11"/>
      <c r="P38" s="7">
        <v>59670.07</v>
      </c>
      <c r="Q38" s="2"/>
      <c r="R38" s="6">
        <f t="shared" si="24"/>
        <v>2.2359897624989693</v>
      </c>
      <c r="S38" s="2"/>
      <c r="T38" s="7">
        <v>20446.749</v>
      </c>
      <c r="U38" s="2"/>
      <c r="V38" s="6">
        <f t="shared" si="25"/>
        <v>0.33238099031146368</v>
      </c>
      <c r="W38" s="2"/>
      <c r="X38" s="7">
        <f t="shared" si="26"/>
        <v>39223.320999999996</v>
      </c>
      <c r="Y38" s="2"/>
      <c r="Z38" s="6">
        <f t="shared" si="27"/>
        <v>1.9183157674601472</v>
      </c>
    </row>
    <row r="39" spans="1:26" s="24" customFormat="1" hidden="1" outlineLevel="2" x14ac:dyDescent="0.25">
      <c r="A39" s="28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8"/>
      <c r="B40" s="11" t="str">
        <f>CONCATENATE("          ", "6004", " - ", "STAFF HOURLY")</f>
        <v xml:space="preserve">          6004 - STAFF HOURLY</v>
      </c>
      <c r="C40" s="11"/>
      <c r="D40" s="7">
        <v>4641.7</v>
      </c>
      <c r="E40" s="2"/>
      <c r="F40" s="6">
        <f t="shared" si="20"/>
        <v>0.34927285300321076</v>
      </c>
      <c r="G40" s="2"/>
      <c r="H40" s="7">
        <v>3708</v>
      </c>
      <c r="I40" s="2"/>
      <c r="J40" s="6">
        <f t="shared" si="21"/>
        <v>0.13419709746299446</v>
      </c>
      <c r="K40" s="2"/>
      <c r="L40" s="7">
        <f t="shared" si="22"/>
        <v>933.69999999999982</v>
      </c>
      <c r="M40" s="2"/>
      <c r="N40" s="6">
        <f t="shared" si="23"/>
        <v>0.25180690399136996</v>
      </c>
      <c r="O40" s="11"/>
      <c r="P40" s="7">
        <v>15347.3</v>
      </c>
      <c r="Q40" s="2"/>
      <c r="R40" s="6">
        <f t="shared" si="24"/>
        <v>0.575102487427959</v>
      </c>
      <c r="S40" s="2"/>
      <c r="T40" s="7">
        <v>13348.8</v>
      </c>
      <c r="U40" s="2"/>
      <c r="V40" s="6">
        <f t="shared" si="25"/>
        <v>0.21699720397945249</v>
      </c>
      <c r="W40" s="2"/>
      <c r="X40" s="7">
        <f t="shared" si="26"/>
        <v>1998.5</v>
      </c>
      <c r="Y40" s="2"/>
      <c r="Z40" s="6">
        <f t="shared" si="27"/>
        <v>0.14971383195493229</v>
      </c>
    </row>
    <row r="41" spans="1:26" s="24" customFormat="1" hidden="1" outlineLevel="2" x14ac:dyDescent="0.25">
      <c r="A41" s="28"/>
      <c r="B41" s="11" t="str">
        <f>CONCATENATE("          ", "6005", " - ", "TEMPORARY WAGES-HOURLY")</f>
        <v xml:space="preserve">          6005 - TEMPORARY WAGES-HOURLY</v>
      </c>
      <c r="C41" s="11"/>
      <c r="D41" s="7">
        <v>704.86</v>
      </c>
      <c r="E41" s="2"/>
      <c r="F41" s="6">
        <f t="shared" si="20"/>
        <v>5.3038426259310843E-2</v>
      </c>
      <c r="G41" s="2"/>
      <c r="H41" s="7">
        <v>1815.84</v>
      </c>
      <c r="I41" s="2"/>
      <c r="J41" s="6">
        <f t="shared" si="21"/>
        <v>6.5717491223625635E-2</v>
      </c>
      <c r="K41" s="2"/>
      <c r="L41" s="7">
        <f t="shared" si="22"/>
        <v>-1110.98</v>
      </c>
      <c r="M41" s="2"/>
      <c r="N41" s="6">
        <f t="shared" si="23"/>
        <v>-0.61182703321878584</v>
      </c>
      <c r="O41" s="11"/>
      <c r="P41" s="7">
        <v>2126.63</v>
      </c>
      <c r="Q41" s="2"/>
      <c r="R41" s="6">
        <f t="shared" si="24"/>
        <v>7.9690251890490213E-2</v>
      </c>
      <c r="S41" s="2"/>
      <c r="T41" s="7">
        <v>6975.8519999999999</v>
      </c>
      <c r="U41" s="2"/>
      <c r="V41" s="6">
        <f t="shared" si="25"/>
        <v>0.11339898562975485</v>
      </c>
      <c r="W41" s="2"/>
      <c r="X41" s="7">
        <f t="shared" si="26"/>
        <v>-4849.2219999999998</v>
      </c>
      <c r="Y41" s="2"/>
      <c r="Z41" s="6">
        <f t="shared" si="27"/>
        <v>-0.69514404835423682</v>
      </c>
    </row>
    <row r="42" spans="1:26" s="24" customFormat="1" hidden="1" outlineLevel="2" x14ac:dyDescent="0.25">
      <c r="A42" s="28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8"/>
      <c r="B43" s="11" t="str">
        <f>CONCATENATE("          ", "6007", " - ", "STUDENT HOURLY")</f>
        <v xml:space="preserve">          6007 - STUDENT HOURLY</v>
      </c>
      <c r="C43" s="11"/>
      <c r="D43" s="7">
        <v>-754.29</v>
      </c>
      <c r="E43" s="2"/>
      <c r="F43" s="6">
        <f t="shared" si="20"/>
        <v>-5.6757873255874322E-2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-754.29</v>
      </c>
      <c r="M43" s="2"/>
      <c r="N43" s="6">
        <f t="shared" si="23"/>
        <v>0</v>
      </c>
      <c r="O43" s="11"/>
      <c r="P43" s="7">
        <v>69.709999999999994</v>
      </c>
      <c r="Q43" s="2"/>
      <c r="R43" s="6">
        <f t="shared" si="24"/>
        <v>2.6122115550359357E-3</v>
      </c>
      <c r="S43" s="2"/>
      <c r="T43" s="7">
        <v>2446.34</v>
      </c>
      <c r="U43" s="2"/>
      <c r="V43" s="6">
        <f t="shared" si="25"/>
        <v>3.9767540152155542E-2</v>
      </c>
      <c r="W43" s="2"/>
      <c r="X43" s="7">
        <f t="shared" si="26"/>
        <v>-2376.63</v>
      </c>
      <c r="Y43" s="2"/>
      <c r="Z43" s="6">
        <f t="shared" si="27"/>
        <v>-0.97150436979324217</v>
      </c>
    </row>
    <row r="44" spans="1:26" s="24" customFormat="1" hidden="1" outlineLevel="2" x14ac:dyDescent="0.25">
      <c r="A44" s="28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3240.77</v>
      </c>
      <c r="I44" s="2"/>
      <c r="J44" s="6">
        <f t="shared" si="21"/>
        <v>0.11728746697549854</v>
      </c>
      <c r="K44" s="2"/>
      <c r="L44" s="7">
        <f t="shared" si="22"/>
        <v>-3240.77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5434.91</v>
      </c>
      <c r="U44" s="2"/>
      <c r="V44" s="6">
        <f t="shared" si="25"/>
        <v>8.8349535080304312E-2</v>
      </c>
      <c r="W44" s="2"/>
      <c r="X44" s="7">
        <f t="shared" si="26"/>
        <v>-5434.91</v>
      </c>
      <c r="Y44" s="2"/>
      <c r="Z44" s="6">
        <f t="shared" si="27"/>
        <v>-1</v>
      </c>
    </row>
    <row r="45" spans="1:26" s="24" customFormat="1" hidden="1" outlineLevel="2" x14ac:dyDescent="0.25">
      <c r="A45" s="28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8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7" customFormat="1" outlineLevel="1" collapsed="1" x14ac:dyDescent="0.25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15.05</v>
      </c>
      <c r="E47" s="1"/>
      <c r="F47" s="5">
        <f t="shared" ref="F47:F55" si="28">IF(D$12=0,0,D47/D$12)</f>
        <v>1.1324636313631475E-3</v>
      </c>
      <c r="G47" s="1"/>
      <c r="H47" s="1">
        <f>SUM(OSRRefH22_2x_0)</f>
        <v>575</v>
      </c>
      <c r="I47" s="1"/>
      <c r="J47" s="5">
        <f t="shared" ref="J47:J55" si="29">IF(H$12=0,0,H47/H$12)</f>
        <v>2.0809959827729724E-2</v>
      </c>
      <c r="K47" s="1"/>
      <c r="L47" s="1">
        <f t="shared" ref="L47:L55" si="30">+D47-H47</f>
        <v>-559.95000000000005</v>
      </c>
      <c r="M47" s="1"/>
      <c r="N47" s="5">
        <f t="shared" ref="N47:N55" si="31">IF(H47=0,0,L47/H47)</f>
        <v>-0.97382608695652184</v>
      </c>
      <c r="O47" s="14"/>
      <c r="P47" s="1">
        <f>SUM(OSRRefP22_2x_0)</f>
        <v>110.63</v>
      </c>
      <c r="Q47" s="1"/>
      <c r="R47" s="5">
        <f t="shared" ref="R47:R55" si="32">IF(P$12=0,0,P47/P$12)</f>
        <v>4.1455883565288424E-3</v>
      </c>
      <c r="S47" s="1"/>
      <c r="T47" s="1">
        <f>SUM(OSRRefT22_2x_0)</f>
        <v>2488</v>
      </c>
      <c r="U47" s="1"/>
      <c r="V47" s="5">
        <f t="shared" ref="V47:V55" si="33">IF(T$12=0,0,T47/T$12)</f>
        <v>4.0444762338253462E-2</v>
      </c>
      <c r="W47" s="1"/>
      <c r="X47" s="1">
        <f t="shared" ref="X47:X55" si="34">+P47-T47</f>
        <v>-2377.37</v>
      </c>
      <c r="Y47" s="1"/>
      <c r="Z47" s="5">
        <f t="shared" ref="Z47:Z55" si="35">IF(T47=0,0,X47/T47)</f>
        <v>-0.95553456591639863</v>
      </c>
    </row>
    <row r="48" spans="1:26" s="24" customFormat="1" hidden="1" outlineLevel="2" x14ac:dyDescent="0.25">
      <c r="A48" s="28"/>
      <c r="B48" s="11" t="str">
        <f>CONCATENATE("          ", "6362", " - ", "ADVERTISING EXPENSE")</f>
        <v xml:space="preserve">          6362 - ADVERTISING EXPENSE</v>
      </c>
      <c r="C48" s="11"/>
      <c r="D48" s="7">
        <v>15.05</v>
      </c>
      <c r="E48" s="2"/>
      <c r="F48" s="6">
        <f t="shared" si="28"/>
        <v>1.1324636313631475E-3</v>
      </c>
      <c r="G48" s="2"/>
      <c r="H48" s="7">
        <v>575</v>
      </c>
      <c r="I48" s="2"/>
      <c r="J48" s="6">
        <f t="shared" si="29"/>
        <v>2.0809959827729724E-2</v>
      </c>
      <c r="K48" s="2"/>
      <c r="L48" s="7">
        <f t="shared" si="30"/>
        <v>-559.95000000000005</v>
      </c>
      <c r="M48" s="2"/>
      <c r="N48" s="6">
        <f t="shared" si="31"/>
        <v>-0.97382608695652184</v>
      </c>
      <c r="O48" s="11"/>
      <c r="P48" s="7">
        <v>110.63</v>
      </c>
      <c r="Q48" s="2"/>
      <c r="R48" s="6">
        <f t="shared" si="32"/>
        <v>4.1455883565288424E-3</v>
      </c>
      <c r="S48" s="2"/>
      <c r="T48" s="7">
        <v>2488</v>
      </c>
      <c r="U48" s="2"/>
      <c r="V48" s="6">
        <f t="shared" si="33"/>
        <v>4.0444762338253462E-2</v>
      </c>
      <c r="W48" s="2"/>
      <c r="X48" s="7">
        <f t="shared" si="34"/>
        <v>-2377.37</v>
      </c>
      <c r="Y48" s="2"/>
      <c r="Z48" s="6">
        <f t="shared" si="35"/>
        <v>-0.95553456591639863</v>
      </c>
    </row>
    <row r="49" spans="1:26" s="27" customFormat="1" outlineLevel="1" collapsed="1" x14ac:dyDescent="0.25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1531.8</v>
      </c>
      <c r="E49" s="1"/>
      <c r="F49" s="5">
        <f t="shared" si="28"/>
        <v>0.11526297611442321</v>
      </c>
      <c r="G49" s="1"/>
      <c r="H49" s="1">
        <f>SUM(OSRRefH22_3x_0)</f>
        <v>20</v>
      </c>
      <c r="I49" s="1"/>
      <c r="J49" s="5">
        <f t="shared" si="29"/>
        <v>7.2382468966016435E-4</v>
      </c>
      <c r="K49" s="1"/>
      <c r="L49" s="1">
        <f t="shared" si="30"/>
        <v>1511.8</v>
      </c>
      <c r="M49" s="1"/>
      <c r="N49" s="5">
        <f t="shared" si="31"/>
        <v>75.59</v>
      </c>
      <c r="O49" s="14"/>
      <c r="P49" s="1">
        <f>SUM(OSRRefP22_3x_0)</f>
        <v>1338.28</v>
      </c>
      <c r="Q49" s="1"/>
      <c r="R49" s="5">
        <f t="shared" si="32"/>
        <v>5.0148766028883837E-2</v>
      </c>
      <c r="S49" s="1"/>
      <c r="T49" s="1">
        <f>SUM(OSRRefT22_3x_0)</f>
        <v>45</v>
      </c>
      <c r="U49" s="1"/>
      <c r="V49" s="5">
        <f t="shared" si="33"/>
        <v>7.3151700370635282E-4</v>
      </c>
      <c r="W49" s="1"/>
      <c r="X49" s="1">
        <f t="shared" si="34"/>
        <v>1293.28</v>
      </c>
      <c r="Y49" s="1"/>
      <c r="Z49" s="5">
        <f t="shared" si="35"/>
        <v>28.739555555555555</v>
      </c>
    </row>
    <row r="50" spans="1:26" s="24" customFormat="1" hidden="1" outlineLevel="2" x14ac:dyDescent="0.25">
      <c r="A50" s="28"/>
      <c r="B50" s="11" t="str">
        <f>CONCATENATE("          ", "6272", " - ", "CASH (OVER/SHORT)")</f>
        <v xml:space="preserve">          6272 - CASH (OVER/SHORT)</v>
      </c>
      <c r="C50" s="11"/>
      <c r="D50" s="7">
        <v>1531.8</v>
      </c>
      <c r="E50" s="2"/>
      <c r="F50" s="6">
        <f t="shared" si="28"/>
        <v>0.11526297611442321</v>
      </c>
      <c r="G50" s="2"/>
      <c r="H50" s="7">
        <v>20</v>
      </c>
      <c r="I50" s="2"/>
      <c r="J50" s="6">
        <f t="shared" si="29"/>
        <v>7.2382468966016435E-4</v>
      </c>
      <c r="K50" s="2"/>
      <c r="L50" s="7">
        <f t="shared" si="30"/>
        <v>1511.8</v>
      </c>
      <c r="M50" s="2"/>
      <c r="N50" s="6">
        <f t="shared" si="31"/>
        <v>75.59</v>
      </c>
      <c r="O50" s="11"/>
      <c r="P50" s="7">
        <v>1338.28</v>
      </c>
      <c r="Q50" s="2"/>
      <c r="R50" s="6">
        <f t="shared" si="32"/>
        <v>5.0148766028883837E-2</v>
      </c>
      <c r="S50" s="2"/>
      <c r="T50" s="7">
        <v>45</v>
      </c>
      <c r="U50" s="2"/>
      <c r="V50" s="6">
        <f t="shared" si="33"/>
        <v>7.3151700370635282E-4</v>
      </c>
      <c r="W50" s="2"/>
      <c r="X50" s="7">
        <f t="shared" si="34"/>
        <v>1293.28</v>
      </c>
      <c r="Y50" s="2"/>
      <c r="Z50" s="6">
        <f t="shared" si="35"/>
        <v>28.739555555555555</v>
      </c>
    </row>
    <row r="51" spans="1:26" s="27" customFormat="1" outlineLevel="1" collapsed="1" x14ac:dyDescent="0.25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375.64</v>
      </c>
      <c r="E51" s="1"/>
      <c r="F51" s="5">
        <f t="shared" si="28"/>
        <v>2.8265690264800847E-2</v>
      </c>
      <c r="G51" s="1"/>
      <c r="H51" s="1">
        <f>SUM(OSRRefH22_4x_0)</f>
        <v>5588</v>
      </c>
      <c r="I51" s="1"/>
      <c r="J51" s="5">
        <f t="shared" si="29"/>
        <v>0.20223661829104991</v>
      </c>
      <c r="K51" s="1"/>
      <c r="L51" s="1">
        <f t="shared" si="30"/>
        <v>-5212.3599999999997</v>
      </c>
      <c r="M51" s="1"/>
      <c r="N51" s="5">
        <f t="shared" si="31"/>
        <v>-0.93277738010021471</v>
      </c>
      <c r="O51" s="14"/>
      <c r="P51" s="1">
        <f>SUM(OSRRefP22_4x_0)</f>
        <v>441.15</v>
      </c>
      <c r="Q51" s="1"/>
      <c r="R51" s="5">
        <f t="shared" si="32"/>
        <v>1.6531016030757469E-2</v>
      </c>
      <c r="S51" s="1"/>
      <c r="T51" s="1">
        <f>SUM(OSRRefT22_4x_0)</f>
        <v>11980</v>
      </c>
      <c r="U51" s="1"/>
      <c r="V51" s="5">
        <f t="shared" si="33"/>
        <v>0.19474608232004681</v>
      </c>
      <c r="W51" s="1"/>
      <c r="X51" s="1">
        <f t="shared" si="34"/>
        <v>-11538.85</v>
      </c>
      <c r="Y51" s="1"/>
      <c r="Z51" s="5">
        <f t="shared" si="35"/>
        <v>-0.96317612687813026</v>
      </c>
    </row>
    <row r="52" spans="1:26" s="24" customFormat="1" hidden="1" outlineLevel="2" x14ac:dyDescent="0.25">
      <c r="A52" s="28"/>
      <c r="B52" s="11" t="str">
        <f>CONCATENATE("          ", "6381", " - ", "BANK/CREDIT CARD FEES")</f>
        <v xml:space="preserve">          6381 - BANK/CREDIT CARD FEES</v>
      </c>
      <c r="C52" s="11"/>
      <c r="D52" s="7">
        <v>375.64</v>
      </c>
      <c r="E52" s="2"/>
      <c r="F52" s="6">
        <f t="shared" si="28"/>
        <v>2.8265690264800847E-2</v>
      </c>
      <c r="G52" s="2"/>
      <c r="H52" s="7">
        <v>5588</v>
      </c>
      <c r="I52" s="2"/>
      <c r="J52" s="6">
        <f t="shared" si="29"/>
        <v>0.20223661829104991</v>
      </c>
      <c r="K52" s="2"/>
      <c r="L52" s="7">
        <f t="shared" si="30"/>
        <v>-5212.3599999999997</v>
      </c>
      <c r="M52" s="2"/>
      <c r="N52" s="6">
        <f t="shared" si="31"/>
        <v>-0.93277738010021471</v>
      </c>
      <c r="O52" s="11"/>
      <c r="P52" s="7">
        <v>441.15</v>
      </c>
      <c r="Q52" s="2"/>
      <c r="R52" s="6">
        <f t="shared" si="32"/>
        <v>1.6531016030757469E-2</v>
      </c>
      <c r="S52" s="2"/>
      <c r="T52" s="7">
        <v>11980</v>
      </c>
      <c r="U52" s="2"/>
      <c r="V52" s="6">
        <f t="shared" si="33"/>
        <v>0.19474608232004681</v>
      </c>
      <c r="W52" s="2"/>
      <c r="X52" s="7">
        <f t="shared" si="34"/>
        <v>-11538.85</v>
      </c>
      <c r="Y52" s="2"/>
      <c r="Z52" s="6">
        <f t="shared" si="35"/>
        <v>-0.96317612687813026</v>
      </c>
    </row>
    <row r="53" spans="1:26" s="27" customFormat="1" outlineLevel="1" collapsed="1" x14ac:dyDescent="0.25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13959.68</v>
      </c>
      <c r="E53" s="1"/>
      <c r="F53" s="5">
        <f t="shared" si="28"/>
        <v>1.0504205917254155</v>
      </c>
      <c r="G53" s="1"/>
      <c r="H53" s="1">
        <f>SUM(OSRRefH22_5x_0)</f>
        <v>13687</v>
      </c>
      <c r="I53" s="1"/>
      <c r="J53" s="5">
        <f t="shared" si="29"/>
        <v>0.49534942636893342</v>
      </c>
      <c r="K53" s="1"/>
      <c r="L53" s="1">
        <f t="shared" si="30"/>
        <v>272.68000000000029</v>
      </c>
      <c r="M53" s="1"/>
      <c r="N53" s="5">
        <f t="shared" si="31"/>
        <v>1.9922554248557045E-2</v>
      </c>
      <c r="O53" s="14"/>
      <c r="P53" s="1">
        <f>SUM(OSRRefP22_5x_0)</f>
        <v>55574.559999999998</v>
      </c>
      <c r="Q53" s="1"/>
      <c r="R53" s="5">
        <f t="shared" si="32"/>
        <v>2.0825205536944189</v>
      </c>
      <c r="S53" s="1"/>
      <c r="T53" s="1">
        <f>SUM(OSRRefT22_5x_0)</f>
        <v>54748</v>
      </c>
      <c r="U53" s="1"/>
      <c r="V53" s="5">
        <f t="shared" si="33"/>
        <v>0.88997984264256458</v>
      </c>
      <c r="W53" s="1"/>
      <c r="X53" s="1">
        <f t="shared" si="34"/>
        <v>826.55999999999767</v>
      </c>
      <c r="Y53" s="1"/>
      <c r="Z53" s="5">
        <f t="shared" si="35"/>
        <v>1.5097537809600308E-2</v>
      </c>
    </row>
    <row r="54" spans="1:26" s="24" customFormat="1" hidden="1" outlineLevel="2" x14ac:dyDescent="0.25">
      <c r="A54" s="28"/>
      <c r="B54" s="11" t="str">
        <f>CONCATENATE("          ", "6321", " - ", "BUILDING DEPRECIATION")</f>
        <v xml:space="preserve">          6321 - BUILDING DEPRECIATION</v>
      </c>
      <c r="C54" s="11"/>
      <c r="D54" s="7">
        <v>10597.26</v>
      </c>
      <c r="E54" s="2"/>
      <c r="F54" s="6">
        <f t="shared" si="28"/>
        <v>0.7974094047906598</v>
      </c>
      <c r="G54" s="2"/>
      <c r="H54" s="7"/>
      <c r="I54" s="2"/>
      <c r="J54" s="6">
        <f t="shared" si="29"/>
        <v>0</v>
      </c>
      <c r="K54" s="2"/>
      <c r="L54" s="7">
        <f t="shared" si="30"/>
        <v>10597.26</v>
      </c>
      <c r="M54" s="2"/>
      <c r="N54" s="6">
        <f t="shared" si="31"/>
        <v>0</v>
      </c>
      <c r="O54" s="11"/>
      <c r="P54" s="7">
        <v>42389.04</v>
      </c>
      <c r="Q54" s="2"/>
      <c r="R54" s="6">
        <f t="shared" si="32"/>
        <v>1.5884254783371181</v>
      </c>
      <c r="S54" s="2"/>
      <c r="T54" s="7"/>
      <c r="U54" s="2"/>
      <c r="V54" s="6">
        <f t="shared" si="33"/>
        <v>0</v>
      </c>
      <c r="W54" s="2"/>
      <c r="X54" s="7">
        <f t="shared" si="34"/>
        <v>42389.04</v>
      </c>
      <c r="Y54" s="2"/>
      <c r="Z54" s="6">
        <f t="shared" si="35"/>
        <v>0</v>
      </c>
    </row>
    <row r="55" spans="1:26" s="24" customFormat="1" hidden="1" outlineLevel="2" x14ac:dyDescent="0.25">
      <c r="A55" s="28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3362.42</v>
      </c>
      <c r="E55" s="2"/>
      <c r="F55" s="6">
        <f t="shared" si="28"/>
        <v>0.25301118693475577</v>
      </c>
      <c r="G55" s="2"/>
      <c r="H55" s="7">
        <v>13687</v>
      </c>
      <c r="I55" s="2"/>
      <c r="J55" s="6">
        <f t="shared" si="29"/>
        <v>0.49534942636893342</v>
      </c>
      <c r="K55" s="2"/>
      <c r="L55" s="7">
        <f t="shared" si="30"/>
        <v>-10324.58</v>
      </c>
      <c r="M55" s="2"/>
      <c r="N55" s="6">
        <f t="shared" si="31"/>
        <v>-0.75433477021991668</v>
      </c>
      <c r="O55" s="11"/>
      <c r="P55" s="7">
        <v>13185.52</v>
      </c>
      <c r="Q55" s="2"/>
      <c r="R55" s="6">
        <f t="shared" si="32"/>
        <v>0.49409507535730079</v>
      </c>
      <c r="S55" s="2"/>
      <c r="T55" s="7">
        <v>54748</v>
      </c>
      <c r="U55" s="2"/>
      <c r="V55" s="6">
        <f t="shared" si="33"/>
        <v>0.88997984264256458</v>
      </c>
      <c r="W55" s="2"/>
      <c r="X55" s="7">
        <f t="shared" si="34"/>
        <v>-41562.479999999996</v>
      </c>
      <c r="Y55" s="2"/>
      <c r="Z55" s="6">
        <f t="shared" si="35"/>
        <v>-0.75915978665887329</v>
      </c>
    </row>
    <row r="56" spans="1:26" s="27" customFormat="1" outlineLevel="1" collapsed="1" x14ac:dyDescent="0.25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407.23</v>
      </c>
      <c r="E56" s="1"/>
      <c r="F56" s="5">
        <f t="shared" ref="F56:F66" si="36">IF(D$12=0,0,D56/D$12)</f>
        <v>3.0642735189369739E-2</v>
      </c>
      <c r="G56" s="1"/>
      <c r="H56" s="1">
        <f>SUM(OSRRefH22_6x_0)</f>
        <v>124</v>
      </c>
      <c r="I56" s="1"/>
      <c r="J56" s="5">
        <f t="shared" ref="J56:J66" si="37">IF(H$12=0,0,H56/H$12)</f>
        <v>4.4877130758930184E-3</v>
      </c>
      <c r="K56" s="1"/>
      <c r="L56" s="1">
        <f t="shared" ref="L56:L66" si="38">+D56-H56</f>
        <v>283.23</v>
      </c>
      <c r="M56" s="1"/>
      <c r="N56" s="5">
        <f t="shared" ref="N56:N66" si="39">IF(H56=0,0,L56/H56)</f>
        <v>2.2841129032258065</v>
      </c>
      <c r="O56" s="14"/>
      <c r="P56" s="1">
        <f>SUM(OSRRefP22_6x_0)</f>
        <v>585.38</v>
      </c>
      <c r="Q56" s="1"/>
      <c r="R56" s="5">
        <f t="shared" ref="R56:R66" si="40">IF(P$12=0,0,P56/P$12)</f>
        <v>2.1935682112852337E-2</v>
      </c>
      <c r="S56" s="1"/>
      <c r="T56" s="1">
        <f>SUM(OSRRefT22_6x_0)</f>
        <v>473</v>
      </c>
      <c r="U56" s="1"/>
      <c r="V56" s="5">
        <f t="shared" ref="V56:V66" si="41">IF(T$12=0,0,T56/T$12)</f>
        <v>7.6890565056245532E-3</v>
      </c>
      <c r="W56" s="1"/>
      <c r="X56" s="1">
        <f t="shared" ref="X56:X66" si="42">+P56-T56</f>
        <v>112.38</v>
      </c>
      <c r="Y56" s="1"/>
      <c r="Z56" s="5">
        <f t="shared" ref="Z56:Z66" si="43">IF(T56=0,0,X56/T56)</f>
        <v>0.23758985200845664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7">
        <v>407.23</v>
      </c>
      <c r="E57" s="2"/>
      <c r="F57" s="6">
        <f t="shared" si="36"/>
        <v>3.0642735189369739E-2</v>
      </c>
      <c r="G57" s="2"/>
      <c r="H57" s="7">
        <v>124</v>
      </c>
      <c r="I57" s="2"/>
      <c r="J57" s="6">
        <f t="shared" si="37"/>
        <v>4.4877130758930184E-3</v>
      </c>
      <c r="K57" s="2"/>
      <c r="L57" s="7">
        <f t="shared" si="38"/>
        <v>283.23</v>
      </c>
      <c r="M57" s="2"/>
      <c r="N57" s="6">
        <f t="shared" si="39"/>
        <v>2.2841129032258065</v>
      </c>
      <c r="O57" s="11"/>
      <c r="P57" s="7">
        <v>585.38</v>
      </c>
      <c r="Q57" s="2"/>
      <c r="R57" s="6">
        <f t="shared" si="40"/>
        <v>2.1935682112852337E-2</v>
      </c>
      <c r="S57" s="2"/>
      <c r="T57" s="7">
        <v>473</v>
      </c>
      <c r="U57" s="2"/>
      <c r="V57" s="6">
        <f t="shared" si="41"/>
        <v>7.6890565056245532E-3</v>
      </c>
      <c r="W57" s="2"/>
      <c r="X57" s="7">
        <f t="shared" si="42"/>
        <v>112.38</v>
      </c>
      <c r="Y57" s="2"/>
      <c r="Z57" s="6">
        <f t="shared" si="43"/>
        <v>0.23758985200845664</v>
      </c>
    </row>
    <row r="58" spans="1:26" s="27" customFormat="1" outlineLevel="1" collapsed="1" x14ac:dyDescent="0.25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SUM(OSRRefP22_7x_0)</f>
        <v>1955.07</v>
      </c>
      <c r="Q58" s="1"/>
      <c r="R58" s="5">
        <f t="shared" si="40"/>
        <v>7.3261460979832271E-2</v>
      </c>
      <c r="S58" s="1"/>
      <c r="T58" s="1">
        <f>SUM(OSRRefT22_7x_0)</f>
        <v>1355</v>
      </c>
      <c r="U58" s="1"/>
      <c r="V58" s="5">
        <f t="shared" si="41"/>
        <v>2.2026789778269069E-2</v>
      </c>
      <c r="W58" s="1"/>
      <c r="X58" s="1">
        <f t="shared" si="42"/>
        <v>600.06999999999994</v>
      </c>
      <c r="Y58" s="1"/>
      <c r="Z58" s="5">
        <f t="shared" si="43"/>
        <v>0.44285608856088554</v>
      </c>
    </row>
    <row r="59" spans="1:26" s="24" customFormat="1" hidden="1" outlineLevel="2" x14ac:dyDescent="0.25">
      <c r="A59" s="28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6"/>
        <v>0</v>
      </c>
      <c r="G59" s="2"/>
      <c r="H59" s="7">
        <v>0</v>
      </c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1955.07</v>
      </c>
      <c r="Q59" s="2"/>
      <c r="R59" s="6">
        <f t="shared" si="40"/>
        <v>7.3261460979832271E-2</v>
      </c>
      <c r="S59" s="2"/>
      <c r="T59" s="7">
        <v>1355</v>
      </c>
      <c r="U59" s="2"/>
      <c r="V59" s="6">
        <f t="shared" si="41"/>
        <v>2.2026789778269069E-2</v>
      </c>
      <c r="W59" s="2"/>
      <c r="X59" s="7">
        <f t="shared" si="42"/>
        <v>600.06999999999994</v>
      </c>
      <c r="Y59" s="2"/>
      <c r="Z59" s="6">
        <f t="shared" si="43"/>
        <v>0.44285608856088554</v>
      </c>
    </row>
    <row r="60" spans="1:26" s="27" customFormat="1" outlineLevel="1" collapsed="1" x14ac:dyDescent="0.25">
      <c r="A60" s="29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641.28</v>
      </c>
      <c r="E60" s="1"/>
      <c r="F60" s="5">
        <f t="shared" si="36"/>
        <v>4.8254237709007261E-2</v>
      </c>
      <c r="G60" s="1"/>
      <c r="H60" s="1">
        <f>SUM(OSRRefH22_8x_0)</f>
        <v>705</v>
      </c>
      <c r="I60" s="1"/>
      <c r="J60" s="5">
        <f t="shared" si="37"/>
        <v>2.551482031052079E-2</v>
      </c>
      <c r="K60" s="1"/>
      <c r="L60" s="1">
        <f t="shared" si="38"/>
        <v>-63.720000000000027</v>
      </c>
      <c r="M60" s="1"/>
      <c r="N60" s="5">
        <f t="shared" si="39"/>
        <v>-9.0382978723404298E-2</v>
      </c>
      <c r="O60" s="14"/>
      <c r="P60" s="1">
        <f>SUM(OSRRefP22_8x_0)</f>
        <v>2565.12</v>
      </c>
      <c r="Q60" s="1"/>
      <c r="R60" s="5">
        <f t="shared" si="40"/>
        <v>9.6121590934640372E-2</v>
      </c>
      <c r="S60" s="1"/>
      <c r="T60" s="1">
        <f>SUM(OSRRefT22_8x_0)</f>
        <v>2820</v>
      </c>
      <c r="U60" s="1"/>
      <c r="V60" s="5">
        <f t="shared" si="41"/>
        <v>4.584173223226478E-2</v>
      </c>
      <c r="W60" s="1"/>
      <c r="X60" s="1">
        <f t="shared" si="42"/>
        <v>-254.88000000000011</v>
      </c>
      <c r="Y60" s="1"/>
      <c r="Z60" s="5">
        <f t="shared" si="43"/>
        <v>-9.0382978723404298E-2</v>
      </c>
    </row>
    <row r="61" spans="1:26" s="24" customFormat="1" hidden="1" outlineLevel="2" x14ac:dyDescent="0.25">
      <c r="A61" s="28"/>
      <c r="B61" s="11" t="str">
        <f>CONCATENATE("          ", "6314", " - ", "LIABILITY INSURANCE")</f>
        <v xml:space="preserve">          6314 - LIABILITY INSURANCE</v>
      </c>
      <c r="C61" s="11"/>
      <c r="D61" s="7">
        <v>641.28</v>
      </c>
      <c r="E61" s="2"/>
      <c r="F61" s="6">
        <f t="shared" si="36"/>
        <v>4.8254237709007261E-2</v>
      </c>
      <c r="G61" s="2"/>
      <c r="H61" s="7">
        <v>705</v>
      </c>
      <c r="I61" s="2"/>
      <c r="J61" s="6">
        <f t="shared" si="37"/>
        <v>2.551482031052079E-2</v>
      </c>
      <c r="K61" s="2"/>
      <c r="L61" s="7">
        <f t="shared" si="38"/>
        <v>-63.720000000000027</v>
      </c>
      <c r="M61" s="2"/>
      <c r="N61" s="6">
        <f t="shared" si="39"/>
        <v>-9.0382978723404298E-2</v>
      </c>
      <c r="O61" s="11"/>
      <c r="P61" s="7">
        <v>2565.12</v>
      </c>
      <c r="Q61" s="2"/>
      <c r="R61" s="6">
        <f t="shared" si="40"/>
        <v>9.6121590934640372E-2</v>
      </c>
      <c r="S61" s="2"/>
      <c r="T61" s="7">
        <v>2820</v>
      </c>
      <c r="U61" s="2"/>
      <c r="V61" s="6">
        <f t="shared" si="41"/>
        <v>4.584173223226478E-2</v>
      </c>
      <c r="W61" s="2"/>
      <c r="X61" s="7">
        <f t="shared" si="42"/>
        <v>-254.88000000000011</v>
      </c>
      <c r="Y61" s="2"/>
      <c r="Z61" s="6">
        <f t="shared" si="43"/>
        <v>-9.0382978723404298E-2</v>
      </c>
    </row>
    <row r="62" spans="1:26" s="27" customFormat="1" outlineLevel="1" collapsed="1" x14ac:dyDescent="0.25">
      <c r="A62" s="29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7023.15</v>
      </c>
      <c r="E62" s="1"/>
      <c r="F62" s="5">
        <f t="shared" si="36"/>
        <v>0.52846923273143454</v>
      </c>
      <c r="G62" s="1"/>
      <c r="H62" s="1">
        <f>SUM(OSRRefH22_9x_0)</f>
        <v>7510</v>
      </c>
      <c r="I62" s="1"/>
      <c r="J62" s="5">
        <f t="shared" si="37"/>
        <v>0.27179617096739167</v>
      </c>
      <c r="K62" s="1"/>
      <c r="L62" s="1">
        <f t="shared" si="38"/>
        <v>-486.85000000000036</v>
      </c>
      <c r="M62" s="1"/>
      <c r="N62" s="5">
        <f t="shared" si="39"/>
        <v>-6.4826897470040001E-2</v>
      </c>
      <c r="O62" s="14"/>
      <c r="P62" s="1">
        <f>SUM(OSRRefP22_9x_0)</f>
        <v>29553.15</v>
      </c>
      <c r="Q62" s="1"/>
      <c r="R62" s="5">
        <f t="shared" si="40"/>
        <v>1.1074319311104617</v>
      </c>
      <c r="S62" s="1"/>
      <c r="T62" s="1">
        <f>SUM(OSRRefT22_9x_0)</f>
        <v>30040</v>
      </c>
      <c r="U62" s="1"/>
      <c r="V62" s="5">
        <f t="shared" si="41"/>
        <v>0.48832823980752976</v>
      </c>
      <c r="W62" s="1"/>
      <c r="X62" s="1">
        <f t="shared" si="42"/>
        <v>-486.84999999999854</v>
      </c>
      <c r="Y62" s="1"/>
      <c r="Z62" s="5">
        <f t="shared" si="43"/>
        <v>-1.6206724367509938E-2</v>
      </c>
    </row>
    <row r="63" spans="1:26" s="24" customFormat="1" hidden="1" outlineLevel="2" x14ac:dyDescent="0.25">
      <c r="A63" s="28"/>
      <c r="B63" s="11" t="str">
        <f>CONCATENATE("          ", "6401", " - ", "INTEREST EXPENSE")</f>
        <v xml:space="preserve">          6401 - INTEREST EXPENSE</v>
      </c>
      <c r="C63" s="11"/>
      <c r="D63" s="7">
        <v>7023.15</v>
      </c>
      <c r="E63" s="2"/>
      <c r="F63" s="6">
        <f t="shared" si="36"/>
        <v>0.52846923273143454</v>
      </c>
      <c r="G63" s="2"/>
      <c r="H63" s="7">
        <v>7510</v>
      </c>
      <c r="I63" s="2"/>
      <c r="J63" s="6">
        <f t="shared" si="37"/>
        <v>0.27179617096739167</v>
      </c>
      <c r="K63" s="2"/>
      <c r="L63" s="7">
        <f t="shared" si="38"/>
        <v>-486.85000000000036</v>
      </c>
      <c r="M63" s="2"/>
      <c r="N63" s="6">
        <f t="shared" si="39"/>
        <v>-6.4826897470040001E-2</v>
      </c>
      <c r="O63" s="11"/>
      <c r="P63" s="7">
        <v>29553.15</v>
      </c>
      <c r="Q63" s="2"/>
      <c r="R63" s="6">
        <f t="shared" si="40"/>
        <v>1.1074319311104617</v>
      </c>
      <c r="S63" s="2"/>
      <c r="T63" s="7">
        <v>30040</v>
      </c>
      <c r="U63" s="2"/>
      <c r="V63" s="6">
        <f t="shared" si="41"/>
        <v>0.48832823980752976</v>
      </c>
      <c r="W63" s="2"/>
      <c r="X63" s="7">
        <f t="shared" si="42"/>
        <v>-486.84999999999854</v>
      </c>
      <c r="Y63" s="2"/>
      <c r="Z63" s="6">
        <f t="shared" si="43"/>
        <v>-1.6206724367509938E-2</v>
      </c>
    </row>
    <row r="64" spans="1:26" s="27" customFormat="1" outlineLevel="1" collapsed="1" x14ac:dyDescent="0.25">
      <c r="A64" s="29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3999.35</v>
      </c>
      <c r="E64" s="1"/>
      <c r="F64" s="5">
        <f t="shared" si="36"/>
        <v>0.300938101268585</v>
      </c>
      <c r="G64" s="1"/>
      <c r="H64" s="1">
        <f>SUM(OSRRefH22_10x_0)</f>
        <v>7332</v>
      </c>
      <c r="I64" s="1"/>
      <c r="J64" s="5">
        <f t="shared" si="37"/>
        <v>0.26535413122941626</v>
      </c>
      <c r="K64" s="1"/>
      <c r="L64" s="1">
        <f t="shared" si="38"/>
        <v>-3332.65</v>
      </c>
      <c r="M64" s="1"/>
      <c r="N64" s="5">
        <f t="shared" si="39"/>
        <v>-0.45453491543917079</v>
      </c>
      <c r="O64" s="14"/>
      <c r="P64" s="1">
        <f>SUM(OSRRefP22_10x_0)</f>
        <v>11838.31</v>
      </c>
      <c r="Q64" s="1"/>
      <c r="R64" s="5">
        <f t="shared" si="40"/>
        <v>0.44361167944480667</v>
      </c>
      <c r="S64" s="1"/>
      <c r="T64" s="1">
        <f>SUM(OSRRefT22_10x_0)</f>
        <v>9162</v>
      </c>
      <c r="U64" s="1"/>
      <c r="V64" s="5">
        <f t="shared" si="41"/>
        <v>0.14893686195461345</v>
      </c>
      <c r="W64" s="1"/>
      <c r="X64" s="1">
        <f t="shared" si="42"/>
        <v>2676.3099999999995</v>
      </c>
      <c r="Y64" s="1"/>
      <c r="Z64" s="5">
        <f t="shared" si="43"/>
        <v>0.29210980135341624</v>
      </c>
    </row>
    <row r="65" spans="1:26" s="24" customFormat="1" hidden="1" outlineLevel="2" x14ac:dyDescent="0.25">
      <c r="A65" s="28"/>
      <c r="B65" s="11" t="str">
        <f>CONCATENATE("          ", "6373", " - ", "MAINTENANCE CONTRACTS")</f>
        <v xml:space="preserve">          6373 - MAINTENANCE CONTRACTS</v>
      </c>
      <c r="C65" s="11"/>
      <c r="D65" s="7">
        <v>3179.44</v>
      </c>
      <c r="E65" s="2"/>
      <c r="F65" s="6">
        <f t="shared" si="36"/>
        <v>0.23924253608646151</v>
      </c>
      <c r="G65" s="2"/>
      <c r="H65" s="7">
        <v>103</v>
      </c>
      <c r="I65" s="2"/>
      <c r="J65" s="6">
        <f t="shared" si="37"/>
        <v>3.7276971517498461E-3</v>
      </c>
      <c r="K65" s="2"/>
      <c r="L65" s="7">
        <f t="shared" si="38"/>
        <v>3076.44</v>
      </c>
      <c r="M65" s="2"/>
      <c r="N65" s="6">
        <f t="shared" si="39"/>
        <v>29.868349514563107</v>
      </c>
      <c r="O65" s="11"/>
      <c r="P65" s="7">
        <v>6487.82</v>
      </c>
      <c r="Q65" s="2"/>
      <c r="R65" s="6">
        <f t="shared" si="40"/>
        <v>0.24311516813933792</v>
      </c>
      <c r="S65" s="2"/>
      <c r="T65" s="7">
        <v>103</v>
      </c>
      <c r="U65" s="2"/>
      <c r="V65" s="6">
        <f t="shared" si="41"/>
        <v>1.6743611418167631E-3</v>
      </c>
      <c r="W65" s="2"/>
      <c r="X65" s="7">
        <f t="shared" si="42"/>
        <v>6384.82</v>
      </c>
      <c r="Y65" s="2"/>
      <c r="Z65" s="6">
        <f t="shared" si="43"/>
        <v>61.988543689320387</v>
      </c>
    </row>
    <row r="66" spans="1:26" s="24" customFormat="1" hidden="1" outlineLevel="2" x14ac:dyDescent="0.25">
      <c r="A66" s="28"/>
      <c r="B66" s="11" t="str">
        <f>CONCATENATE("          ", "6375", " - ", "OUTSIDE REPAIRS &amp; MAINTENANCE")</f>
        <v xml:space="preserve">          6375 - OUTSIDE REPAIRS &amp; MAINTENANCE</v>
      </c>
      <c r="C66" s="11"/>
      <c r="D66" s="7">
        <v>819.91</v>
      </c>
      <c r="E66" s="2"/>
      <c r="F66" s="6">
        <f t="shared" si="36"/>
        <v>6.169556518212347E-2</v>
      </c>
      <c r="G66" s="2"/>
      <c r="H66" s="7">
        <v>7229</v>
      </c>
      <c r="I66" s="2"/>
      <c r="J66" s="6">
        <f t="shared" si="37"/>
        <v>0.26162643407766639</v>
      </c>
      <c r="K66" s="2"/>
      <c r="L66" s="7">
        <f t="shared" si="38"/>
        <v>-6409.09</v>
      </c>
      <c r="M66" s="2"/>
      <c r="N66" s="6">
        <f t="shared" si="39"/>
        <v>-0.8865804398948679</v>
      </c>
      <c r="O66" s="11"/>
      <c r="P66" s="7">
        <v>5350.49</v>
      </c>
      <c r="Q66" s="2"/>
      <c r="R66" s="6">
        <f t="shared" si="40"/>
        <v>0.20049651130546872</v>
      </c>
      <c r="S66" s="2"/>
      <c r="T66" s="7">
        <v>9059</v>
      </c>
      <c r="U66" s="2"/>
      <c r="V66" s="6">
        <f t="shared" si="41"/>
        <v>0.14726250081279668</v>
      </c>
      <c r="W66" s="2"/>
      <c r="X66" s="7">
        <f t="shared" si="42"/>
        <v>-3708.51</v>
      </c>
      <c r="Y66" s="2"/>
      <c r="Z66" s="6">
        <f t="shared" si="43"/>
        <v>-0.40937299922728781</v>
      </c>
    </row>
    <row r="67" spans="1:26" s="27" customFormat="1" outlineLevel="1" collapsed="1" x14ac:dyDescent="0.25">
      <c r="A67" s="29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SUM(OSRRefD22_11x_0)</f>
        <v>2083.73</v>
      </c>
      <c r="E67" s="1"/>
      <c r="F67" s="5">
        <f t="shared" ref="F67:F72" si="44">IF(D$12=0,0,D67/D$12)</f>
        <v>0.15679391645052038</v>
      </c>
      <c r="G67" s="1"/>
      <c r="H67" s="1">
        <f>SUM(OSRRefH22_11x_0)</f>
        <v>4293</v>
      </c>
      <c r="I67" s="1"/>
      <c r="J67" s="5">
        <f t="shared" ref="J67:J72" si="45">IF(H$12=0,0,H67/H$12)</f>
        <v>0.15536896963555427</v>
      </c>
      <c r="K67" s="1"/>
      <c r="L67" s="1">
        <f t="shared" ref="L67:L72" si="46">+D67-H67</f>
        <v>-2209.27</v>
      </c>
      <c r="M67" s="1"/>
      <c r="N67" s="5">
        <f t="shared" ref="N67:N72" si="47">IF(H67=0,0,L67/H67)</f>
        <v>-0.51462147682273462</v>
      </c>
      <c r="O67" s="14"/>
      <c r="P67" s="1">
        <f>SUM(OSRRefP22_11x_0)</f>
        <v>12004.589999999998</v>
      </c>
      <c r="Q67" s="1"/>
      <c r="R67" s="5">
        <f t="shared" ref="R67:R72" si="48">IF(P$12=0,0,P67/P$12)</f>
        <v>0.44984261528430419</v>
      </c>
      <c r="S67" s="1"/>
      <c r="T67" s="1">
        <f>SUM(OSRRefT22_11x_0)</f>
        <v>15835</v>
      </c>
      <c r="U67" s="1"/>
      <c r="V67" s="5">
        <f t="shared" ref="V67:V72" si="49">IF(T$12=0,0,T67/T$12)</f>
        <v>0.25741270563755769</v>
      </c>
      <c r="W67" s="1"/>
      <c r="X67" s="1">
        <f t="shared" ref="X67:X72" si="50">+P67-T67</f>
        <v>-3830.4100000000017</v>
      </c>
      <c r="Y67" s="1"/>
      <c r="Z67" s="5">
        <f t="shared" ref="Z67:Z72" si="51">IF(T67=0,0,X67/T67)</f>
        <v>-0.24189516892958646</v>
      </c>
    </row>
    <row r="68" spans="1:26" s="24" customFormat="1" hidden="1" outlineLevel="2" x14ac:dyDescent="0.25">
      <c r="A68" s="28"/>
      <c r="B68" s="11" t="str">
        <f>CONCATENATE("          ", "6282", " - ", "JANITORIAL/EXTERMINATOR EXPENS")</f>
        <v xml:space="preserve">          6282 - JANITORIAL/EXTERMINATOR EXPENS</v>
      </c>
      <c r="C68" s="11"/>
      <c r="D68" s="7">
        <v>971.78</v>
      </c>
      <c r="E68" s="2"/>
      <c r="F68" s="6">
        <f t="shared" si="44"/>
        <v>7.3123289547247811E-2</v>
      </c>
      <c r="G68" s="2"/>
      <c r="H68" s="7">
        <v>329</v>
      </c>
      <c r="I68" s="2"/>
      <c r="J68" s="6">
        <f t="shared" si="45"/>
        <v>1.1906916144909702E-2</v>
      </c>
      <c r="K68" s="2"/>
      <c r="L68" s="7">
        <f t="shared" si="46"/>
        <v>642.78</v>
      </c>
      <c r="M68" s="2"/>
      <c r="N68" s="6">
        <f t="shared" si="47"/>
        <v>1.9537386018237082</v>
      </c>
      <c r="O68" s="11"/>
      <c r="P68" s="7">
        <v>1466.03</v>
      </c>
      <c r="Q68" s="2"/>
      <c r="R68" s="6">
        <f t="shared" si="48"/>
        <v>5.4935884464629658E-2</v>
      </c>
      <c r="S68" s="2"/>
      <c r="T68" s="7">
        <v>1316</v>
      </c>
      <c r="U68" s="2"/>
      <c r="V68" s="6">
        <f t="shared" si="49"/>
        <v>2.1392808375056895E-2</v>
      </c>
      <c r="W68" s="2"/>
      <c r="X68" s="7">
        <f t="shared" si="50"/>
        <v>150.02999999999997</v>
      </c>
      <c r="Y68" s="2"/>
      <c r="Z68" s="6">
        <f t="shared" si="51"/>
        <v>0.1140045592705167</v>
      </c>
    </row>
    <row r="69" spans="1:26" s="24" customFormat="1" hidden="1" outlineLevel="2" x14ac:dyDescent="0.25">
      <c r="A69" s="28"/>
      <c r="B69" s="11" t="str">
        <f>CONCATENATE("          ", "6283", " - ", "PLANT SERVICE")</f>
        <v xml:space="preserve">          6283 - PLANT SERVICE</v>
      </c>
      <c r="C69" s="11"/>
      <c r="D69" s="7"/>
      <c r="E69" s="2"/>
      <c r="F69" s="6">
        <f t="shared" si="44"/>
        <v>0</v>
      </c>
      <c r="G69" s="2"/>
      <c r="H69" s="7"/>
      <c r="I69" s="2"/>
      <c r="J69" s="6">
        <f t="shared" si="45"/>
        <v>0</v>
      </c>
      <c r="K69" s="2"/>
      <c r="L69" s="7">
        <f t="shared" si="46"/>
        <v>0</v>
      </c>
      <c r="M69" s="2"/>
      <c r="N69" s="6">
        <f t="shared" si="47"/>
        <v>0</v>
      </c>
      <c r="O69" s="11"/>
      <c r="P69" s="7"/>
      <c r="Q69" s="2"/>
      <c r="R69" s="6">
        <f t="shared" si="48"/>
        <v>0</v>
      </c>
      <c r="S69" s="2"/>
      <c r="T69" s="7">
        <v>186</v>
      </c>
      <c r="U69" s="2"/>
      <c r="V69" s="6">
        <f t="shared" si="49"/>
        <v>3.0236036153195919E-3</v>
      </c>
      <c r="W69" s="2"/>
      <c r="X69" s="7">
        <f t="shared" si="50"/>
        <v>-186</v>
      </c>
      <c r="Y69" s="2"/>
      <c r="Z69" s="6">
        <f t="shared" si="51"/>
        <v>-1</v>
      </c>
    </row>
    <row r="70" spans="1:26" s="24" customFormat="1" hidden="1" outlineLevel="2" x14ac:dyDescent="0.25">
      <c r="A70" s="28"/>
      <c r="B70" s="11" t="str">
        <f>CONCATENATE("          ", "6284", " - ", "TRASH REMOVAL EXPENSE")</f>
        <v xml:space="preserve">          6284 - TRASH REMOVAL EXPENSE</v>
      </c>
      <c r="C70" s="11"/>
      <c r="D70" s="7">
        <v>1000</v>
      </c>
      <c r="E70" s="2"/>
      <c r="F70" s="6">
        <f t="shared" si="44"/>
        <v>7.5246752914494855E-2</v>
      </c>
      <c r="G70" s="2"/>
      <c r="H70" s="7">
        <v>623</v>
      </c>
      <c r="I70" s="2"/>
      <c r="J70" s="6">
        <f t="shared" si="45"/>
        <v>2.2547139082914117E-2</v>
      </c>
      <c r="K70" s="2"/>
      <c r="L70" s="7">
        <f t="shared" si="46"/>
        <v>377</v>
      </c>
      <c r="M70" s="2"/>
      <c r="N70" s="6">
        <f t="shared" si="47"/>
        <v>0.60513643659711081</v>
      </c>
      <c r="O70" s="11"/>
      <c r="P70" s="7">
        <v>3761</v>
      </c>
      <c r="Q70" s="2"/>
      <c r="R70" s="6">
        <f t="shared" si="48"/>
        <v>0.14093426565041106</v>
      </c>
      <c r="S70" s="2"/>
      <c r="T70" s="7">
        <v>1869</v>
      </c>
      <c r="U70" s="2"/>
      <c r="V70" s="6">
        <f t="shared" si="49"/>
        <v>3.0382339553937186E-2</v>
      </c>
      <c r="W70" s="2"/>
      <c r="X70" s="7">
        <f t="shared" si="50"/>
        <v>1892</v>
      </c>
      <c r="Y70" s="2"/>
      <c r="Z70" s="6">
        <f t="shared" si="51"/>
        <v>1.0123060460139113</v>
      </c>
    </row>
    <row r="71" spans="1:26" s="24" customFormat="1" hidden="1" outlineLevel="2" x14ac:dyDescent="0.25">
      <c r="A71" s="28"/>
      <c r="B71" s="11" t="str">
        <f>CONCATENATE("          ", "6285", " - ", "JANITORIAL SERVICES")</f>
        <v xml:space="preserve">          6285 - JANITORIAL SERVICES</v>
      </c>
      <c r="C71" s="11"/>
      <c r="D71" s="7"/>
      <c r="E71" s="2"/>
      <c r="F71" s="6">
        <f t="shared" si="44"/>
        <v>0</v>
      </c>
      <c r="G71" s="2"/>
      <c r="H71" s="7">
        <v>3341</v>
      </c>
      <c r="I71" s="2"/>
      <c r="J71" s="6">
        <f t="shared" si="45"/>
        <v>0.12091491440773044</v>
      </c>
      <c r="K71" s="2"/>
      <c r="L71" s="7">
        <f t="shared" si="46"/>
        <v>-3341</v>
      </c>
      <c r="M71" s="2"/>
      <c r="N71" s="6">
        <f t="shared" si="47"/>
        <v>-1</v>
      </c>
      <c r="O71" s="11"/>
      <c r="P71" s="7">
        <v>6411.93</v>
      </c>
      <c r="Q71" s="2"/>
      <c r="R71" s="6">
        <f t="shared" si="48"/>
        <v>0.2402713762169211</v>
      </c>
      <c r="S71" s="2"/>
      <c r="T71" s="7">
        <v>12464</v>
      </c>
      <c r="U71" s="2"/>
      <c r="V71" s="6">
        <f t="shared" si="49"/>
        <v>0.20261395409324404</v>
      </c>
      <c r="W71" s="2"/>
      <c r="X71" s="7">
        <f t="shared" si="50"/>
        <v>-6052.07</v>
      </c>
      <c r="Y71" s="2"/>
      <c r="Z71" s="6">
        <f t="shared" si="51"/>
        <v>-0.48556402439024388</v>
      </c>
    </row>
    <row r="72" spans="1:26" s="24" customFormat="1" hidden="1" outlineLevel="2" x14ac:dyDescent="0.25">
      <c r="A72" s="28"/>
      <c r="B72" s="11" t="str">
        <f>CONCATENATE("          ", "6286", " - ", "LAUNDRY EXPENSE")</f>
        <v xml:space="preserve">          6286 - LAUNDRY EXPENSE</v>
      </c>
      <c r="C72" s="11"/>
      <c r="D72" s="7">
        <v>111.95</v>
      </c>
      <c r="E72" s="2"/>
      <c r="F72" s="6">
        <f t="shared" si="44"/>
        <v>8.4238739887776987E-3</v>
      </c>
      <c r="G72" s="2"/>
      <c r="H72" s="7"/>
      <c r="I72" s="2"/>
      <c r="J72" s="6">
        <f t="shared" si="45"/>
        <v>0</v>
      </c>
      <c r="K72" s="2"/>
      <c r="L72" s="7">
        <f t="shared" si="46"/>
        <v>111.95</v>
      </c>
      <c r="M72" s="2"/>
      <c r="N72" s="6">
        <f t="shared" si="47"/>
        <v>0</v>
      </c>
      <c r="O72" s="11"/>
      <c r="P72" s="7">
        <v>365.63</v>
      </c>
      <c r="Q72" s="2"/>
      <c r="R72" s="6">
        <f t="shared" si="48"/>
        <v>1.3701088952342408E-2</v>
      </c>
      <c r="S72" s="2"/>
      <c r="T72" s="7"/>
      <c r="U72" s="2"/>
      <c r="V72" s="6">
        <f t="shared" si="49"/>
        <v>0</v>
      </c>
      <c r="W72" s="2"/>
      <c r="X72" s="7">
        <f t="shared" si="50"/>
        <v>365.63</v>
      </c>
      <c r="Y72" s="2"/>
      <c r="Z72" s="6">
        <f t="shared" si="51"/>
        <v>0</v>
      </c>
    </row>
    <row r="73" spans="1:26" s="27" customFormat="1" outlineLevel="1" collapsed="1" x14ac:dyDescent="0.25">
      <c r="A73" s="29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SUM(OSRRefD22_12x_0)</f>
        <v>130.66999999999999</v>
      </c>
      <c r="E73" s="1"/>
      <c r="F73" s="5">
        <f t="shared" ref="F73:F82" si="52">IF(D$12=0,0,D73/D$12)</f>
        <v>9.8324932033370411E-3</v>
      </c>
      <c r="G73" s="1"/>
      <c r="H73" s="1">
        <f>SUM(OSRRefH22_12x_0)</f>
        <v>197</v>
      </c>
      <c r="I73" s="1"/>
      <c r="J73" s="5">
        <f t="shared" ref="J73:J82" si="53">IF(H$12=0,0,H73/H$12)</f>
        <v>7.1296731931526185E-3</v>
      </c>
      <c r="K73" s="1"/>
      <c r="L73" s="1">
        <f t="shared" ref="L73:L82" si="54">+D73-H73</f>
        <v>-66.330000000000013</v>
      </c>
      <c r="M73" s="1"/>
      <c r="N73" s="5">
        <f t="shared" ref="N73:N82" si="55">IF(H73=0,0,L73/H73)</f>
        <v>-0.33670050761421327</v>
      </c>
      <c r="O73" s="14"/>
      <c r="P73" s="1">
        <f>SUM(OSRRefP22_12x_0)</f>
        <v>271.33</v>
      </c>
      <c r="Q73" s="1"/>
      <c r="R73" s="5">
        <f t="shared" ref="R73:R82" si="56">IF(P$12=0,0,P73/P$12)</f>
        <v>1.0167427359459195E-2</v>
      </c>
      <c r="S73" s="1"/>
      <c r="T73" s="1">
        <f>SUM(OSRRefT22_12x_0)</f>
        <v>788</v>
      </c>
      <c r="U73" s="1"/>
      <c r="V73" s="5">
        <f t="shared" ref="V73:V82" si="57">IF(T$12=0,0,T73/T$12)</f>
        <v>1.2809675531569023E-2</v>
      </c>
      <c r="W73" s="1"/>
      <c r="X73" s="1">
        <f t="shared" ref="X73:X82" si="58">+P73-T73</f>
        <v>-516.67000000000007</v>
      </c>
      <c r="Y73" s="1"/>
      <c r="Z73" s="5">
        <f t="shared" ref="Z73:Z82" si="59">IF(T73=0,0,X73/T73)</f>
        <v>-0.65567258883248736</v>
      </c>
    </row>
    <row r="74" spans="1:26" s="24" customFormat="1" hidden="1" outlineLevel="2" x14ac:dyDescent="0.25">
      <c r="A74" s="28"/>
      <c r="B74" s="11" t="str">
        <f>CONCATENATE("          ", "6275", " - ", "SUBSCRIPTIONS")</f>
        <v xml:space="preserve">          6275 - SUBSCRIPTIONS</v>
      </c>
      <c r="C74" s="11"/>
      <c r="D74" s="7">
        <v>130.66999999999999</v>
      </c>
      <c r="E74" s="2"/>
      <c r="F74" s="6">
        <f t="shared" si="52"/>
        <v>9.8324932033370411E-3</v>
      </c>
      <c r="G74" s="2"/>
      <c r="H74" s="7">
        <v>197</v>
      </c>
      <c r="I74" s="2"/>
      <c r="J74" s="6">
        <f t="shared" si="53"/>
        <v>7.1296731931526185E-3</v>
      </c>
      <c r="K74" s="2"/>
      <c r="L74" s="7">
        <f t="shared" si="54"/>
        <v>-66.330000000000013</v>
      </c>
      <c r="M74" s="2"/>
      <c r="N74" s="6">
        <f t="shared" si="55"/>
        <v>-0.33670050761421327</v>
      </c>
      <c r="O74" s="11"/>
      <c r="P74" s="7">
        <v>271.33</v>
      </c>
      <c r="Q74" s="2"/>
      <c r="R74" s="6">
        <f t="shared" si="56"/>
        <v>1.0167427359459195E-2</v>
      </c>
      <c r="S74" s="2"/>
      <c r="T74" s="7">
        <v>788</v>
      </c>
      <c r="U74" s="2"/>
      <c r="V74" s="6">
        <f t="shared" si="57"/>
        <v>1.2809675531569023E-2</v>
      </c>
      <c r="W74" s="2"/>
      <c r="X74" s="7">
        <f t="shared" si="58"/>
        <v>-516.67000000000007</v>
      </c>
      <c r="Y74" s="2"/>
      <c r="Z74" s="6">
        <f t="shared" si="59"/>
        <v>-0.65567258883248736</v>
      </c>
    </row>
    <row r="75" spans="1:26" s="27" customFormat="1" outlineLevel="1" collapsed="1" x14ac:dyDescent="0.25">
      <c r="A75" s="29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6392.76</v>
      </c>
      <c r="E75" s="1"/>
      <c r="F75" s="5">
        <f t="shared" si="52"/>
        <v>0.48103443216166614</v>
      </c>
      <c r="G75" s="1"/>
      <c r="H75" s="1">
        <f>SUM(OSRRefH22_13x_0)</f>
        <v>2718</v>
      </c>
      <c r="I75" s="1"/>
      <c r="J75" s="5">
        <f t="shared" si="53"/>
        <v>9.8367775324816331E-2</v>
      </c>
      <c r="K75" s="1"/>
      <c r="L75" s="1">
        <f t="shared" si="54"/>
        <v>3674.76</v>
      </c>
      <c r="M75" s="1"/>
      <c r="N75" s="5">
        <f t="shared" si="55"/>
        <v>1.3520088300220752</v>
      </c>
      <c r="O75" s="14"/>
      <c r="P75" s="1">
        <f>SUM(OSRRefP22_13x_0)</f>
        <v>7486.5</v>
      </c>
      <c r="Q75" s="1"/>
      <c r="R75" s="5">
        <f t="shared" si="56"/>
        <v>0.28053825572767949</v>
      </c>
      <c r="S75" s="1"/>
      <c r="T75" s="1">
        <f>SUM(OSRRefT22_13x_0)</f>
        <v>11331</v>
      </c>
      <c r="U75" s="1"/>
      <c r="V75" s="5">
        <f t="shared" si="57"/>
        <v>0.18419598153325964</v>
      </c>
      <c r="W75" s="1"/>
      <c r="X75" s="1">
        <f t="shared" si="58"/>
        <v>-3844.5</v>
      </c>
      <c r="Y75" s="1"/>
      <c r="Z75" s="5">
        <f t="shared" si="59"/>
        <v>-0.33929044214985438</v>
      </c>
    </row>
    <row r="76" spans="1:26" s="24" customFormat="1" hidden="1" outlineLevel="2" x14ac:dyDescent="0.25">
      <c r="A76" s="28"/>
      <c r="B76" s="11" t="str">
        <f>CONCATENATE("          ", "6234", " - ", "EXPENDABLE SUPPLIES &amp; EQUIPMEN")</f>
        <v xml:space="preserve">          6234 - EXPENDABLE SUPPLIES &amp; EQUIPMEN</v>
      </c>
      <c r="C76" s="11"/>
      <c r="D76" s="7">
        <v>55.13</v>
      </c>
      <c r="E76" s="2"/>
      <c r="F76" s="6">
        <f t="shared" si="52"/>
        <v>4.1483534881761016E-3</v>
      </c>
      <c r="G76" s="2"/>
      <c r="H76" s="7"/>
      <c r="I76" s="2"/>
      <c r="J76" s="6">
        <f t="shared" si="53"/>
        <v>0</v>
      </c>
      <c r="K76" s="2"/>
      <c r="L76" s="7">
        <f t="shared" si="54"/>
        <v>55.13</v>
      </c>
      <c r="M76" s="2"/>
      <c r="N76" s="6">
        <f t="shared" si="55"/>
        <v>0</v>
      </c>
      <c r="O76" s="11"/>
      <c r="P76" s="7">
        <v>310.91000000000003</v>
      </c>
      <c r="Q76" s="2"/>
      <c r="R76" s="6">
        <f t="shared" si="56"/>
        <v>1.1650590942134886E-2</v>
      </c>
      <c r="S76" s="2"/>
      <c r="T76" s="7"/>
      <c r="U76" s="2"/>
      <c r="V76" s="6">
        <f t="shared" si="57"/>
        <v>0</v>
      </c>
      <c r="W76" s="2"/>
      <c r="X76" s="7">
        <f t="shared" si="58"/>
        <v>310.91000000000003</v>
      </c>
      <c r="Y76" s="2"/>
      <c r="Z76" s="6">
        <f t="shared" si="59"/>
        <v>0</v>
      </c>
    </row>
    <row r="77" spans="1:26" s="24" customFormat="1" hidden="1" outlineLevel="2" x14ac:dyDescent="0.25">
      <c r="A77" s="28"/>
      <c r="B77" s="11" t="str">
        <f>CONCATENATE("          ", "6235", " - ", "COVID-19 EXPENSES")</f>
        <v xml:space="preserve">          6235 - COVID-19 EXPENSES</v>
      </c>
      <c r="C77" s="11"/>
      <c r="D77" s="7">
        <v>5932</v>
      </c>
      <c r="E77" s="2"/>
      <c r="F77" s="6">
        <f t="shared" si="52"/>
        <v>0.44636373828878345</v>
      </c>
      <c r="G77" s="2"/>
      <c r="H77" s="7"/>
      <c r="I77" s="2"/>
      <c r="J77" s="6">
        <f t="shared" si="53"/>
        <v>0</v>
      </c>
      <c r="K77" s="2"/>
      <c r="L77" s="7">
        <f t="shared" si="54"/>
        <v>5932</v>
      </c>
      <c r="M77" s="2"/>
      <c r="N77" s="6">
        <f t="shared" si="55"/>
        <v>0</v>
      </c>
      <c r="O77" s="11"/>
      <c r="P77" s="7">
        <v>6753.97</v>
      </c>
      <c r="Q77" s="2"/>
      <c r="R77" s="6">
        <f t="shared" si="56"/>
        <v>0.25308848768277237</v>
      </c>
      <c r="S77" s="2"/>
      <c r="T77" s="7"/>
      <c r="U77" s="2"/>
      <c r="V77" s="6">
        <f t="shared" si="57"/>
        <v>0</v>
      </c>
      <c r="W77" s="2"/>
      <c r="X77" s="7">
        <f t="shared" si="58"/>
        <v>6753.97</v>
      </c>
      <c r="Y77" s="2"/>
      <c r="Z77" s="6">
        <f t="shared" si="59"/>
        <v>0</v>
      </c>
    </row>
    <row r="78" spans="1:26" s="24" customFormat="1" hidden="1" outlineLevel="2" x14ac:dyDescent="0.25">
      <c r="A78" s="28"/>
      <c r="B78" s="11" t="str">
        <f>CONCATENATE("          ", "6237", " - ", "JANITORIAL SUPPLIES")</f>
        <v xml:space="preserve">          6237 - JANITORIAL SUPPLIES</v>
      </c>
      <c r="C78" s="11"/>
      <c r="D78" s="7">
        <v>268.05</v>
      </c>
      <c r="E78" s="2"/>
      <c r="F78" s="6">
        <f t="shared" si="52"/>
        <v>2.0169892118730347E-2</v>
      </c>
      <c r="G78" s="2"/>
      <c r="H78" s="7">
        <v>1305</v>
      </c>
      <c r="I78" s="2"/>
      <c r="J78" s="6">
        <f t="shared" si="53"/>
        <v>4.7229561000325722E-2</v>
      </c>
      <c r="K78" s="2"/>
      <c r="L78" s="7">
        <f t="shared" si="54"/>
        <v>-1036.95</v>
      </c>
      <c r="M78" s="2"/>
      <c r="N78" s="6">
        <f t="shared" si="55"/>
        <v>-0.7945977011494253</v>
      </c>
      <c r="O78" s="11"/>
      <c r="P78" s="7">
        <v>268.05</v>
      </c>
      <c r="Q78" s="2"/>
      <c r="R78" s="6">
        <f t="shared" si="56"/>
        <v>1.0044517391011084E-2</v>
      </c>
      <c r="S78" s="2"/>
      <c r="T78" s="7">
        <v>2808</v>
      </c>
      <c r="U78" s="2"/>
      <c r="V78" s="6">
        <f t="shared" si="57"/>
        <v>4.5646661031276417E-2</v>
      </c>
      <c r="W78" s="2"/>
      <c r="X78" s="7">
        <f t="shared" si="58"/>
        <v>-2539.9499999999998</v>
      </c>
      <c r="Y78" s="2"/>
      <c r="Z78" s="6">
        <f t="shared" si="59"/>
        <v>-0.90454059829059819</v>
      </c>
    </row>
    <row r="79" spans="1:26" s="24" customFormat="1" hidden="1" outlineLevel="2" x14ac:dyDescent="0.25">
      <c r="A79" s="28"/>
      <c r="B79" s="11" t="str">
        <f>CONCATENATE("          ", "6239", " - ", "KITCHEN SUPPLIES")</f>
        <v xml:space="preserve">          6239 - KITCHEN SUPPLIES</v>
      </c>
      <c r="C79" s="11"/>
      <c r="D79" s="7">
        <v>19.829999999999998</v>
      </c>
      <c r="E79" s="2"/>
      <c r="F79" s="6">
        <f t="shared" si="52"/>
        <v>1.4921431102944329E-3</v>
      </c>
      <c r="G79" s="2"/>
      <c r="H79" s="7">
        <v>43</v>
      </c>
      <c r="I79" s="2"/>
      <c r="J79" s="6">
        <f t="shared" si="53"/>
        <v>1.5562230827693532E-3</v>
      </c>
      <c r="K79" s="2"/>
      <c r="L79" s="7">
        <f t="shared" si="54"/>
        <v>-23.17</v>
      </c>
      <c r="M79" s="2"/>
      <c r="N79" s="6">
        <f t="shared" si="55"/>
        <v>-0.53883720930232559</v>
      </c>
      <c r="O79" s="11"/>
      <c r="P79" s="7">
        <v>19.829999999999998</v>
      </c>
      <c r="Q79" s="2"/>
      <c r="R79" s="6">
        <f t="shared" si="56"/>
        <v>7.4308069339209019E-4</v>
      </c>
      <c r="S79" s="2"/>
      <c r="T79" s="7">
        <v>192</v>
      </c>
      <c r="U79" s="2"/>
      <c r="V79" s="6">
        <f t="shared" si="57"/>
        <v>3.121139215813772E-3</v>
      </c>
      <c r="W79" s="2"/>
      <c r="X79" s="7">
        <f t="shared" si="58"/>
        <v>-172.17000000000002</v>
      </c>
      <c r="Y79" s="2"/>
      <c r="Z79" s="6">
        <f t="shared" si="59"/>
        <v>-0.89671875000000012</v>
      </c>
    </row>
    <row r="80" spans="1:26" s="24" customFormat="1" hidden="1" outlineLevel="2" x14ac:dyDescent="0.25">
      <c r="A80" s="28"/>
      <c r="B80" s="11" t="str">
        <f>CONCATENATE("          ", "6241", " - ", "OFFICE EXPENSE")</f>
        <v xml:space="preserve">          6241 - OFFICE EXPENSE</v>
      </c>
      <c r="C80" s="11"/>
      <c r="D80" s="7">
        <v>117.75</v>
      </c>
      <c r="E80" s="2"/>
      <c r="F80" s="6">
        <f t="shared" si="52"/>
        <v>8.8603051556817684E-3</v>
      </c>
      <c r="G80" s="2"/>
      <c r="H80" s="7">
        <v>195</v>
      </c>
      <c r="I80" s="2"/>
      <c r="J80" s="6">
        <f t="shared" si="53"/>
        <v>7.0572907241866021E-3</v>
      </c>
      <c r="K80" s="2"/>
      <c r="L80" s="7">
        <f t="shared" si="54"/>
        <v>-77.25</v>
      </c>
      <c r="M80" s="2"/>
      <c r="N80" s="6">
        <f t="shared" si="55"/>
        <v>-0.39615384615384613</v>
      </c>
      <c r="O80" s="11"/>
      <c r="P80" s="7">
        <v>133.74</v>
      </c>
      <c r="Q80" s="2"/>
      <c r="R80" s="6">
        <f t="shared" si="56"/>
        <v>5.0115790183690445E-3</v>
      </c>
      <c r="S80" s="2"/>
      <c r="T80" s="7">
        <v>5262</v>
      </c>
      <c r="U80" s="2"/>
      <c r="V80" s="6">
        <f t="shared" si="57"/>
        <v>8.5538721633396195E-2</v>
      </c>
      <c r="W80" s="2"/>
      <c r="X80" s="7">
        <f t="shared" si="58"/>
        <v>-5128.26</v>
      </c>
      <c r="Y80" s="2"/>
      <c r="Z80" s="6">
        <f t="shared" si="59"/>
        <v>-0.97458380843785641</v>
      </c>
    </row>
    <row r="81" spans="1:26" s="24" customFormat="1" hidden="1" outlineLevel="2" x14ac:dyDescent="0.25">
      <c r="A81" s="28"/>
      <c r="B81" s="11" t="str">
        <f>CONCATENATE("          ", "6243", " - ", "PAPER SUPPLIES")</f>
        <v xml:space="preserve">          6243 - PAPER SUPPLIES</v>
      </c>
      <c r="C81" s="11"/>
      <c r="D81" s="7"/>
      <c r="E81" s="2"/>
      <c r="F81" s="6">
        <f t="shared" si="52"/>
        <v>0</v>
      </c>
      <c r="G81" s="2"/>
      <c r="H81" s="7">
        <v>1175</v>
      </c>
      <c r="I81" s="2"/>
      <c r="J81" s="6">
        <f t="shared" si="53"/>
        <v>4.2524700517534653E-2</v>
      </c>
      <c r="K81" s="2"/>
      <c r="L81" s="7">
        <f t="shared" si="54"/>
        <v>-1175</v>
      </c>
      <c r="M81" s="2"/>
      <c r="N81" s="6">
        <f t="shared" si="55"/>
        <v>-1</v>
      </c>
      <c r="O81" s="11"/>
      <c r="P81" s="7"/>
      <c r="Q81" s="2"/>
      <c r="R81" s="6">
        <f t="shared" si="56"/>
        <v>0</v>
      </c>
      <c r="S81" s="2"/>
      <c r="T81" s="7">
        <v>2658</v>
      </c>
      <c r="U81" s="2"/>
      <c r="V81" s="6">
        <f t="shared" si="57"/>
        <v>4.3208271018921905E-2</v>
      </c>
      <c r="W81" s="2"/>
      <c r="X81" s="7">
        <f t="shared" si="58"/>
        <v>-2658</v>
      </c>
      <c r="Y81" s="2"/>
      <c r="Z81" s="6">
        <f t="shared" si="59"/>
        <v>-1</v>
      </c>
    </row>
    <row r="82" spans="1:26" s="24" customFormat="1" hidden="1" outlineLevel="2" x14ac:dyDescent="0.25">
      <c r="A82" s="28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52"/>
        <v>0</v>
      </c>
      <c r="G82" s="2"/>
      <c r="H82" s="7"/>
      <c r="I82" s="2"/>
      <c r="J82" s="6">
        <f t="shared" si="53"/>
        <v>0</v>
      </c>
      <c r="K82" s="2"/>
      <c r="L82" s="7">
        <f t="shared" si="54"/>
        <v>0</v>
      </c>
      <c r="M82" s="2"/>
      <c r="N82" s="6">
        <f t="shared" si="55"/>
        <v>0</v>
      </c>
      <c r="O82" s="11"/>
      <c r="P82" s="7"/>
      <c r="Q82" s="2"/>
      <c r="R82" s="6">
        <f t="shared" si="56"/>
        <v>0</v>
      </c>
      <c r="S82" s="2"/>
      <c r="T82" s="7">
        <v>411</v>
      </c>
      <c r="U82" s="2"/>
      <c r="V82" s="6">
        <f t="shared" si="57"/>
        <v>6.6811886338513553E-3</v>
      </c>
      <c r="W82" s="2"/>
      <c r="X82" s="7">
        <f t="shared" si="58"/>
        <v>-411</v>
      </c>
      <c r="Y82" s="2"/>
      <c r="Z82" s="6">
        <f t="shared" si="59"/>
        <v>-1</v>
      </c>
    </row>
    <row r="83" spans="1:26" s="27" customFormat="1" outlineLevel="1" collapsed="1" x14ac:dyDescent="0.25">
      <c r="A83" s="29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320</v>
      </c>
      <c r="E83" s="1"/>
      <c r="F83" s="5">
        <f t="shared" ref="F83:F85" si="60">IF(D$12=0,0,D83/D$12)</f>
        <v>2.4078960932638352E-2</v>
      </c>
      <c r="G83" s="1"/>
      <c r="H83" s="1">
        <f>SUM(OSRRefH22_14x_0)</f>
        <v>288</v>
      </c>
      <c r="I83" s="1"/>
      <c r="J83" s="5">
        <f t="shared" ref="J83:J85" si="61">IF(H$12=0,0,H83/H$12)</f>
        <v>1.0423075531106366E-2</v>
      </c>
      <c r="K83" s="1"/>
      <c r="L83" s="1">
        <f t="shared" ref="L83:L85" si="62">+D83-H83</f>
        <v>32</v>
      </c>
      <c r="M83" s="1"/>
      <c r="N83" s="5">
        <f t="shared" ref="N83:N85" si="63">IF(H83=0,0,L83/H83)</f>
        <v>0.1111111111111111</v>
      </c>
      <c r="O83" s="14"/>
      <c r="P83" s="1">
        <f>SUM(OSRRefP22_14x_0)</f>
        <v>1134</v>
      </c>
      <c r="Q83" s="1"/>
      <c r="R83" s="5">
        <f t="shared" ref="R83:R85" si="64">IF(P$12=0,0,P83/P$12)</f>
        <v>4.2493873237853273E-2</v>
      </c>
      <c r="S83" s="1"/>
      <c r="T83" s="1">
        <f>SUM(OSRRefT22_14x_0)</f>
        <v>880</v>
      </c>
      <c r="U83" s="1"/>
      <c r="V83" s="5">
        <f t="shared" ref="V83:V85" si="65">IF(T$12=0,0,T83/T$12)</f>
        <v>1.4305221405813123E-2</v>
      </c>
      <c r="W83" s="1"/>
      <c r="X83" s="1">
        <f t="shared" ref="X83:X85" si="66">+P83-T83</f>
        <v>254</v>
      </c>
      <c r="Y83" s="1"/>
      <c r="Z83" s="5">
        <f t="shared" ref="Z83:Z85" si="67">IF(T83=0,0,X83/T83)</f>
        <v>0.28863636363636364</v>
      </c>
    </row>
    <row r="84" spans="1:26" s="24" customFormat="1" hidden="1" outlineLevel="2" x14ac:dyDescent="0.25">
      <c r="A84" s="28"/>
      <c r="B84" s="11" t="str">
        <f>CONCATENATE("          ", "6303", " - ", "DATA PHONE LINES")</f>
        <v xml:space="preserve">          6303 - DATA PHONE LINES</v>
      </c>
      <c r="C84" s="11"/>
      <c r="D84" s="7"/>
      <c r="E84" s="2"/>
      <c r="F84" s="6">
        <f t="shared" si="60"/>
        <v>0</v>
      </c>
      <c r="G84" s="2"/>
      <c r="H84" s="7">
        <v>138</v>
      </c>
      <c r="I84" s="2"/>
      <c r="J84" s="6">
        <f t="shared" si="61"/>
        <v>4.9943903586551338E-3</v>
      </c>
      <c r="K84" s="2"/>
      <c r="L84" s="7">
        <f t="shared" si="62"/>
        <v>-138</v>
      </c>
      <c r="M84" s="2"/>
      <c r="N84" s="6">
        <f t="shared" si="63"/>
        <v>-1</v>
      </c>
      <c r="O84" s="11"/>
      <c r="P84" s="7"/>
      <c r="Q84" s="2"/>
      <c r="R84" s="6">
        <f t="shared" si="64"/>
        <v>0</v>
      </c>
      <c r="S84" s="2"/>
      <c r="T84" s="7">
        <v>580</v>
      </c>
      <c r="U84" s="2"/>
      <c r="V84" s="6">
        <f t="shared" si="65"/>
        <v>9.4284413811041023E-3</v>
      </c>
      <c r="W84" s="2"/>
      <c r="X84" s="7">
        <f t="shared" si="66"/>
        <v>-580</v>
      </c>
      <c r="Y84" s="2"/>
      <c r="Z84" s="6">
        <f t="shared" si="67"/>
        <v>-1</v>
      </c>
    </row>
    <row r="85" spans="1:26" s="24" customFormat="1" hidden="1" outlineLevel="2" x14ac:dyDescent="0.25">
      <c r="A85" s="28"/>
      <c r="B85" s="11" t="str">
        <f>CONCATENATE("          ", "6309", " - ", "TELEPHONE")</f>
        <v xml:space="preserve">          6309 - TELEPHONE</v>
      </c>
      <c r="C85" s="11"/>
      <c r="D85" s="7">
        <v>320</v>
      </c>
      <c r="E85" s="2"/>
      <c r="F85" s="6">
        <f t="shared" si="60"/>
        <v>2.4078960932638352E-2</v>
      </c>
      <c r="G85" s="2"/>
      <c r="H85" s="7">
        <v>150</v>
      </c>
      <c r="I85" s="2"/>
      <c r="J85" s="6">
        <f t="shared" si="61"/>
        <v>5.428685172451232E-3</v>
      </c>
      <c r="K85" s="2"/>
      <c r="L85" s="7">
        <f t="shared" si="62"/>
        <v>170</v>
      </c>
      <c r="M85" s="2"/>
      <c r="N85" s="6">
        <f t="shared" si="63"/>
        <v>1.1333333333333333</v>
      </c>
      <c r="O85" s="11"/>
      <c r="P85" s="7">
        <v>1134</v>
      </c>
      <c r="Q85" s="2"/>
      <c r="R85" s="6">
        <f t="shared" si="64"/>
        <v>4.2493873237853273E-2</v>
      </c>
      <c r="S85" s="2"/>
      <c r="T85" s="7">
        <v>300</v>
      </c>
      <c r="U85" s="2"/>
      <c r="V85" s="6">
        <f t="shared" si="65"/>
        <v>4.8767800247090185E-3</v>
      </c>
      <c r="W85" s="2"/>
      <c r="X85" s="7">
        <f t="shared" si="66"/>
        <v>834</v>
      </c>
      <c r="Y85" s="2"/>
      <c r="Z85" s="6">
        <f t="shared" si="67"/>
        <v>2.78</v>
      </c>
    </row>
    <row r="86" spans="1:26" s="27" customFormat="1" outlineLevel="1" collapsed="1" x14ac:dyDescent="0.25">
      <c r="A86" s="29"/>
      <c r="B86" s="14" t="str">
        <f>CONCATENATE("     ","Travel                                            ")</f>
        <v xml:space="preserve">     Travel                                            </v>
      </c>
      <c r="C86" s="14"/>
      <c r="D86" s="1">
        <f>SUM(OSRRefD22_15x_0)</f>
        <v>0</v>
      </c>
      <c r="E86" s="1"/>
      <c r="F86" s="5">
        <f t="shared" ref="F86:F88" si="68">IF(D$12=0,0,D86/D$12)</f>
        <v>0</v>
      </c>
      <c r="G86" s="1"/>
      <c r="H86" s="1">
        <f>SUM(OSRRefH22_15x_0)</f>
        <v>0</v>
      </c>
      <c r="I86" s="1"/>
      <c r="J86" s="5">
        <f t="shared" ref="J86:J88" si="69">IF(H$12=0,0,H86/H$12)</f>
        <v>0</v>
      </c>
      <c r="K86" s="1"/>
      <c r="L86" s="1">
        <f t="shared" ref="L86:L88" si="70">+D86-H86</f>
        <v>0</v>
      </c>
      <c r="M86" s="1"/>
      <c r="N86" s="5">
        <f t="shared" ref="N86:N88" si="71">IF(H86=0,0,L86/H86)</f>
        <v>0</v>
      </c>
      <c r="O86" s="14"/>
      <c r="P86" s="1">
        <f>SUM(OSRRefP22_15x_0)</f>
        <v>0</v>
      </c>
      <c r="Q86" s="1"/>
      <c r="R86" s="5">
        <f t="shared" ref="R86:R88" si="72">IF(P$12=0,0,P86/P$12)</f>
        <v>0</v>
      </c>
      <c r="S86" s="1"/>
      <c r="T86" s="1">
        <f>SUM(OSRRefT22_15x_0)</f>
        <v>0</v>
      </c>
      <c r="U86" s="1"/>
      <c r="V86" s="5">
        <f t="shared" ref="V86:V88" si="73">IF(T$12=0,0,T86/T$12)</f>
        <v>0</v>
      </c>
      <c r="W86" s="1"/>
      <c r="X86" s="1">
        <f t="shared" ref="X86:X88" si="74">+P86-T86</f>
        <v>0</v>
      </c>
      <c r="Y86" s="1"/>
      <c r="Z86" s="5">
        <f t="shared" ref="Z86:Z88" si="75">IF(T86=0,0,X86/T86)</f>
        <v>0</v>
      </c>
    </row>
    <row r="87" spans="1:26" s="24" customFormat="1" hidden="1" outlineLevel="2" x14ac:dyDescent="0.25">
      <c r="A87" s="28"/>
      <c r="B87" s="11" t="str">
        <f>CONCATENATE("          ", "6292", " - ", "TRAVEL/CONFERENCE")</f>
        <v xml:space="preserve">          6292 - TRAVEL/CONFERENCE</v>
      </c>
      <c r="C87" s="11"/>
      <c r="D87" s="7"/>
      <c r="E87" s="2"/>
      <c r="F87" s="6">
        <f t="shared" si="68"/>
        <v>0</v>
      </c>
      <c r="G87" s="2"/>
      <c r="H87" s="7">
        <v>0</v>
      </c>
      <c r="I87" s="2"/>
      <c r="J87" s="6">
        <f t="shared" si="69"/>
        <v>0</v>
      </c>
      <c r="K87" s="2"/>
      <c r="L87" s="7">
        <f t="shared" si="70"/>
        <v>0</v>
      </c>
      <c r="M87" s="2"/>
      <c r="N87" s="6">
        <f t="shared" si="71"/>
        <v>0</v>
      </c>
      <c r="O87" s="11"/>
      <c r="P87" s="7"/>
      <c r="Q87" s="2"/>
      <c r="R87" s="6">
        <f t="shared" si="72"/>
        <v>0</v>
      </c>
      <c r="S87" s="2"/>
      <c r="T87" s="7">
        <v>0</v>
      </c>
      <c r="U87" s="2"/>
      <c r="V87" s="6">
        <f t="shared" si="73"/>
        <v>0</v>
      </c>
      <c r="W87" s="2"/>
      <c r="X87" s="7">
        <f t="shared" si="74"/>
        <v>0</v>
      </c>
      <c r="Y87" s="2"/>
      <c r="Z87" s="6">
        <f t="shared" si="75"/>
        <v>0</v>
      </c>
    </row>
    <row r="88" spans="1:26" s="24" customFormat="1" hidden="1" outlineLevel="2" x14ac:dyDescent="0.25">
      <c r="A88" s="28"/>
      <c r="B88" s="11" t="str">
        <f>CONCATENATE("          ", "6294", " - ", "TRAVEL OPERATIONAL")</f>
        <v xml:space="preserve">          6294 - TRAVEL OPERATIONAL</v>
      </c>
      <c r="C88" s="11"/>
      <c r="D88" s="7"/>
      <c r="E88" s="2"/>
      <c r="F88" s="6">
        <f t="shared" si="68"/>
        <v>0</v>
      </c>
      <c r="G88" s="2"/>
      <c r="H88" s="7">
        <v>0</v>
      </c>
      <c r="I88" s="2"/>
      <c r="J88" s="6">
        <f t="shared" si="69"/>
        <v>0</v>
      </c>
      <c r="K88" s="2"/>
      <c r="L88" s="7">
        <f t="shared" si="70"/>
        <v>0</v>
      </c>
      <c r="M88" s="2"/>
      <c r="N88" s="6">
        <f t="shared" si="71"/>
        <v>0</v>
      </c>
      <c r="O88" s="11"/>
      <c r="P88" s="7"/>
      <c r="Q88" s="2"/>
      <c r="R88" s="6">
        <f t="shared" si="72"/>
        <v>0</v>
      </c>
      <c r="S88" s="2"/>
      <c r="T88" s="7">
        <v>0</v>
      </c>
      <c r="U88" s="2"/>
      <c r="V88" s="6">
        <f t="shared" si="73"/>
        <v>0</v>
      </c>
      <c r="W88" s="2"/>
      <c r="X88" s="7">
        <f t="shared" si="74"/>
        <v>0</v>
      </c>
      <c r="Y88" s="2"/>
      <c r="Z88" s="6">
        <f t="shared" si="75"/>
        <v>0</v>
      </c>
    </row>
    <row r="89" spans="1:26" s="27" customFormat="1" outlineLevel="1" collapsed="1" x14ac:dyDescent="0.25">
      <c r="A89" s="29"/>
      <c r="B89" s="14" t="str">
        <f>CONCATENATE("     ","Utilities                                         ")</f>
        <v xml:space="preserve">     Utilities                                         </v>
      </c>
      <c r="C89" s="14"/>
      <c r="D89" s="1">
        <f>SUM(OSRRefD22_16x_0)</f>
        <v>2300</v>
      </c>
      <c r="E89" s="1"/>
      <c r="F89" s="5">
        <f t="shared" ref="F89:F90" si="76">IF(D$12=0,0,D89/D$12)</f>
        <v>0.17306753170333816</v>
      </c>
      <c r="G89" s="1"/>
      <c r="H89" s="1">
        <f>SUM(OSRRefH22_16x_0)</f>
        <v>2300</v>
      </c>
      <c r="I89" s="1"/>
      <c r="J89" s="5">
        <f t="shared" ref="J89:J90" si="77">IF(H$12=0,0,H89/H$12)</f>
        <v>8.3239839310918898E-2</v>
      </c>
      <c r="K89" s="1"/>
      <c r="L89" s="1">
        <f t="shared" ref="L89:L90" si="78">+D89-H89</f>
        <v>0</v>
      </c>
      <c r="M89" s="1"/>
      <c r="N89" s="5">
        <f t="shared" ref="N89:N90" si="79">IF(H89=0,0,L89/H89)</f>
        <v>0</v>
      </c>
      <c r="O89" s="14"/>
      <c r="P89" s="1">
        <f>SUM(OSRRefP22_16x_0)</f>
        <v>9200</v>
      </c>
      <c r="Q89" s="1"/>
      <c r="R89" s="5">
        <f t="shared" ref="R89:R90" si="80">IF(P$12=0,0,P89/P$12)</f>
        <v>0.34474747247641102</v>
      </c>
      <c r="S89" s="1"/>
      <c r="T89" s="1">
        <f>SUM(OSRRefT22_16x_0)</f>
        <v>9200</v>
      </c>
      <c r="U89" s="1"/>
      <c r="V89" s="5">
        <f t="shared" ref="V89:V90" si="81">IF(T$12=0,0,T89/T$12)</f>
        <v>0.14955458742440991</v>
      </c>
      <c r="W89" s="1"/>
      <c r="X89" s="1">
        <f t="shared" ref="X89:X90" si="82">+P89-T89</f>
        <v>0</v>
      </c>
      <c r="Y89" s="1"/>
      <c r="Z89" s="5">
        <f t="shared" ref="Z89:Z90" si="83">IF(T89=0,0,X89/T89)</f>
        <v>0</v>
      </c>
    </row>
    <row r="90" spans="1:26" s="24" customFormat="1" hidden="1" outlineLevel="2" x14ac:dyDescent="0.25">
      <c r="A90" s="28"/>
      <c r="B90" s="11" t="str">
        <f>CONCATENATE("          ", "6274", " - ", "UTILITIES")</f>
        <v xml:space="preserve">          6274 - UTILITIES</v>
      </c>
      <c r="C90" s="11"/>
      <c r="D90" s="7">
        <v>2300</v>
      </c>
      <c r="E90" s="2"/>
      <c r="F90" s="6">
        <f t="shared" si="76"/>
        <v>0.17306753170333816</v>
      </c>
      <c r="G90" s="2"/>
      <c r="H90" s="7">
        <v>2300</v>
      </c>
      <c r="I90" s="2"/>
      <c r="J90" s="6">
        <f t="shared" si="77"/>
        <v>8.3239839310918898E-2</v>
      </c>
      <c r="K90" s="2"/>
      <c r="L90" s="7">
        <f t="shared" si="78"/>
        <v>0</v>
      </c>
      <c r="M90" s="2"/>
      <c r="N90" s="6">
        <f t="shared" si="79"/>
        <v>0</v>
      </c>
      <c r="O90" s="11"/>
      <c r="P90" s="7">
        <v>9200</v>
      </c>
      <c r="Q90" s="2"/>
      <c r="R90" s="6">
        <f t="shared" si="80"/>
        <v>0.34474747247641102</v>
      </c>
      <c r="S90" s="2"/>
      <c r="T90" s="7">
        <v>9200</v>
      </c>
      <c r="U90" s="2"/>
      <c r="V90" s="6">
        <f t="shared" si="81"/>
        <v>0.14955458742440991</v>
      </c>
      <c r="W90" s="2"/>
      <c r="X90" s="7">
        <f t="shared" si="82"/>
        <v>0</v>
      </c>
      <c r="Y90" s="2"/>
      <c r="Z90" s="6">
        <f t="shared" si="83"/>
        <v>0</v>
      </c>
    </row>
    <row r="91" spans="1:26" s="63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5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6" t="s">
        <v>3</v>
      </c>
      <c r="C94" s="26"/>
      <c r="D94" s="20">
        <f>+D23-D25+D92</f>
        <v>-68375.940000000031</v>
      </c>
      <c r="E94" s="13"/>
      <c r="F94" s="19">
        <f>IF(D$12=0,0,D94/D$12)</f>
        <v>-5.1450674624763275</v>
      </c>
      <c r="G94" s="13"/>
      <c r="H94" s="20">
        <f>+H23-H25+H92</f>
        <v>-46532.115606365376</v>
      </c>
      <c r="I94" s="13"/>
      <c r="J94" s="19">
        <f>IF(H$12=0,0,H94/H$12)</f>
        <v>-1.6840547069004153</v>
      </c>
      <c r="K94" s="15"/>
      <c r="L94" s="20">
        <f>+D94-H94</f>
        <v>-21843.824393634655</v>
      </c>
      <c r="M94" s="15"/>
      <c r="N94" s="19">
        <f>IF(H94=0,0,L94/H94)</f>
        <v>0.46943544493916201</v>
      </c>
      <c r="O94" s="25"/>
      <c r="P94" s="20">
        <f>+P23-P25+P92</f>
        <v>-251040.17999999991</v>
      </c>
      <c r="Q94" s="13"/>
      <c r="R94" s="19">
        <f>IF(P$12=0,0,P94/P$12)</f>
        <v>-9.4071160375025258</v>
      </c>
      <c r="S94" s="13"/>
      <c r="T94" s="20">
        <f>+T23-T25+T92</f>
        <v>-182994.84074291537</v>
      </c>
      <c r="U94" s="13"/>
      <c r="V94" s="19">
        <f>IF(T$12=0,0,T94/T$12)</f>
        <v>-2.9747519465328591</v>
      </c>
      <c r="W94" s="15"/>
      <c r="X94" s="20">
        <f>+P94-T94</f>
        <v>-68045.339257084532</v>
      </c>
      <c r="Y94" s="15"/>
      <c r="Z94" s="19">
        <f>IF(T94=0,0,X94/T94)</f>
        <v>0.37184293819889508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2"/>
      <c r="B96" s="10" t="s">
        <v>14</v>
      </c>
      <c r="C96" s="10"/>
      <c r="D96" s="4">
        <v>3299.02</v>
      </c>
      <c r="E96" s="4"/>
      <c r="F96" s="12">
        <f>IF(D$12=0,0,D96/D$12)</f>
        <v>0.24824054279997682</v>
      </c>
      <c r="G96" s="4"/>
      <c r="H96" s="4">
        <v>5173</v>
      </c>
      <c r="I96" s="4"/>
      <c r="J96" s="12">
        <f>IF(H$12=0,0,H96/H$12)</f>
        <v>0.18721725598060149</v>
      </c>
      <c r="K96" s="4"/>
      <c r="L96" s="4">
        <f>+D96-H96</f>
        <v>-1873.98</v>
      </c>
      <c r="M96" s="4"/>
      <c r="N96" s="12">
        <f>IF(H96=0,0,L96/H96)</f>
        <v>-0.36226174366905084</v>
      </c>
      <c r="O96" s="10"/>
      <c r="P96" s="4">
        <v>5780.81</v>
      </c>
      <c r="Q96" s="4"/>
      <c r="R96" s="12">
        <f>IF(P$12=0,0,P96/P$12)</f>
        <v>0.21662169960503933</v>
      </c>
      <c r="S96" s="4"/>
      <c r="T96" s="4">
        <v>10072</v>
      </c>
      <c r="U96" s="4"/>
      <c r="V96" s="12">
        <f>IF(T$12=0,0,T96/T$12)</f>
        <v>0.16372976136289746</v>
      </c>
      <c r="W96" s="4"/>
      <c r="X96" s="4">
        <f>+P96-T96</f>
        <v>-4291.1899999999996</v>
      </c>
      <c r="Y96" s="4"/>
      <c r="Z96" s="12">
        <f>IF(T96=0,0,X96/T96)</f>
        <v>-0.42605142970611593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6" t="s">
        <v>4</v>
      </c>
      <c r="C98" s="26"/>
      <c r="D98" s="34">
        <f>+D94-D96</f>
        <v>-71674.960000000036</v>
      </c>
      <c r="E98" s="13"/>
      <c r="F98" s="35">
        <f>IF(D$12=0,0,D98/D$12)</f>
        <v>-5.3933080052763049</v>
      </c>
      <c r="G98" s="13"/>
      <c r="H98" s="34">
        <f>+H94-H96</f>
        <v>-51705.115606365376</v>
      </c>
      <c r="I98" s="13"/>
      <c r="J98" s="35">
        <f>IF(H$12=0,0,H98/H$12)</f>
        <v>-1.8712719628810168</v>
      </c>
      <c r="K98" s="15"/>
      <c r="L98" s="34">
        <f>D98-H98</f>
        <v>-19969.844393634659</v>
      </c>
      <c r="M98" s="15"/>
      <c r="N98" s="35">
        <f>IF(H98=0,0,L98/H98)</f>
        <v>0.3862256985491816</v>
      </c>
      <c r="O98" s="25"/>
      <c r="P98" s="34">
        <f>+P94-P96</f>
        <v>-256820.9899999999</v>
      </c>
      <c r="Q98" s="13"/>
      <c r="R98" s="35">
        <f>IF(P$12=0,0,P98/P$12)</f>
        <v>-9.6237377371075645</v>
      </c>
      <c r="S98" s="13"/>
      <c r="T98" s="34">
        <f>+T94-T96</f>
        <v>-193066.84074291537</v>
      </c>
      <c r="U98" s="13"/>
      <c r="V98" s="35">
        <f>IF(T$12=0,0,T98/T$12)</f>
        <v>-3.1384817078957568</v>
      </c>
      <c r="W98" s="15"/>
      <c r="X98" s="34">
        <f>P98-T98</f>
        <v>-63754.149257084529</v>
      </c>
      <c r="Y98" s="15"/>
      <c r="Z98" s="35">
        <f>IF(T98=0,0,X98/T98)</f>
        <v>0.33021801678507035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6" t="s">
        <v>5</v>
      </c>
      <c r="C101" s="26"/>
      <c r="D101" s="30">
        <f>SUM(D98:D100)</f>
        <v>-71674.960000000036</v>
      </c>
      <c r="E101" s="13"/>
      <c r="F101" s="32">
        <f>IF(D$12=0,0,D101/D$12)</f>
        <v>-5.3933080052763049</v>
      </c>
      <c r="G101" s="13"/>
      <c r="H101" s="30">
        <f>SUM(H98:H100)</f>
        <v>-51705.115606365376</v>
      </c>
      <c r="I101" s="13"/>
      <c r="J101" s="32">
        <f>IF(H$12=0,0,H101/H$12)</f>
        <v>-1.8712719628810168</v>
      </c>
      <c r="K101" s="15"/>
      <c r="L101" s="30">
        <f>+D101-H101</f>
        <v>-19969.844393634659</v>
      </c>
      <c r="M101" s="15"/>
      <c r="N101" s="32">
        <f>IF(H101=0,0,L101/H101)</f>
        <v>0.3862256985491816</v>
      </c>
      <c r="O101" s="25"/>
      <c r="P101" s="30">
        <f>SUM(P98:P100)</f>
        <v>-256820.9899999999</v>
      </c>
      <c r="Q101" s="13"/>
      <c r="R101" s="32">
        <f>IF(P$12=0,0,P101/P$12)</f>
        <v>-9.6237377371075645</v>
      </c>
      <c r="S101" s="13"/>
      <c r="T101" s="30">
        <f>SUM(T98:T100)</f>
        <v>-193066.84074291537</v>
      </c>
      <c r="U101" s="13"/>
      <c r="V101" s="32">
        <f>IF(T$12=0,0,T101/T$12)</f>
        <v>-3.1384817078957568</v>
      </c>
      <c r="W101" s="15"/>
      <c r="X101" s="30">
        <f>+P101-T101</f>
        <v>-63754.149257084529</v>
      </c>
      <c r="Y101" s="15"/>
      <c r="Z101" s="32">
        <f>IF(T101=0,0,X101/T101)</f>
        <v>0.33021801678507035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60">
        <v>44151.56869803241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8" t="s">
        <v>314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3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","418", " - ", "Nugget")</f>
        <v>Department 418 - Nugget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D12-D16</f>
        <v>0</v>
      </c>
      <c r="E19" s="13"/>
      <c r="F19" s="19">
        <f>IF(D$12=0,0,D19/D$12)</f>
        <v>0</v>
      </c>
      <c r="G19" s="13"/>
      <c r="H19" s="20">
        <f>H12-H16</f>
        <v>0</v>
      </c>
      <c r="I19" s="13"/>
      <c r="J19" s="19">
        <f>IF(H$12=0,0,H19/H$12)</f>
        <v>0</v>
      </c>
      <c r="K19" s="15"/>
      <c r="L19" s="20">
        <f>+D19-H19</f>
        <v>0</v>
      </c>
      <c r="M19" s="15"/>
      <c r="N19" s="19">
        <f>IF(H19=0,0,L19/H19)</f>
        <v>0</v>
      </c>
      <c r="O19" s="25"/>
      <c r="P19" s="20">
        <f>P12-P16</f>
        <v>0</v>
      </c>
      <c r="Q19" s="13"/>
      <c r="R19" s="19">
        <f>IF(P$12=0,0,P19/P$12)</f>
        <v>0</v>
      </c>
      <c r="S19" s="13"/>
      <c r="T19" s="20">
        <f>T12-T16</f>
        <v>0</v>
      </c>
      <c r="U19" s="13"/>
      <c r="V19" s="19">
        <f>IF(T$12=0,0,T19/T$12)</f>
        <v>0</v>
      </c>
      <c r="W19" s="15"/>
      <c r="X19" s="20">
        <f>+P19-T19</f>
        <v>0</v>
      </c>
      <c r="Y19" s="15"/>
      <c r="Z19" s="19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1">
        <f>SUM(OSRRefD22x_0)</f>
        <v>6784.05</v>
      </c>
      <c r="E21" s="21"/>
      <c r="F21" s="31">
        <f t="shared" ref="F21:F30" si="14">IF(D$12=0,0,D21/D$12)</f>
        <v>0</v>
      </c>
      <c r="G21" s="21"/>
      <c r="H21" s="21">
        <f>SUM(OSRRefH22x_0)</f>
        <v>6745</v>
      </c>
      <c r="I21" s="21"/>
      <c r="J21" s="31">
        <f t="shared" ref="J21:J30" si="15">IF(H$12=0,0,H21/H$12)</f>
        <v>0</v>
      </c>
      <c r="K21" s="4"/>
      <c r="L21" s="21">
        <f t="shared" ref="L21:L30" si="16">+D21-H21</f>
        <v>39.050000000000182</v>
      </c>
      <c r="M21" s="4"/>
      <c r="N21" s="31">
        <f t="shared" ref="N21:N30" si="17">IF(H21=0,0,L21/H21)</f>
        <v>5.7894736842105535E-3</v>
      </c>
      <c r="O21" s="10"/>
      <c r="P21" s="21">
        <f>SUM(OSRRefP22x_0)</f>
        <v>38590.090000000004</v>
      </c>
      <c r="Q21" s="21"/>
      <c r="R21" s="31">
        <f t="shared" ref="R21:R30" si="18">IF(P$12=0,0,P21/P$12)</f>
        <v>0</v>
      </c>
      <c r="S21" s="21"/>
      <c r="T21" s="21">
        <f>SUM(OSRRefT22x_0)</f>
        <v>28279</v>
      </c>
      <c r="U21" s="21"/>
      <c r="V21" s="31">
        <f t="shared" ref="V21:V30" si="19">IF(T$12=0,0,T21/T$12)</f>
        <v>0</v>
      </c>
      <c r="W21" s="4"/>
      <c r="X21" s="21">
        <f t="shared" ref="X21:X30" si="20">+P21-T21</f>
        <v>10311.090000000004</v>
      </c>
      <c r="Y21" s="4"/>
      <c r="Z21" s="31">
        <f t="shared" ref="Z21:Z30" si="21">IF(T21=0,0,X21/T21)</f>
        <v>0.36462003606916804</v>
      </c>
    </row>
    <row r="22" spans="1:26" s="27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6083.9599999999991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6083.9599999999991</v>
      </c>
      <c r="Y22" s="1"/>
      <c r="Z22" s="5">
        <f t="shared" si="21"/>
        <v>0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235.15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235.15</v>
      </c>
      <c r="Y23" s="2"/>
      <c r="Z23" s="6">
        <f t="shared" si="21"/>
        <v>0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4780.67</v>
      </c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4780.67</v>
      </c>
      <c r="Y25" s="2"/>
      <c r="Z25" s="6">
        <f t="shared" si="21"/>
        <v>0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678.15</v>
      </c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678.15</v>
      </c>
      <c r="Y27" s="2"/>
      <c r="Z27" s="6">
        <f t="shared" si="21"/>
        <v>0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>
        <v>248.21</v>
      </c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248.21</v>
      </c>
      <c r="Y29" s="2"/>
      <c r="Z29" s="6">
        <f t="shared" si="21"/>
        <v>0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141.78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141.78</v>
      </c>
      <c r="Y30" s="2"/>
      <c r="Z30" s="6">
        <f t="shared" si="21"/>
        <v>0</v>
      </c>
    </row>
    <row r="31" spans="1:26" s="27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2151.69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2151.69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2"/>
        <v>0</v>
      </c>
      <c r="G32" s="2"/>
      <c r="H32" s="7">
        <v>0</v>
      </c>
      <c r="I32" s="2"/>
      <c r="J32" s="6">
        <f t="shared" si="23"/>
        <v>0</v>
      </c>
      <c r="K32" s="2"/>
      <c r="L32" s="7">
        <f t="shared" si="24"/>
        <v>0</v>
      </c>
      <c r="M32" s="2"/>
      <c r="N32" s="6">
        <f t="shared" si="25"/>
        <v>0</v>
      </c>
      <c r="O32" s="11"/>
      <c r="P32" s="7"/>
      <c r="Q32" s="2"/>
      <c r="R32" s="6">
        <f t="shared" si="26"/>
        <v>0</v>
      </c>
      <c r="S32" s="2"/>
      <c r="T32" s="7">
        <v>0</v>
      </c>
      <c r="U32" s="2"/>
      <c r="V32" s="6">
        <f t="shared" si="27"/>
        <v>0</v>
      </c>
      <c r="W32" s="2"/>
      <c r="X32" s="7">
        <f t="shared" si="28"/>
        <v>0</v>
      </c>
      <c r="Y32" s="2"/>
      <c r="Z32" s="6">
        <f t="shared" si="29"/>
        <v>0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>
        <v>2151.69</v>
      </c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2151.69</v>
      </c>
      <c r="Y33" s="2"/>
      <c r="Z33" s="6">
        <f t="shared" si="29"/>
        <v>0</v>
      </c>
    </row>
    <row r="34" spans="1:26" s="24" customFormat="1" hidden="1" outlineLevel="2" x14ac:dyDescent="0.25">
      <c r="A34" s="28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8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8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8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8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7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8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30"/>
        <v>0</v>
      </c>
      <c r="G43" s="2"/>
      <c r="H43" s="7">
        <v>0</v>
      </c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/>
      <c r="Q43" s="2"/>
      <c r="R43" s="6">
        <f t="shared" si="34"/>
        <v>0</v>
      </c>
      <c r="S43" s="2"/>
      <c r="T43" s="7">
        <v>0</v>
      </c>
      <c r="U43" s="2"/>
      <c r="V43" s="6">
        <f t="shared" si="35"/>
        <v>0</v>
      </c>
      <c r="W43" s="2"/>
      <c r="X43" s="7">
        <f t="shared" si="36"/>
        <v>0</v>
      </c>
      <c r="Y43" s="2"/>
      <c r="Z43" s="6">
        <f t="shared" si="37"/>
        <v>0</v>
      </c>
    </row>
    <row r="44" spans="1:26" s="27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30"/>
        <v>0</v>
      </c>
      <c r="G45" s="2"/>
      <c r="H45" s="7">
        <v>0</v>
      </c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/>
      <c r="Q45" s="2"/>
      <c r="R45" s="6">
        <f t="shared" si="34"/>
        <v>0</v>
      </c>
      <c r="S45" s="2"/>
      <c r="T45" s="7">
        <v>0</v>
      </c>
      <c r="U45" s="2"/>
      <c r="V45" s="6">
        <f t="shared" si="35"/>
        <v>0</v>
      </c>
      <c r="W45" s="2"/>
      <c r="X45" s="7">
        <f t="shared" si="36"/>
        <v>0</v>
      </c>
      <c r="Y45" s="2"/>
      <c r="Z45" s="6">
        <f t="shared" si="37"/>
        <v>0</v>
      </c>
    </row>
    <row r="46" spans="1:26" s="27" customFormat="1" outlineLevel="1" collapsed="1" x14ac:dyDescent="0.25">
      <c r="A46" s="29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6745.18</v>
      </c>
      <c r="E46" s="1"/>
      <c r="F46" s="5">
        <f t="shared" si="30"/>
        <v>0</v>
      </c>
      <c r="G46" s="1"/>
      <c r="H46" s="1">
        <f>SUM(OSRRefH22_4x_0)</f>
        <v>6745</v>
      </c>
      <c r="I46" s="1"/>
      <c r="J46" s="5">
        <f t="shared" si="31"/>
        <v>0</v>
      </c>
      <c r="K46" s="1"/>
      <c r="L46" s="1">
        <f t="shared" si="32"/>
        <v>0.18000000000029104</v>
      </c>
      <c r="M46" s="1"/>
      <c r="N46" s="5">
        <f t="shared" si="33"/>
        <v>2.6686434395891926E-5</v>
      </c>
      <c r="O46" s="14"/>
      <c r="P46" s="1">
        <f>SUM(OSRRefP22_4x_0)</f>
        <v>28277.83</v>
      </c>
      <c r="Q46" s="1"/>
      <c r="R46" s="5">
        <f t="shared" si="34"/>
        <v>0</v>
      </c>
      <c r="S46" s="1"/>
      <c r="T46" s="1">
        <f>SUM(OSRRefT22_4x_0)</f>
        <v>28279</v>
      </c>
      <c r="U46" s="1"/>
      <c r="V46" s="5">
        <f t="shared" si="35"/>
        <v>0</v>
      </c>
      <c r="W46" s="1"/>
      <c r="X46" s="1">
        <f t="shared" si="36"/>
        <v>-1.1699999999982538</v>
      </c>
      <c r="Y46" s="1"/>
      <c r="Z46" s="5">
        <f t="shared" si="37"/>
        <v>-4.1373457335770496E-5</v>
      </c>
    </row>
    <row r="47" spans="1:26" s="24" customFormat="1" hidden="1" outlineLevel="2" x14ac:dyDescent="0.25">
      <c r="A47" s="28"/>
      <c r="B47" s="11" t="str">
        <f>CONCATENATE("          ", "6321", " - ", "BUILDING DEPRECIATION")</f>
        <v xml:space="preserve">          6321 - BUILDING DEPRECIATION</v>
      </c>
      <c r="C47" s="11"/>
      <c r="D47" s="7">
        <v>6537.05</v>
      </c>
      <c r="E47" s="2"/>
      <c r="F47" s="6">
        <f t="shared" si="30"/>
        <v>0</v>
      </c>
      <c r="G47" s="2"/>
      <c r="H47" s="7"/>
      <c r="I47" s="2"/>
      <c r="J47" s="6">
        <f t="shared" si="31"/>
        <v>0</v>
      </c>
      <c r="K47" s="2"/>
      <c r="L47" s="7">
        <f t="shared" si="32"/>
        <v>6537.05</v>
      </c>
      <c r="M47" s="2"/>
      <c r="N47" s="6">
        <f t="shared" si="33"/>
        <v>0</v>
      </c>
      <c r="O47" s="11"/>
      <c r="P47" s="7">
        <v>26148.2</v>
      </c>
      <c r="Q47" s="2"/>
      <c r="R47" s="6">
        <f t="shared" si="34"/>
        <v>0</v>
      </c>
      <c r="S47" s="2"/>
      <c r="T47" s="7"/>
      <c r="U47" s="2"/>
      <c r="V47" s="6">
        <f t="shared" si="35"/>
        <v>0</v>
      </c>
      <c r="W47" s="2"/>
      <c r="X47" s="7">
        <f t="shared" si="36"/>
        <v>26148.2</v>
      </c>
      <c r="Y47" s="2"/>
      <c r="Z47" s="6">
        <f t="shared" si="37"/>
        <v>0</v>
      </c>
    </row>
    <row r="48" spans="1:26" s="24" customFormat="1" hidden="1" outlineLevel="2" x14ac:dyDescent="0.25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208.13</v>
      </c>
      <c r="E48" s="2"/>
      <c r="F48" s="6">
        <f t="shared" si="30"/>
        <v>0</v>
      </c>
      <c r="G48" s="2"/>
      <c r="H48" s="7">
        <v>6745</v>
      </c>
      <c r="I48" s="2"/>
      <c r="J48" s="6">
        <f t="shared" si="31"/>
        <v>0</v>
      </c>
      <c r="K48" s="2"/>
      <c r="L48" s="7">
        <f t="shared" si="32"/>
        <v>-6536.87</v>
      </c>
      <c r="M48" s="2"/>
      <c r="N48" s="6">
        <f t="shared" si="33"/>
        <v>-0.9691430689399555</v>
      </c>
      <c r="O48" s="11"/>
      <c r="P48" s="7">
        <v>2129.63</v>
      </c>
      <c r="Q48" s="2"/>
      <c r="R48" s="6">
        <f t="shared" si="34"/>
        <v>0</v>
      </c>
      <c r="S48" s="2"/>
      <c r="T48" s="7">
        <v>28279</v>
      </c>
      <c r="U48" s="2"/>
      <c r="V48" s="6">
        <f t="shared" si="35"/>
        <v>0</v>
      </c>
      <c r="W48" s="2"/>
      <c r="X48" s="7">
        <f t="shared" si="36"/>
        <v>-26149.37</v>
      </c>
      <c r="Y48" s="2"/>
      <c r="Z48" s="6">
        <f t="shared" si="37"/>
        <v>-0.92469217440503548</v>
      </c>
    </row>
    <row r="49" spans="1:26" s="27" customFormat="1" outlineLevel="1" collapsed="1" x14ac:dyDescent="0.25">
      <c r="A49" s="29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SUM(OSRRefD22_5x_0)</f>
        <v>0</v>
      </c>
      <c r="E49" s="1"/>
      <c r="F49" s="5">
        <f t="shared" ref="F49:F58" si="38">IF(D$12=0,0,D49/D$12)</f>
        <v>0</v>
      </c>
      <c r="G49" s="1"/>
      <c r="H49" s="1">
        <f>SUM(OSRRefH22_5x_0)</f>
        <v>0</v>
      </c>
      <c r="I49" s="1"/>
      <c r="J49" s="5">
        <f t="shared" ref="J49:J58" si="39">IF(H$12=0,0,H49/H$12)</f>
        <v>0</v>
      </c>
      <c r="K49" s="1"/>
      <c r="L49" s="1">
        <f t="shared" ref="L49:L58" si="40">+D49-H49</f>
        <v>0</v>
      </c>
      <c r="M49" s="1"/>
      <c r="N49" s="5">
        <f t="shared" ref="N49:N58" si="41">IF(H49=0,0,L49/H49)</f>
        <v>0</v>
      </c>
      <c r="O49" s="14"/>
      <c r="P49" s="1">
        <f>SUM(OSRRefP22_5x_0)</f>
        <v>0</v>
      </c>
      <c r="Q49" s="1"/>
      <c r="R49" s="5">
        <f t="shared" ref="R49:R58" si="42">IF(P$12=0,0,P49/P$12)</f>
        <v>0</v>
      </c>
      <c r="S49" s="1"/>
      <c r="T49" s="1">
        <f>SUM(OSRRefT22_5x_0)</f>
        <v>0</v>
      </c>
      <c r="U49" s="1"/>
      <c r="V49" s="5">
        <f t="shared" ref="V49:V58" si="43">IF(T$12=0,0,T49/T$12)</f>
        <v>0</v>
      </c>
      <c r="W49" s="1"/>
      <c r="X49" s="1">
        <f t="shared" ref="X49:X58" si="44">+P49-T49</f>
        <v>0</v>
      </c>
      <c r="Y49" s="1"/>
      <c r="Z49" s="5">
        <f t="shared" ref="Z49:Z58" si="45">IF(T49=0,0,X49/T49)</f>
        <v>0</v>
      </c>
    </row>
    <row r="50" spans="1:26" s="24" customFormat="1" hidden="1" outlineLevel="2" x14ac:dyDescent="0.25">
      <c r="A50" s="28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38"/>
        <v>0</v>
      </c>
      <c r="G50" s="2"/>
      <c r="H50" s="7">
        <v>0</v>
      </c>
      <c r="I50" s="2"/>
      <c r="J50" s="6">
        <f t="shared" si="39"/>
        <v>0</v>
      </c>
      <c r="K50" s="2"/>
      <c r="L50" s="7">
        <f t="shared" si="40"/>
        <v>0</v>
      </c>
      <c r="M50" s="2"/>
      <c r="N50" s="6">
        <f t="shared" si="41"/>
        <v>0</v>
      </c>
      <c r="O50" s="11"/>
      <c r="P50" s="7"/>
      <c r="Q50" s="2"/>
      <c r="R50" s="6">
        <f t="shared" si="42"/>
        <v>0</v>
      </c>
      <c r="S50" s="2"/>
      <c r="T50" s="7">
        <v>0</v>
      </c>
      <c r="U50" s="2"/>
      <c r="V50" s="6">
        <f t="shared" si="43"/>
        <v>0</v>
      </c>
      <c r="W50" s="2"/>
      <c r="X50" s="7">
        <f t="shared" si="44"/>
        <v>0</v>
      </c>
      <c r="Y50" s="2"/>
      <c r="Z50" s="6">
        <f t="shared" si="45"/>
        <v>0</v>
      </c>
    </row>
    <row r="51" spans="1:26" s="27" customFormat="1" outlineLevel="1" collapsed="1" x14ac:dyDescent="0.25">
      <c r="A51" s="29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SUM(OSRRefP22_6x_0)</f>
        <v>263.72000000000003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263.72000000000003</v>
      </c>
      <c r="Y51" s="1"/>
      <c r="Z51" s="5">
        <f t="shared" si="45"/>
        <v>0</v>
      </c>
    </row>
    <row r="52" spans="1:26" s="24" customFormat="1" hidden="1" outlineLevel="2" x14ac:dyDescent="0.25">
      <c r="A52" s="28"/>
      <c r="B52" s="11" t="str">
        <f>CONCATENATE("          ", "6351", " - ", "EQUIPMENT RENTAL")</f>
        <v xml:space="preserve">          6351 - EQUIPMENT RENTAL</v>
      </c>
      <c r="C52" s="11"/>
      <c r="D52" s="7"/>
      <c r="E52" s="2"/>
      <c r="F52" s="6">
        <f t="shared" si="38"/>
        <v>0</v>
      </c>
      <c r="G52" s="2"/>
      <c r="H52" s="7"/>
      <c r="I52" s="2"/>
      <c r="J52" s="6">
        <f t="shared" si="39"/>
        <v>0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>
        <v>263.72000000000003</v>
      </c>
      <c r="Q52" s="2"/>
      <c r="R52" s="6">
        <f t="shared" si="42"/>
        <v>0</v>
      </c>
      <c r="S52" s="2"/>
      <c r="T52" s="7"/>
      <c r="U52" s="2"/>
      <c r="V52" s="6">
        <f t="shared" si="43"/>
        <v>0</v>
      </c>
      <c r="W52" s="2"/>
      <c r="X52" s="7">
        <f t="shared" si="44"/>
        <v>263.72000000000003</v>
      </c>
      <c r="Y52" s="2"/>
      <c r="Z52" s="6">
        <f t="shared" si="45"/>
        <v>0</v>
      </c>
    </row>
    <row r="53" spans="1:26" s="27" customFormat="1" outlineLevel="1" collapsed="1" x14ac:dyDescent="0.25">
      <c r="A53" s="29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0</v>
      </c>
      <c r="I53" s="1"/>
      <c r="J53" s="5">
        <f t="shared" si="39"/>
        <v>0</v>
      </c>
      <c r="K53" s="1"/>
      <c r="L53" s="1">
        <f t="shared" si="40"/>
        <v>0</v>
      </c>
      <c r="M53" s="1"/>
      <c r="N53" s="5">
        <f t="shared" si="41"/>
        <v>0</v>
      </c>
      <c r="O53" s="14"/>
      <c r="P53" s="1">
        <f>SUM(OSRRefP22_7x_0)</f>
        <v>1284.55</v>
      </c>
      <c r="Q53" s="1"/>
      <c r="R53" s="5">
        <f t="shared" si="42"/>
        <v>0</v>
      </c>
      <c r="S53" s="1"/>
      <c r="T53" s="1">
        <f>SUM(OSRRefT22_7x_0)</f>
        <v>0</v>
      </c>
      <c r="U53" s="1"/>
      <c r="V53" s="5">
        <f t="shared" si="43"/>
        <v>0</v>
      </c>
      <c r="W53" s="1"/>
      <c r="X53" s="1">
        <f t="shared" si="44"/>
        <v>1284.55</v>
      </c>
      <c r="Y53" s="1"/>
      <c r="Z53" s="5">
        <f t="shared" si="45"/>
        <v>0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8"/>
        <v>0</v>
      </c>
      <c r="G54" s="2"/>
      <c r="H54" s="7"/>
      <c r="I54" s="2"/>
      <c r="J54" s="6">
        <f t="shared" si="39"/>
        <v>0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>
        <v>1284.55</v>
      </c>
      <c r="Q54" s="2"/>
      <c r="R54" s="6">
        <f t="shared" si="42"/>
        <v>0</v>
      </c>
      <c r="S54" s="2"/>
      <c r="T54" s="7">
        <v>0</v>
      </c>
      <c r="U54" s="2"/>
      <c r="V54" s="6">
        <f t="shared" si="43"/>
        <v>0</v>
      </c>
      <c r="W54" s="2"/>
      <c r="X54" s="7">
        <f t="shared" si="44"/>
        <v>1284.55</v>
      </c>
      <c r="Y54" s="2"/>
      <c r="Z54" s="6">
        <f t="shared" si="45"/>
        <v>0</v>
      </c>
    </row>
    <row r="55" spans="1:26" s="27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0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SUM(OSRRefP22_8x_0)</f>
        <v>277.47000000000003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277.47000000000003</v>
      </c>
      <c r="Y55" s="1"/>
      <c r="Z55" s="5">
        <f t="shared" si="45"/>
        <v>0</v>
      </c>
    </row>
    <row r="56" spans="1:26" s="24" customFormat="1" hidden="1" outlineLevel="2" x14ac:dyDescent="0.25">
      <c r="A56" s="28"/>
      <c r="B56" s="11" t="str">
        <f>CONCATENATE("          ", "6372", " - ", "COMPUTER HARDWARE MAINTENANCE")</f>
        <v xml:space="preserve">          6372 - COMPUTER HARDWARE MAINTENANCE</v>
      </c>
      <c r="C56" s="11"/>
      <c r="D56" s="7"/>
      <c r="E56" s="2"/>
      <c r="F56" s="6">
        <f t="shared" si="38"/>
        <v>0</v>
      </c>
      <c r="G56" s="2"/>
      <c r="H56" s="7"/>
      <c r="I56" s="2"/>
      <c r="J56" s="6">
        <f t="shared" si="39"/>
        <v>0</v>
      </c>
      <c r="K56" s="2"/>
      <c r="L56" s="7">
        <f t="shared" si="40"/>
        <v>0</v>
      </c>
      <c r="M56" s="2"/>
      <c r="N56" s="6">
        <f t="shared" si="41"/>
        <v>0</v>
      </c>
      <c r="O56" s="11"/>
      <c r="P56" s="7"/>
      <c r="Q56" s="2"/>
      <c r="R56" s="6">
        <f t="shared" si="42"/>
        <v>0</v>
      </c>
      <c r="S56" s="2"/>
      <c r="T56" s="7">
        <v>0</v>
      </c>
      <c r="U56" s="2"/>
      <c r="V56" s="6">
        <f t="shared" si="43"/>
        <v>0</v>
      </c>
      <c r="W56" s="2"/>
      <c r="X56" s="7">
        <f t="shared" si="44"/>
        <v>0</v>
      </c>
      <c r="Y56" s="2"/>
      <c r="Z56" s="6">
        <f t="shared" si="45"/>
        <v>0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>
        <v>277.47000000000003</v>
      </c>
      <c r="Q57" s="2"/>
      <c r="R57" s="6">
        <f t="shared" si="42"/>
        <v>0</v>
      </c>
      <c r="S57" s="2"/>
      <c r="T57" s="7">
        <v>0</v>
      </c>
      <c r="U57" s="2"/>
      <c r="V57" s="6">
        <f t="shared" si="43"/>
        <v>0</v>
      </c>
      <c r="W57" s="2"/>
      <c r="X57" s="7">
        <f t="shared" si="44"/>
        <v>277.47000000000003</v>
      </c>
      <c r="Y57" s="2"/>
      <c r="Z57" s="6">
        <f t="shared" si="45"/>
        <v>0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38"/>
        <v>0</v>
      </c>
      <c r="G58" s="2"/>
      <c r="H58" s="7">
        <v>0</v>
      </c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/>
      <c r="Q58" s="2"/>
      <c r="R58" s="6">
        <f t="shared" si="42"/>
        <v>0</v>
      </c>
      <c r="S58" s="2"/>
      <c r="T58" s="7">
        <v>0</v>
      </c>
      <c r="U58" s="2"/>
      <c r="V58" s="6">
        <f t="shared" si="43"/>
        <v>0</v>
      </c>
      <c r="W58" s="2"/>
      <c r="X58" s="7">
        <f t="shared" si="44"/>
        <v>0</v>
      </c>
      <c r="Y58" s="2"/>
      <c r="Z58" s="6">
        <f t="shared" si="45"/>
        <v>0</v>
      </c>
    </row>
    <row r="59" spans="1:26" s="27" customFormat="1" outlineLevel="1" collapsed="1" x14ac:dyDescent="0.25">
      <c r="A59" s="29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SUM(OSRRefD22_9x_0)</f>
        <v>0</v>
      </c>
      <c r="E59" s="1"/>
      <c r="F59" s="5">
        <f t="shared" ref="F59:F61" si="46">IF(D$12=0,0,D59/D$12)</f>
        <v>0</v>
      </c>
      <c r="G59" s="1"/>
      <c r="H59" s="1">
        <f>SUM(OSRRefH22_9x_0)</f>
        <v>0</v>
      </c>
      <c r="I59" s="1"/>
      <c r="J59" s="5">
        <f t="shared" ref="J59:J61" si="47">IF(H$12=0,0,H59/H$12)</f>
        <v>0</v>
      </c>
      <c r="K59" s="1"/>
      <c r="L59" s="1">
        <f t="shared" ref="L59:L61" si="48">+D59-H59</f>
        <v>0</v>
      </c>
      <c r="M59" s="1"/>
      <c r="N59" s="5">
        <f t="shared" ref="N59:N61" si="49">IF(H59=0,0,L59/H59)</f>
        <v>0</v>
      </c>
      <c r="O59" s="14"/>
      <c r="P59" s="1">
        <f>SUM(OSRRefP22_9x_0)</f>
        <v>0</v>
      </c>
      <c r="Q59" s="1"/>
      <c r="R59" s="5">
        <f t="shared" ref="R59:R61" si="50">IF(P$12=0,0,P59/P$12)</f>
        <v>0</v>
      </c>
      <c r="S59" s="1"/>
      <c r="T59" s="1">
        <f>SUM(OSRRefT22_9x_0)</f>
        <v>0</v>
      </c>
      <c r="U59" s="1"/>
      <c r="V59" s="5">
        <f t="shared" ref="V59:V61" si="51">IF(T$12=0,0,T59/T$12)</f>
        <v>0</v>
      </c>
      <c r="W59" s="1"/>
      <c r="X59" s="1">
        <f t="shared" ref="X59:X61" si="52">+P59-T59</f>
        <v>0</v>
      </c>
      <c r="Y59" s="1"/>
      <c r="Z59" s="5">
        <f t="shared" ref="Z59:Z61" si="53">IF(T59=0,0,X59/T59)</f>
        <v>0</v>
      </c>
    </row>
    <row r="60" spans="1:26" s="24" customFormat="1" hidden="1" outlineLevel="2" x14ac:dyDescent="0.25">
      <c r="A60" s="28"/>
      <c r="B60" s="11" t="str">
        <f>CONCATENATE("          ", "6283", " - ", "PLANT SERVICE")</f>
        <v xml:space="preserve">          6283 - PLANT SERVICE</v>
      </c>
      <c r="C60" s="11"/>
      <c r="D60" s="7"/>
      <c r="E60" s="2"/>
      <c r="F60" s="6">
        <f t="shared" si="46"/>
        <v>0</v>
      </c>
      <c r="G60" s="2"/>
      <c r="H60" s="7">
        <v>0</v>
      </c>
      <c r="I60" s="2"/>
      <c r="J60" s="6">
        <f t="shared" si="47"/>
        <v>0</v>
      </c>
      <c r="K60" s="2"/>
      <c r="L60" s="7">
        <f t="shared" si="48"/>
        <v>0</v>
      </c>
      <c r="M60" s="2"/>
      <c r="N60" s="6">
        <f t="shared" si="49"/>
        <v>0</v>
      </c>
      <c r="O60" s="11"/>
      <c r="P60" s="7"/>
      <c r="Q60" s="2"/>
      <c r="R60" s="6">
        <f t="shared" si="50"/>
        <v>0</v>
      </c>
      <c r="S60" s="2"/>
      <c r="T60" s="7">
        <v>0</v>
      </c>
      <c r="U60" s="2"/>
      <c r="V60" s="6">
        <f t="shared" si="51"/>
        <v>0</v>
      </c>
      <c r="W60" s="2"/>
      <c r="X60" s="7">
        <f t="shared" si="52"/>
        <v>0</v>
      </c>
      <c r="Y60" s="2"/>
      <c r="Z60" s="6">
        <f t="shared" si="53"/>
        <v>0</v>
      </c>
    </row>
    <row r="61" spans="1:26" s="24" customFormat="1" hidden="1" outlineLevel="2" x14ac:dyDescent="0.25">
      <c r="A61" s="28"/>
      <c r="B61" s="11" t="str">
        <f>CONCATENATE("          ", "6286", " - ", "LAUNDRY EXPENSE")</f>
        <v xml:space="preserve">          6286 - LAUNDRY EXPENSE</v>
      </c>
      <c r="C61" s="11"/>
      <c r="D61" s="7"/>
      <c r="E61" s="2"/>
      <c r="F61" s="6">
        <f t="shared" si="46"/>
        <v>0</v>
      </c>
      <c r="G61" s="2"/>
      <c r="H61" s="7">
        <v>0</v>
      </c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/>
      <c r="Q61" s="2"/>
      <c r="R61" s="6">
        <f t="shared" si="50"/>
        <v>0</v>
      </c>
      <c r="S61" s="2"/>
      <c r="T61" s="7">
        <v>0</v>
      </c>
      <c r="U61" s="2"/>
      <c r="V61" s="6">
        <f t="shared" si="51"/>
        <v>0</v>
      </c>
      <c r="W61" s="2"/>
      <c r="X61" s="7">
        <f t="shared" si="52"/>
        <v>0</v>
      </c>
      <c r="Y61" s="2"/>
      <c r="Z61" s="6">
        <f t="shared" si="53"/>
        <v>0</v>
      </c>
    </row>
    <row r="62" spans="1:26" s="27" customFormat="1" outlineLevel="1" collapsed="1" x14ac:dyDescent="0.25">
      <c r="A62" s="29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SUM(OSRRefD22_10x_0)</f>
        <v>0</v>
      </c>
      <c r="E62" s="1"/>
      <c r="F62" s="5">
        <f t="shared" ref="F62:F74" si="54">IF(D$12=0,0,D62/D$12)</f>
        <v>0</v>
      </c>
      <c r="G62" s="1"/>
      <c r="H62" s="1">
        <f>SUM(OSRRefH22_10x_0)</f>
        <v>0</v>
      </c>
      <c r="I62" s="1"/>
      <c r="J62" s="5">
        <f t="shared" ref="J62:J74" si="55">IF(H$12=0,0,H62/H$12)</f>
        <v>0</v>
      </c>
      <c r="K62" s="1"/>
      <c r="L62" s="1">
        <f t="shared" ref="L62:L74" si="56">+D62-H62</f>
        <v>0</v>
      </c>
      <c r="M62" s="1"/>
      <c r="N62" s="5">
        <f t="shared" ref="N62:N74" si="57">IF(H62=0,0,L62/H62)</f>
        <v>0</v>
      </c>
      <c r="O62" s="14"/>
      <c r="P62" s="1">
        <f>SUM(OSRRefP22_10x_0)</f>
        <v>0</v>
      </c>
      <c r="Q62" s="1"/>
      <c r="R62" s="5">
        <f t="shared" ref="R62:R74" si="58">IF(P$12=0,0,P62/P$12)</f>
        <v>0</v>
      </c>
      <c r="S62" s="1"/>
      <c r="T62" s="1">
        <f>SUM(OSRRefT22_10x_0)</f>
        <v>0</v>
      </c>
      <c r="U62" s="1"/>
      <c r="V62" s="5">
        <f t="shared" ref="V62:V74" si="59">IF(T$12=0,0,T62/T$12)</f>
        <v>0</v>
      </c>
      <c r="W62" s="1"/>
      <c r="X62" s="1">
        <f t="shared" ref="X62:X74" si="60">+P62-T62</f>
        <v>0</v>
      </c>
      <c r="Y62" s="1"/>
      <c r="Z62" s="5">
        <f t="shared" ref="Z62:Z74" si="61">IF(T62=0,0,X62/T62)</f>
        <v>0</v>
      </c>
    </row>
    <row r="63" spans="1:26" s="24" customFormat="1" hidden="1" outlineLevel="2" x14ac:dyDescent="0.25">
      <c r="A63" s="28"/>
      <c r="B63" s="11" t="str">
        <f>CONCATENATE("          ", "6275", " - ", "SUBSCRIPTIONS")</f>
        <v xml:space="preserve">          6275 - SUBSCRIPTIONS</v>
      </c>
      <c r="C63" s="11"/>
      <c r="D63" s="7"/>
      <c r="E63" s="2"/>
      <c r="F63" s="6">
        <f t="shared" si="54"/>
        <v>0</v>
      </c>
      <c r="G63" s="2"/>
      <c r="H63" s="7">
        <v>0</v>
      </c>
      <c r="I63" s="2"/>
      <c r="J63" s="6">
        <f t="shared" si="55"/>
        <v>0</v>
      </c>
      <c r="K63" s="2"/>
      <c r="L63" s="7">
        <f t="shared" si="56"/>
        <v>0</v>
      </c>
      <c r="M63" s="2"/>
      <c r="N63" s="6">
        <f t="shared" si="57"/>
        <v>0</v>
      </c>
      <c r="O63" s="11"/>
      <c r="P63" s="7"/>
      <c r="Q63" s="2"/>
      <c r="R63" s="6">
        <f t="shared" si="58"/>
        <v>0</v>
      </c>
      <c r="S63" s="2"/>
      <c r="T63" s="7">
        <v>0</v>
      </c>
      <c r="U63" s="2"/>
      <c r="V63" s="6">
        <f t="shared" si="59"/>
        <v>0</v>
      </c>
      <c r="W63" s="2"/>
      <c r="X63" s="7">
        <f t="shared" si="60"/>
        <v>0</v>
      </c>
      <c r="Y63" s="2"/>
      <c r="Z63" s="6">
        <f t="shared" si="61"/>
        <v>0</v>
      </c>
    </row>
    <row r="64" spans="1:26" s="27" customFormat="1" outlineLevel="1" collapsed="1" x14ac:dyDescent="0.25">
      <c r="A64" s="29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SUM(OSRRefD22_11x_0)</f>
        <v>0</v>
      </c>
      <c r="E64" s="1"/>
      <c r="F64" s="5">
        <f t="shared" si="54"/>
        <v>0</v>
      </c>
      <c r="G64" s="1"/>
      <c r="H64" s="1">
        <f>SUM(OSRRefH22_11x_0)</f>
        <v>0</v>
      </c>
      <c r="I64" s="1"/>
      <c r="J64" s="5">
        <f t="shared" si="55"/>
        <v>0</v>
      </c>
      <c r="K64" s="1"/>
      <c r="L64" s="1">
        <f t="shared" si="56"/>
        <v>0</v>
      </c>
      <c r="M64" s="1"/>
      <c r="N64" s="5">
        <f t="shared" si="57"/>
        <v>0</v>
      </c>
      <c r="O64" s="14"/>
      <c r="P64" s="1">
        <f>SUM(OSRRefP22_11x_0)</f>
        <v>0</v>
      </c>
      <c r="Q64" s="1"/>
      <c r="R64" s="5">
        <f t="shared" si="58"/>
        <v>0</v>
      </c>
      <c r="S64" s="1"/>
      <c r="T64" s="1">
        <f>SUM(OSRRefT22_11x_0)</f>
        <v>0</v>
      </c>
      <c r="U64" s="1"/>
      <c r="V64" s="5">
        <f t="shared" si="59"/>
        <v>0</v>
      </c>
      <c r="W64" s="1"/>
      <c r="X64" s="1">
        <f t="shared" si="60"/>
        <v>0</v>
      </c>
      <c r="Y64" s="1"/>
      <c r="Z64" s="5">
        <f t="shared" si="61"/>
        <v>0</v>
      </c>
    </row>
    <row r="65" spans="1:26" s="24" customFormat="1" hidden="1" outlineLevel="2" x14ac:dyDescent="0.25">
      <c r="A65" s="28"/>
      <c r="B65" s="11" t="str">
        <f>CONCATENATE("          ", "6234", " - ", "EXPENDABLE SUPPLIES &amp; EQUIPMEN")</f>
        <v xml:space="preserve">          6234 - EXPENDABLE SUPPLIES &amp; EQUIPMEN</v>
      </c>
      <c r="C65" s="11"/>
      <c r="D65" s="7"/>
      <c r="E65" s="2"/>
      <c r="F65" s="6">
        <f t="shared" si="54"/>
        <v>0</v>
      </c>
      <c r="G65" s="2"/>
      <c r="H65" s="7"/>
      <c r="I65" s="2"/>
      <c r="J65" s="6">
        <f t="shared" si="55"/>
        <v>0</v>
      </c>
      <c r="K65" s="2"/>
      <c r="L65" s="7">
        <f t="shared" si="56"/>
        <v>0</v>
      </c>
      <c r="M65" s="2"/>
      <c r="N65" s="6">
        <f t="shared" si="57"/>
        <v>0</v>
      </c>
      <c r="O65" s="11"/>
      <c r="P65" s="7"/>
      <c r="Q65" s="2"/>
      <c r="R65" s="6">
        <f t="shared" si="58"/>
        <v>0</v>
      </c>
      <c r="S65" s="2"/>
      <c r="T65" s="7">
        <v>0</v>
      </c>
      <c r="U65" s="2"/>
      <c r="V65" s="6">
        <f t="shared" si="59"/>
        <v>0</v>
      </c>
      <c r="W65" s="2"/>
      <c r="X65" s="7">
        <f t="shared" si="60"/>
        <v>0</v>
      </c>
      <c r="Y65" s="2"/>
      <c r="Z65" s="6">
        <f t="shared" si="61"/>
        <v>0</v>
      </c>
    </row>
    <row r="66" spans="1:26" s="24" customFormat="1" hidden="1" outlineLevel="2" x14ac:dyDescent="0.25">
      <c r="A66" s="28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54"/>
        <v>0</v>
      </c>
      <c r="G66" s="2"/>
      <c r="H66" s="7">
        <v>0</v>
      </c>
      <c r="I66" s="2"/>
      <c r="J66" s="6">
        <f t="shared" si="55"/>
        <v>0</v>
      </c>
      <c r="K66" s="2"/>
      <c r="L66" s="7">
        <f t="shared" si="56"/>
        <v>0</v>
      </c>
      <c r="M66" s="2"/>
      <c r="N66" s="6">
        <f t="shared" si="57"/>
        <v>0</v>
      </c>
      <c r="O66" s="11"/>
      <c r="P66" s="7"/>
      <c r="Q66" s="2"/>
      <c r="R66" s="6">
        <f t="shared" si="58"/>
        <v>0</v>
      </c>
      <c r="S66" s="2"/>
      <c r="T66" s="7">
        <v>0</v>
      </c>
      <c r="U66" s="2"/>
      <c r="V66" s="6">
        <f t="shared" si="59"/>
        <v>0</v>
      </c>
      <c r="W66" s="2"/>
      <c r="X66" s="7">
        <f t="shared" si="60"/>
        <v>0</v>
      </c>
      <c r="Y66" s="2"/>
      <c r="Z66" s="6">
        <f t="shared" si="61"/>
        <v>0</v>
      </c>
    </row>
    <row r="67" spans="1:26" s="24" customFormat="1" hidden="1" outlineLevel="2" x14ac:dyDescent="0.25">
      <c r="A67" s="28"/>
      <c r="B67" s="11" t="str">
        <f>CONCATENATE("          ", "6237", " - ", "JANITORIAL SUPPLIES")</f>
        <v xml:space="preserve">          6237 - JANITORIAL SUPPLIES</v>
      </c>
      <c r="C67" s="11"/>
      <c r="D67" s="7"/>
      <c r="E67" s="2"/>
      <c r="F67" s="6">
        <f t="shared" si="54"/>
        <v>0</v>
      </c>
      <c r="G67" s="2"/>
      <c r="H67" s="7">
        <v>0</v>
      </c>
      <c r="I67" s="2"/>
      <c r="J67" s="6">
        <f t="shared" si="55"/>
        <v>0</v>
      </c>
      <c r="K67" s="2"/>
      <c r="L67" s="7">
        <f t="shared" si="56"/>
        <v>0</v>
      </c>
      <c r="M67" s="2"/>
      <c r="N67" s="6">
        <f t="shared" si="57"/>
        <v>0</v>
      </c>
      <c r="O67" s="11"/>
      <c r="P67" s="7"/>
      <c r="Q67" s="2"/>
      <c r="R67" s="6">
        <f t="shared" si="58"/>
        <v>0</v>
      </c>
      <c r="S67" s="2"/>
      <c r="T67" s="7">
        <v>0</v>
      </c>
      <c r="U67" s="2"/>
      <c r="V67" s="6">
        <f t="shared" si="59"/>
        <v>0</v>
      </c>
      <c r="W67" s="2"/>
      <c r="X67" s="7">
        <f t="shared" si="60"/>
        <v>0</v>
      </c>
      <c r="Y67" s="2"/>
      <c r="Z67" s="6">
        <f t="shared" si="61"/>
        <v>0</v>
      </c>
    </row>
    <row r="68" spans="1:26" s="24" customFormat="1" hidden="1" outlineLevel="2" x14ac:dyDescent="0.25">
      <c r="A68" s="28"/>
      <c r="B68" s="11" t="str">
        <f>CONCATENATE("          ", "6239", " - ", "KITCHEN SUPPLIES")</f>
        <v xml:space="preserve">          6239 - KITCHEN SUPPLIES</v>
      </c>
      <c r="C68" s="11"/>
      <c r="D68" s="7"/>
      <c r="E68" s="2"/>
      <c r="F68" s="6">
        <f t="shared" si="54"/>
        <v>0</v>
      </c>
      <c r="G68" s="2"/>
      <c r="H68" s="7"/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/>
      <c r="Q68" s="2"/>
      <c r="R68" s="6">
        <f t="shared" si="58"/>
        <v>0</v>
      </c>
      <c r="S68" s="2"/>
      <c r="T68" s="7">
        <v>0</v>
      </c>
      <c r="U68" s="2"/>
      <c r="V68" s="6">
        <f t="shared" si="59"/>
        <v>0</v>
      </c>
      <c r="W68" s="2"/>
      <c r="X68" s="7">
        <f t="shared" si="60"/>
        <v>0</v>
      </c>
      <c r="Y68" s="2"/>
      <c r="Z68" s="6">
        <f t="shared" si="61"/>
        <v>0</v>
      </c>
    </row>
    <row r="69" spans="1:26" s="24" customFormat="1" hidden="1" outlineLevel="2" x14ac:dyDescent="0.25">
      <c r="A69" s="28"/>
      <c r="B69" s="11" t="str">
        <f>CONCATENATE("          ", "6241", " - ", "OFFICE EXPENSE")</f>
        <v xml:space="preserve">          6241 - OFFICE EXPENSE</v>
      </c>
      <c r="C69" s="11"/>
      <c r="D69" s="7"/>
      <c r="E69" s="2"/>
      <c r="F69" s="6">
        <f t="shared" si="54"/>
        <v>0</v>
      </c>
      <c r="G69" s="2"/>
      <c r="H69" s="7">
        <v>0</v>
      </c>
      <c r="I69" s="2"/>
      <c r="J69" s="6">
        <f t="shared" si="55"/>
        <v>0</v>
      </c>
      <c r="K69" s="2"/>
      <c r="L69" s="7">
        <f t="shared" si="56"/>
        <v>0</v>
      </c>
      <c r="M69" s="2"/>
      <c r="N69" s="6">
        <f t="shared" si="57"/>
        <v>0</v>
      </c>
      <c r="O69" s="11"/>
      <c r="P69" s="7"/>
      <c r="Q69" s="2"/>
      <c r="R69" s="6">
        <f t="shared" si="58"/>
        <v>0</v>
      </c>
      <c r="S69" s="2"/>
      <c r="T69" s="7">
        <v>0</v>
      </c>
      <c r="U69" s="2"/>
      <c r="V69" s="6">
        <f t="shared" si="59"/>
        <v>0</v>
      </c>
      <c r="W69" s="2"/>
      <c r="X69" s="7">
        <f t="shared" si="60"/>
        <v>0</v>
      </c>
      <c r="Y69" s="2"/>
      <c r="Z69" s="6">
        <f t="shared" si="61"/>
        <v>0</v>
      </c>
    </row>
    <row r="70" spans="1:26" s="24" customFormat="1" hidden="1" outlineLevel="2" x14ac:dyDescent="0.25">
      <c r="A70" s="28"/>
      <c r="B70" s="11" t="str">
        <f>CONCATENATE("          ", "6243", " - ", "PAPER SUPPLIES")</f>
        <v xml:space="preserve">          6243 - PAPER SUPPLIES</v>
      </c>
      <c r="C70" s="11"/>
      <c r="D70" s="7"/>
      <c r="E70" s="2"/>
      <c r="F70" s="6">
        <f t="shared" si="54"/>
        <v>0</v>
      </c>
      <c r="G70" s="2"/>
      <c r="H70" s="7">
        <v>0</v>
      </c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/>
      <c r="Q70" s="2"/>
      <c r="R70" s="6">
        <f t="shared" si="58"/>
        <v>0</v>
      </c>
      <c r="S70" s="2"/>
      <c r="T70" s="7">
        <v>0</v>
      </c>
      <c r="U70" s="2"/>
      <c r="V70" s="6">
        <f t="shared" si="59"/>
        <v>0</v>
      </c>
      <c r="W70" s="2"/>
      <c r="X70" s="7">
        <f t="shared" si="60"/>
        <v>0</v>
      </c>
      <c r="Y70" s="2"/>
      <c r="Z70" s="6">
        <f t="shared" si="61"/>
        <v>0</v>
      </c>
    </row>
    <row r="71" spans="1:26" s="24" customFormat="1" hidden="1" outlineLevel="2" x14ac:dyDescent="0.25">
      <c r="A71" s="28"/>
      <c r="B71" s="11" t="str">
        <f>CONCATENATE("          ", "6244", " - ", "SAFETY SUPPLY EXPENSE")</f>
        <v xml:space="preserve">          6244 - SAFETY SUPPLY EXPENSE</v>
      </c>
      <c r="C71" s="11"/>
      <c r="D71" s="7"/>
      <c r="E71" s="2"/>
      <c r="F71" s="6">
        <f t="shared" si="54"/>
        <v>0</v>
      </c>
      <c r="G71" s="2"/>
      <c r="H71" s="7">
        <v>0</v>
      </c>
      <c r="I71" s="2"/>
      <c r="J71" s="6">
        <f t="shared" si="55"/>
        <v>0</v>
      </c>
      <c r="K71" s="2"/>
      <c r="L71" s="7">
        <f t="shared" si="56"/>
        <v>0</v>
      </c>
      <c r="M71" s="2"/>
      <c r="N71" s="6">
        <f t="shared" si="57"/>
        <v>0</v>
      </c>
      <c r="O71" s="11"/>
      <c r="P71" s="7"/>
      <c r="Q71" s="2"/>
      <c r="R71" s="6">
        <f t="shared" si="58"/>
        <v>0</v>
      </c>
      <c r="S71" s="2"/>
      <c r="T71" s="7">
        <v>0</v>
      </c>
      <c r="U71" s="2"/>
      <c r="V71" s="6">
        <f t="shared" si="59"/>
        <v>0</v>
      </c>
      <c r="W71" s="2"/>
      <c r="X71" s="7">
        <f t="shared" si="60"/>
        <v>0</v>
      </c>
      <c r="Y71" s="2"/>
      <c r="Z71" s="6">
        <f t="shared" si="61"/>
        <v>0</v>
      </c>
    </row>
    <row r="72" spans="1:26" s="24" customFormat="1" hidden="1" outlineLevel="2" x14ac:dyDescent="0.25">
      <c r="A72" s="28"/>
      <c r="B72" s="11" t="str">
        <f>CONCATENATE("          ", "6245", " - ", "PRINTING")</f>
        <v xml:space="preserve">          6245 - PRINTING</v>
      </c>
      <c r="C72" s="11"/>
      <c r="D72" s="7"/>
      <c r="E72" s="2"/>
      <c r="F72" s="6">
        <f t="shared" si="54"/>
        <v>0</v>
      </c>
      <c r="G72" s="2"/>
      <c r="H72" s="7">
        <v>0</v>
      </c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/>
      <c r="Q72" s="2"/>
      <c r="R72" s="6">
        <f t="shared" si="58"/>
        <v>0</v>
      </c>
      <c r="S72" s="2"/>
      <c r="T72" s="7">
        <v>0</v>
      </c>
      <c r="U72" s="2"/>
      <c r="V72" s="6">
        <f t="shared" si="59"/>
        <v>0</v>
      </c>
      <c r="W72" s="2"/>
      <c r="X72" s="7">
        <f t="shared" si="60"/>
        <v>0</v>
      </c>
      <c r="Y72" s="2"/>
      <c r="Z72" s="6">
        <f t="shared" si="61"/>
        <v>0</v>
      </c>
    </row>
    <row r="73" spans="1:26" s="24" customFormat="1" hidden="1" outlineLevel="2" x14ac:dyDescent="0.25">
      <c r="A73" s="28"/>
      <c r="B73" s="11" t="str">
        <f>CONCATENATE("          ", "6246", " - ", "REPLACEMENTS")</f>
        <v xml:space="preserve">          6246 - REPLACEMENTS</v>
      </c>
      <c r="C73" s="11"/>
      <c r="D73" s="7"/>
      <c r="E73" s="2"/>
      <c r="F73" s="6">
        <f t="shared" si="54"/>
        <v>0</v>
      </c>
      <c r="G73" s="2"/>
      <c r="H73" s="7"/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25">
      <c r="A74" s="28"/>
      <c r="B74" s="11" t="str">
        <f>CONCATENATE("          ", "6248", " - ", "UNIFORMS")</f>
        <v xml:space="preserve">          6248 - UNIFORMS</v>
      </c>
      <c r="C74" s="11"/>
      <c r="D74" s="7"/>
      <c r="E74" s="2"/>
      <c r="F74" s="6">
        <f t="shared" si="54"/>
        <v>0</v>
      </c>
      <c r="G74" s="2"/>
      <c r="H74" s="7"/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/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0</v>
      </c>
      <c r="Y74" s="2"/>
      <c r="Z74" s="6">
        <f t="shared" si="61"/>
        <v>0</v>
      </c>
    </row>
    <row r="75" spans="1:26" s="27" customFormat="1" outlineLevel="1" collapsed="1" x14ac:dyDescent="0.25">
      <c r="A75" s="29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38.869999999999997</v>
      </c>
      <c r="E75" s="1"/>
      <c r="F75" s="5">
        <f t="shared" ref="F75:F77" si="62">IF(D$12=0,0,D75/D$12)</f>
        <v>0</v>
      </c>
      <c r="G75" s="1"/>
      <c r="H75" s="1">
        <f>SUM(OSRRefH22_12x_0)</f>
        <v>0</v>
      </c>
      <c r="I75" s="1"/>
      <c r="J75" s="5">
        <f t="shared" ref="J75:J77" si="63">IF(H$12=0,0,H75/H$12)</f>
        <v>0</v>
      </c>
      <c r="K75" s="1"/>
      <c r="L75" s="1">
        <f t="shared" ref="L75:L77" si="64">+D75-H75</f>
        <v>38.869999999999997</v>
      </c>
      <c r="M75" s="1"/>
      <c r="N75" s="5">
        <f t="shared" ref="N75:N77" si="65">IF(H75=0,0,L75/H75)</f>
        <v>0</v>
      </c>
      <c r="O75" s="14"/>
      <c r="P75" s="1">
        <f>SUM(OSRRefP22_12x_0)</f>
        <v>250.87</v>
      </c>
      <c r="Q75" s="1"/>
      <c r="R75" s="5">
        <f t="shared" ref="R75:R77" si="66">IF(P$12=0,0,P75/P$12)</f>
        <v>0</v>
      </c>
      <c r="S75" s="1"/>
      <c r="T75" s="1">
        <f>SUM(OSRRefT22_12x_0)</f>
        <v>0</v>
      </c>
      <c r="U75" s="1"/>
      <c r="V75" s="5">
        <f t="shared" ref="V75:V77" si="67">IF(T$12=0,0,T75/T$12)</f>
        <v>0</v>
      </c>
      <c r="W75" s="1"/>
      <c r="X75" s="1">
        <f t="shared" ref="X75:X77" si="68">+P75-T75</f>
        <v>250.87</v>
      </c>
      <c r="Y75" s="1"/>
      <c r="Z75" s="5">
        <f t="shared" ref="Z75:Z77" si="69">IF(T75=0,0,X75/T75)</f>
        <v>0</v>
      </c>
    </row>
    <row r="76" spans="1:26" s="24" customFormat="1" hidden="1" outlineLevel="2" x14ac:dyDescent="0.25">
      <c r="A76" s="28"/>
      <c r="B76" s="11" t="str">
        <f>CONCATENATE("          ", "6303", " - ", "DATA PHONE LINES")</f>
        <v xml:space="preserve">          6303 - DATA PHONE LINES</v>
      </c>
      <c r="C76" s="11"/>
      <c r="D76" s="7"/>
      <c r="E76" s="2"/>
      <c r="F76" s="6">
        <f t="shared" si="62"/>
        <v>0</v>
      </c>
      <c r="G76" s="2"/>
      <c r="H76" s="7">
        <v>0</v>
      </c>
      <c r="I76" s="2"/>
      <c r="J76" s="6">
        <f t="shared" si="63"/>
        <v>0</v>
      </c>
      <c r="K76" s="2"/>
      <c r="L76" s="7">
        <f t="shared" si="64"/>
        <v>0</v>
      </c>
      <c r="M76" s="2"/>
      <c r="N76" s="6">
        <f t="shared" si="65"/>
        <v>0</v>
      </c>
      <c r="O76" s="11"/>
      <c r="P76" s="7"/>
      <c r="Q76" s="2"/>
      <c r="R76" s="6">
        <f t="shared" si="66"/>
        <v>0</v>
      </c>
      <c r="S76" s="2"/>
      <c r="T76" s="7">
        <v>0</v>
      </c>
      <c r="U76" s="2"/>
      <c r="V76" s="6">
        <f t="shared" si="67"/>
        <v>0</v>
      </c>
      <c r="W76" s="2"/>
      <c r="X76" s="7">
        <f t="shared" si="68"/>
        <v>0</v>
      </c>
      <c r="Y76" s="2"/>
      <c r="Z76" s="6">
        <f t="shared" si="69"/>
        <v>0</v>
      </c>
    </row>
    <row r="77" spans="1:26" s="24" customFormat="1" hidden="1" outlineLevel="2" x14ac:dyDescent="0.25">
      <c r="A77" s="28"/>
      <c r="B77" s="11" t="str">
        <f>CONCATENATE("          ", "6309", " - ", "TELEPHONE")</f>
        <v xml:space="preserve">          6309 - TELEPHONE</v>
      </c>
      <c r="C77" s="11"/>
      <c r="D77" s="7">
        <v>38.869999999999997</v>
      </c>
      <c r="E77" s="2"/>
      <c r="F77" s="6">
        <f t="shared" si="62"/>
        <v>0</v>
      </c>
      <c r="G77" s="2"/>
      <c r="H77" s="7"/>
      <c r="I77" s="2"/>
      <c r="J77" s="6">
        <f t="shared" si="63"/>
        <v>0</v>
      </c>
      <c r="K77" s="2"/>
      <c r="L77" s="7">
        <f t="shared" si="64"/>
        <v>38.869999999999997</v>
      </c>
      <c r="M77" s="2"/>
      <c r="N77" s="6">
        <f t="shared" si="65"/>
        <v>0</v>
      </c>
      <c r="O77" s="11"/>
      <c r="P77" s="7">
        <v>250.87</v>
      </c>
      <c r="Q77" s="2"/>
      <c r="R77" s="6">
        <f t="shared" si="66"/>
        <v>0</v>
      </c>
      <c r="S77" s="2"/>
      <c r="T77" s="7"/>
      <c r="U77" s="2"/>
      <c r="V77" s="6">
        <f t="shared" si="67"/>
        <v>0</v>
      </c>
      <c r="W77" s="2"/>
      <c r="X77" s="7">
        <f t="shared" si="68"/>
        <v>250.87</v>
      </c>
      <c r="Y77" s="2"/>
      <c r="Z77" s="6">
        <f t="shared" si="69"/>
        <v>0</v>
      </c>
    </row>
    <row r="78" spans="1:26" s="27" customFormat="1" outlineLevel="1" collapsed="1" x14ac:dyDescent="0.25">
      <c r="A78" s="29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SUM(OSRRefD22_13x_0)</f>
        <v>0</v>
      </c>
      <c r="E78" s="1"/>
      <c r="F78" s="5">
        <f t="shared" ref="F78:F79" si="70">IF(D$12=0,0,D78/D$12)</f>
        <v>0</v>
      </c>
      <c r="G78" s="1"/>
      <c r="H78" s="1">
        <f>SUM(OSRRefH22_13x_0)</f>
        <v>0</v>
      </c>
      <c r="I78" s="1"/>
      <c r="J78" s="5">
        <f t="shared" ref="J78:J79" si="71">IF(H$12=0,0,H78/H$12)</f>
        <v>0</v>
      </c>
      <c r="K78" s="1"/>
      <c r="L78" s="1">
        <f t="shared" ref="L78:L79" si="72">+D78-H78</f>
        <v>0</v>
      </c>
      <c r="M78" s="1"/>
      <c r="N78" s="5">
        <f t="shared" ref="N78:N79" si="73">IF(H78=0,0,L78/H78)</f>
        <v>0</v>
      </c>
      <c r="O78" s="14"/>
      <c r="P78" s="1">
        <f>SUM(OSRRefP22_13x_0)</f>
        <v>0</v>
      </c>
      <c r="Q78" s="1"/>
      <c r="R78" s="5">
        <f t="shared" ref="R78:R79" si="74">IF(P$12=0,0,P78/P$12)</f>
        <v>0</v>
      </c>
      <c r="S78" s="1"/>
      <c r="T78" s="1">
        <f>SUM(OSRRefT22_13x_0)</f>
        <v>0</v>
      </c>
      <c r="U78" s="1"/>
      <c r="V78" s="5">
        <f t="shared" ref="V78:V79" si="75">IF(T$12=0,0,T78/T$12)</f>
        <v>0</v>
      </c>
      <c r="W78" s="1"/>
      <c r="X78" s="1">
        <f t="shared" ref="X78:X79" si="76">+P78-T78</f>
        <v>0</v>
      </c>
      <c r="Y78" s="1"/>
      <c r="Z78" s="5">
        <f t="shared" ref="Z78:Z79" si="77">IF(T78=0,0,X78/T78)</f>
        <v>0</v>
      </c>
    </row>
    <row r="79" spans="1:26" s="24" customFormat="1" hidden="1" outlineLevel="2" x14ac:dyDescent="0.25">
      <c r="A79" s="28"/>
      <c r="B79" s="11" t="str">
        <f>CONCATENATE("          ", "6376", " - ", "TRAINING")</f>
        <v xml:space="preserve">          6376 - TRAINING</v>
      </c>
      <c r="C79" s="11"/>
      <c r="D79" s="7"/>
      <c r="E79" s="2"/>
      <c r="F79" s="6">
        <f t="shared" si="70"/>
        <v>0</v>
      </c>
      <c r="G79" s="2"/>
      <c r="H79" s="7">
        <v>0</v>
      </c>
      <c r="I79" s="2"/>
      <c r="J79" s="6">
        <f t="shared" si="71"/>
        <v>0</v>
      </c>
      <c r="K79" s="2"/>
      <c r="L79" s="7">
        <f t="shared" si="72"/>
        <v>0</v>
      </c>
      <c r="M79" s="2"/>
      <c r="N79" s="6">
        <f t="shared" si="73"/>
        <v>0</v>
      </c>
      <c r="O79" s="11"/>
      <c r="P79" s="7"/>
      <c r="Q79" s="2"/>
      <c r="R79" s="6">
        <f t="shared" si="74"/>
        <v>0</v>
      </c>
      <c r="S79" s="2"/>
      <c r="T79" s="7">
        <v>0</v>
      </c>
      <c r="U79" s="2"/>
      <c r="V79" s="6">
        <f t="shared" si="75"/>
        <v>0</v>
      </c>
      <c r="W79" s="2"/>
      <c r="X79" s="7">
        <f t="shared" si="76"/>
        <v>0</v>
      </c>
      <c r="Y79" s="2"/>
      <c r="Z79" s="6">
        <f t="shared" si="77"/>
        <v>0</v>
      </c>
    </row>
    <row r="80" spans="1:26" s="63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5" t="s">
        <v>0</v>
      </c>
      <c r="C81" s="10"/>
      <c r="D81" s="4">
        <f>SUM(OSRRefD25x_0)</f>
        <v>0</v>
      </c>
      <c r="E81" s="4"/>
      <c r="F81" s="12">
        <f t="shared" ref="F81:F82" si="78">IF(D$12=0,0,D81/D$12)</f>
        <v>0</v>
      </c>
      <c r="G81" s="4"/>
      <c r="H81" s="4">
        <f>SUM(OSRRefH25x_0)</f>
        <v>0</v>
      </c>
      <c r="I81" s="4"/>
      <c r="J81" s="12">
        <f t="shared" ref="J81:J82" si="79">IF(H$12=0,0,H81/H$12)</f>
        <v>0</v>
      </c>
      <c r="K81" s="4"/>
      <c r="L81" s="4">
        <f t="shared" ref="L81:L82" si="80">+D81-H81</f>
        <v>0</v>
      </c>
      <c r="M81" s="4"/>
      <c r="N81" s="12">
        <f t="shared" ref="N81:N82" si="81">IF(H81=0,0,L81/H81)</f>
        <v>0</v>
      </c>
      <c r="O81" s="10"/>
      <c r="P81" s="4">
        <f>SUM(OSRRefP25x_0)</f>
        <v>111.42</v>
      </c>
      <c r="Q81" s="4"/>
      <c r="R81" s="12">
        <f t="shared" ref="R81:R82" si="82">IF(P$12=0,0,P81/P$12)</f>
        <v>0</v>
      </c>
      <c r="S81" s="4"/>
      <c r="T81" s="4">
        <f>SUM(OSRRefT25x_0)</f>
        <v>0</v>
      </c>
      <c r="U81" s="4"/>
      <c r="V81" s="12">
        <f t="shared" ref="V81:V82" si="83">IF(T$12=0,0,T81/T$12)</f>
        <v>0</v>
      </c>
      <c r="W81" s="4"/>
      <c r="X81" s="4">
        <f t="shared" ref="X81:X82" si="84">+P81-T81</f>
        <v>111.42</v>
      </c>
      <c r="Y81" s="4"/>
      <c r="Z81" s="12">
        <f t="shared" ref="Z81:Z82" si="85">IF(T81=0,0,X81/T81)</f>
        <v>0</v>
      </c>
    </row>
    <row r="82" spans="1:26" s="24" customFormat="1" hidden="1" outlineLevel="1" x14ac:dyDescent="0.25">
      <c r="A82" s="51"/>
      <c r="B82" s="11" t="str">
        <f>CONCATENATE("          ", "9150", " - ", "MISC. INCOME")</f>
        <v xml:space="preserve">          9150 - MISC. INCOME</v>
      </c>
      <c r="C82" s="11"/>
      <c r="D82" s="2">
        <f>0</f>
        <v>0</v>
      </c>
      <c r="E82" s="2"/>
      <c r="F82" s="22">
        <f t="shared" si="78"/>
        <v>0</v>
      </c>
      <c r="G82" s="2"/>
      <c r="H82" s="2"/>
      <c r="I82" s="2"/>
      <c r="J82" s="22">
        <f t="shared" si="79"/>
        <v>0</v>
      </c>
      <c r="K82" s="2"/>
      <c r="L82" s="2">
        <f t="shared" si="80"/>
        <v>0</v>
      </c>
      <c r="M82" s="2"/>
      <c r="N82" s="22">
        <f t="shared" si="81"/>
        <v>0</v>
      </c>
      <c r="O82" s="11"/>
      <c r="P82" s="2">
        <f>--111.42</f>
        <v>111.42</v>
      </c>
      <c r="Q82" s="2"/>
      <c r="R82" s="22">
        <f t="shared" si="82"/>
        <v>0</v>
      </c>
      <c r="S82" s="2"/>
      <c r="T82" s="2"/>
      <c r="U82" s="2"/>
      <c r="V82" s="22">
        <f t="shared" si="83"/>
        <v>0</v>
      </c>
      <c r="W82" s="2"/>
      <c r="X82" s="2">
        <f t="shared" si="84"/>
        <v>111.42</v>
      </c>
      <c r="Y82" s="2"/>
      <c r="Z82" s="22">
        <f t="shared" si="85"/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6" t="s">
        <v>3</v>
      </c>
      <c r="C84" s="26"/>
      <c r="D84" s="20">
        <f>+D19-D21+D81</f>
        <v>-6784.05</v>
      </c>
      <c r="E84" s="13"/>
      <c r="F84" s="19">
        <f>IF(D$12=0,0,D84/D$12)</f>
        <v>0</v>
      </c>
      <c r="G84" s="13"/>
      <c r="H84" s="20">
        <f>+H19-H21+H81</f>
        <v>-6745</v>
      </c>
      <c r="I84" s="13"/>
      <c r="J84" s="19">
        <f>IF(H$12=0,0,H84/H$12)</f>
        <v>0</v>
      </c>
      <c r="K84" s="15"/>
      <c r="L84" s="20">
        <f>+D84-H84</f>
        <v>-39.050000000000182</v>
      </c>
      <c r="M84" s="15"/>
      <c r="N84" s="19">
        <f>IF(H84=0,0,L84/H84)</f>
        <v>5.7894736842105535E-3</v>
      </c>
      <c r="O84" s="25"/>
      <c r="P84" s="20">
        <f>+P19-P21+P81</f>
        <v>-38478.670000000006</v>
      </c>
      <c r="Q84" s="13"/>
      <c r="R84" s="19">
        <f>IF(P$12=0,0,P84/P$12)</f>
        <v>0</v>
      </c>
      <c r="S84" s="13"/>
      <c r="T84" s="20">
        <f>+T19-T21+T81</f>
        <v>-28279</v>
      </c>
      <c r="U84" s="13"/>
      <c r="V84" s="19">
        <f>IF(T$12=0,0,T84/T$12)</f>
        <v>0</v>
      </c>
      <c r="W84" s="15"/>
      <c r="X84" s="20">
        <f>+P84-T84</f>
        <v>-10199.670000000006</v>
      </c>
      <c r="Y84" s="15"/>
      <c r="Z84" s="19">
        <f>IF(T84=0,0,X84/T84)</f>
        <v>0.36068000990134041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2"/>
      <c r="B86" s="10" t="s">
        <v>14</v>
      </c>
      <c r="C86" s="10"/>
      <c r="D86" s="4"/>
      <c r="E86" s="4"/>
      <c r="F86" s="12">
        <f>IF(D$12=0,0,D86/D$12)</f>
        <v>0</v>
      </c>
      <c r="G86" s="4"/>
      <c r="H86" s="4"/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/>
      <c r="Q86" s="4"/>
      <c r="R86" s="12">
        <f>IF(P$12=0,0,P86/P$12)</f>
        <v>0</v>
      </c>
      <c r="S86" s="4"/>
      <c r="T86" s="4"/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4</v>
      </c>
      <c r="C88" s="26"/>
      <c r="D88" s="34">
        <f>+D84-D86</f>
        <v>-6784.05</v>
      </c>
      <c r="E88" s="13"/>
      <c r="F88" s="35">
        <f>IF(D$12=0,0,D88/D$12)</f>
        <v>0</v>
      </c>
      <c r="G88" s="13"/>
      <c r="H88" s="34">
        <f>+H84-H86</f>
        <v>-6745</v>
      </c>
      <c r="I88" s="13"/>
      <c r="J88" s="35">
        <f>IF(H$12=0,0,H88/H$12)</f>
        <v>0</v>
      </c>
      <c r="K88" s="15"/>
      <c r="L88" s="34">
        <f>D88-H88</f>
        <v>-39.050000000000182</v>
      </c>
      <c r="M88" s="15"/>
      <c r="N88" s="35">
        <f>IF(H88=0,0,L88/H88)</f>
        <v>5.7894736842105535E-3</v>
      </c>
      <c r="O88" s="25"/>
      <c r="P88" s="34">
        <f>+P84-P86</f>
        <v>-38478.670000000006</v>
      </c>
      <c r="Q88" s="13"/>
      <c r="R88" s="35">
        <f>IF(P$12=0,0,P88/P$12)</f>
        <v>0</v>
      </c>
      <c r="S88" s="13"/>
      <c r="T88" s="34">
        <f>+T84-T86</f>
        <v>-28279</v>
      </c>
      <c r="U88" s="13"/>
      <c r="V88" s="35">
        <f>IF(T$12=0,0,T88/T$12)</f>
        <v>0</v>
      </c>
      <c r="W88" s="15"/>
      <c r="X88" s="34">
        <f>P88-T88</f>
        <v>-10199.670000000006</v>
      </c>
      <c r="Y88" s="15"/>
      <c r="Z88" s="35">
        <f>IF(T88=0,0,X88/T88)</f>
        <v>0.36068000990134041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5</v>
      </c>
      <c r="C91" s="26"/>
      <c r="D91" s="30">
        <f>SUM(D88:D90)</f>
        <v>-6784.05</v>
      </c>
      <c r="E91" s="13"/>
      <c r="F91" s="32">
        <f>IF(D$12=0,0,D91/D$12)</f>
        <v>0</v>
      </c>
      <c r="G91" s="13"/>
      <c r="H91" s="30">
        <f>SUM(H88:H90)</f>
        <v>-6745</v>
      </c>
      <c r="I91" s="13"/>
      <c r="J91" s="32">
        <f>IF(H$12=0,0,H91/H$12)</f>
        <v>0</v>
      </c>
      <c r="K91" s="15"/>
      <c r="L91" s="30">
        <f>+D91-H91</f>
        <v>-39.050000000000182</v>
      </c>
      <c r="M91" s="15"/>
      <c r="N91" s="32">
        <f>IF(H91=0,0,L91/H91)</f>
        <v>5.7894736842105535E-3</v>
      </c>
      <c r="O91" s="25"/>
      <c r="P91" s="30">
        <f>SUM(P88:P90)</f>
        <v>-38478.670000000006</v>
      </c>
      <c r="Q91" s="13"/>
      <c r="R91" s="32">
        <f>IF(P$12=0,0,P91/P$12)</f>
        <v>0</v>
      </c>
      <c r="S91" s="13"/>
      <c r="T91" s="30">
        <f>SUM(T88:T90)</f>
        <v>-28279</v>
      </c>
      <c r="U91" s="13"/>
      <c r="V91" s="32">
        <f>IF(T$12=0,0,T91/T$12)</f>
        <v>0</v>
      </c>
      <c r="W91" s="15"/>
      <c r="X91" s="30">
        <f>+P91-T91</f>
        <v>-10199.670000000006</v>
      </c>
      <c r="Y91" s="15"/>
      <c r="Z91" s="32">
        <f>IF(T91=0,0,X91/T91)</f>
        <v>0.36068000990134041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60">
        <v>44151.568728784725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8" t="s">
        <v>314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3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","420", " - ", "Catering")</f>
        <v>Department 420 - Catering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30231.29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30231.29</v>
      </c>
      <c r="M12" s="4"/>
      <c r="N12" s="12">
        <f t="shared" ref="N12:N13" si="1">IF(H12=0,0,L12/H12)</f>
        <v>0</v>
      </c>
      <c r="O12" s="10"/>
      <c r="P12" s="4">
        <f>SUM(OSRRefP13x_0)</f>
        <v>30231.29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30231.29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"4052", " - ", "TAXABLE SALES-FOOD")</f>
        <v xml:space="preserve">          4052 - TAXABLE SALES-FOOD</v>
      </c>
      <c r="C13" s="11"/>
      <c r="D13" s="2">
        <f>--30231.29</f>
        <v>30231.29</v>
      </c>
      <c r="E13" s="2"/>
      <c r="F13" s="22"/>
      <c r="G13" s="2"/>
      <c r="H13" s="2"/>
      <c r="I13" s="2"/>
      <c r="J13" s="22"/>
      <c r="K13" s="2"/>
      <c r="L13" s="2">
        <f t="shared" si="0"/>
        <v>30231.29</v>
      </c>
      <c r="M13" s="2"/>
      <c r="N13" s="22">
        <f t="shared" si="1"/>
        <v>0</v>
      </c>
      <c r="O13" s="11"/>
      <c r="P13" s="2">
        <f>--30231.29</f>
        <v>30231.29</v>
      </c>
      <c r="Q13" s="2"/>
      <c r="R13" s="22"/>
      <c r="S13" s="2"/>
      <c r="T13" s="2"/>
      <c r="U13" s="2"/>
      <c r="V13" s="22"/>
      <c r="W13" s="2"/>
      <c r="X13" s="2">
        <f t="shared" si="2"/>
        <v>30231.29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30231.29</v>
      </c>
      <c r="E17" s="13"/>
      <c r="F17" s="19">
        <f>IF(D$12=0,0,D17/D$12)</f>
        <v>1</v>
      </c>
      <c r="G17" s="13"/>
      <c r="H17" s="20">
        <f>H12-H15</f>
        <v>0</v>
      </c>
      <c r="I17" s="13"/>
      <c r="J17" s="19">
        <f>IF(H$12=0,0,H17/H$12)</f>
        <v>0</v>
      </c>
      <c r="K17" s="15"/>
      <c r="L17" s="20">
        <f>+D17-H17</f>
        <v>30231.29</v>
      </c>
      <c r="M17" s="15"/>
      <c r="N17" s="19">
        <f>IF(H17=0,0,L17/H17)</f>
        <v>0</v>
      </c>
      <c r="O17" s="25"/>
      <c r="P17" s="20">
        <f>P12-P15</f>
        <v>30231.29</v>
      </c>
      <c r="Q17" s="13"/>
      <c r="R17" s="19">
        <f>IF(P$12=0,0,P17/P$12)</f>
        <v>1</v>
      </c>
      <c r="S17" s="13"/>
      <c r="T17" s="20">
        <f>T12-T15</f>
        <v>0</v>
      </c>
      <c r="U17" s="13"/>
      <c r="V17" s="19">
        <f>IF(T$12=0,0,T17/T$12)</f>
        <v>0</v>
      </c>
      <c r="W17" s="15"/>
      <c r="X17" s="20">
        <f>+P17-T17</f>
        <v>30231.29</v>
      </c>
      <c r="Y17" s="15"/>
      <c r="Z17" s="19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1">
        <f>SUM(0)</f>
        <v>0</v>
      </c>
      <c r="E19" s="21"/>
      <c r="F19" s="31">
        <f>IF(D$12=0,0,D19/D$12)</f>
        <v>0</v>
      </c>
      <c r="G19" s="21"/>
      <c r="H19" s="21">
        <f>SUM(0)</f>
        <v>0</v>
      </c>
      <c r="I19" s="21"/>
      <c r="J19" s="31">
        <f>IF(H$12=0,0,H19/H$12)</f>
        <v>0</v>
      </c>
      <c r="K19" s="4"/>
      <c r="L19" s="21">
        <f>+D19-H19</f>
        <v>0</v>
      </c>
      <c r="M19" s="4"/>
      <c r="N19" s="31">
        <f>IF(H19=0,0,L19/H19)</f>
        <v>0</v>
      </c>
      <c r="O19" s="10"/>
      <c r="P19" s="21">
        <f>SUM(0)</f>
        <v>0</v>
      </c>
      <c r="Q19" s="21"/>
      <c r="R19" s="31">
        <f>IF(P$12=0,0,P19/P$12)</f>
        <v>0</v>
      </c>
      <c r="S19" s="21"/>
      <c r="T19" s="21">
        <f>SUM(0)</f>
        <v>0</v>
      </c>
      <c r="U19" s="21"/>
      <c r="V19" s="31">
        <f>IF(T$12=0,0,T19/T$12)</f>
        <v>0</v>
      </c>
      <c r="W19" s="4"/>
      <c r="X19" s="21">
        <f>+P19-T19</f>
        <v>0</v>
      </c>
      <c r="Y19" s="4"/>
      <c r="Z19" s="31">
        <f>IF(T19=0,0,X19/T19)</f>
        <v>0</v>
      </c>
    </row>
    <row r="20" spans="1:26" s="63" customFormat="1" x14ac:dyDescent="0.25">
      <c r="A20" s="36"/>
      <c r="B20" s="36"/>
      <c r="C20" s="36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0</v>
      </c>
      <c r="C21" s="10"/>
      <c r="D21" s="4">
        <f>SUM(0)</f>
        <v>0</v>
      </c>
      <c r="E21" s="4"/>
      <c r="F21" s="12">
        <f>IF(D$12=0,0,D21/D$12)</f>
        <v>0</v>
      </c>
      <c r="G21" s="4"/>
      <c r="H21" s="4">
        <f>SUM(0)</f>
        <v>0</v>
      </c>
      <c r="I21" s="4"/>
      <c r="J21" s="12">
        <f>IF(H$12=0,0,H21/H$12)</f>
        <v>0</v>
      </c>
      <c r="K21" s="4"/>
      <c r="L21" s="4">
        <f>+D21-H21</f>
        <v>0</v>
      </c>
      <c r="M21" s="4"/>
      <c r="N21" s="12">
        <f>IF(H21=0,0,L21/H21)</f>
        <v>0</v>
      </c>
      <c r="O21" s="10"/>
      <c r="P21" s="4">
        <f>SUM(0)</f>
        <v>0</v>
      </c>
      <c r="Q21" s="4"/>
      <c r="R21" s="12">
        <f>IF(P$12=0,0,P21/P$12)</f>
        <v>0</v>
      </c>
      <c r="S21" s="4"/>
      <c r="T21" s="4">
        <f>SUM(0)</f>
        <v>0</v>
      </c>
      <c r="U21" s="4"/>
      <c r="V21" s="12">
        <f>IF(T$12=0,0,T21/T$12)</f>
        <v>0</v>
      </c>
      <c r="W21" s="4"/>
      <c r="X21" s="4">
        <f>+P21-T21</f>
        <v>0</v>
      </c>
      <c r="Y21" s="4"/>
      <c r="Z21" s="12">
        <f>IF(T21=0,0,X21/T21)</f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3</v>
      </c>
      <c r="C23" s="26"/>
      <c r="D23" s="20">
        <f>+D17-D19+D21</f>
        <v>30231.29</v>
      </c>
      <c r="E23" s="13"/>
      <c r="F23" s="19">
        <f>IF(D$12=0,0,D23/D$12)</f>
        <v>1</v>
      </c>
      <c r="G23" s="13"/>
      <c r="H23" s="20">
        <f>+H17-H19+H21</f>
        <v>0</v>
      </c>
      <c r="I23" s="13"/>
      <c r="J23" s="19">
        <f>IF(H$12=0,0,H23/H$12)</f>
        <v>0</v>
      </c>
      <c r="K23" s="15"/>
      <c r="L23" s="20">
        <f>+D23-H23</f>
        <v>30231.29</v>
      </c>
      <c r="M23" s="15"/>
      <c r="N23" s="19">
        <f>IF(H23=0,0,L23/H23)</f>
        <v>0</v>
      </c>
      <c r="O23" s="25"/>
      <c r="P23" s="20">
        <f>+P17-P19+P21</f>
        <v>30231.29</v>
      </c>
      <c r="Q23" s="13"/>
      <c r="R23" s="19">
        <f>IF(P$12=0,0,P23/P$12)</f>
        <v>1</v>
      </c>
      <c r="S23" s="13"/>
      <c r="T23" s="20">
        <f>+T17-T19+T21</f>
        <v>0</v>
      </c>
      <c r="U23" s="13"/>
      <c r="V23" s="19">
        <f>IF(T$12=0,0,T23/T$12)</f>
        <v>0</v>
      </c>
      <c r="W23" s="15"/>
      <c r="X23" s="20">
        <f>+P23-T23</f>
        <v>30231.29</v>
      </c>
      <c r="Y23" s="15"/>
      <c r="Z23" s="19">
        <f>IF(T23=0,0,X23/T23)</f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52"/>
      <c r="B25" s="10" t="s">
        <v>14</v>
      </c>
      <c r="C25" s="10"/>
      <c r="D25" s="4">
        <v>6548.75</v>
      </c>
      <c r="E25" s="4"/>
      <c r="F25" s="12">
        <f>IF(D$12=0,0,D25/D$12)</f>
        <v>0.2166215864423913</v>
      </c>
      <c r="G25" s="4"/>
      <c r="H25" s="4"/>
      <c r="I25" s="4"/>
      <c r="J25" s="12">
        <f>IF(H$12=0,0,H25/H$12)</f>
        <v>0</v>
      </c>
      <c r="K25" s="4"/>
      <c r="L25" s="4">
        <f>+D25-H25</f>
        <v>6548.75</v>
      </c>
      <c r="M25" s="4"/>
      <c r="N25" s="12">
        <f>IF(H25=0,0,L25/H25)</f>
        <v>0</v>
      </c>
      <c r="O25" s="10"/>
      <c r="P25" s="4">
        <v>6548.75</v>
      </c>
      <c r="Q25" s="4"/>
      <c r="R25" s="12">
        <f>IF(P$12=0,0,P25/P$12)</f>
        <v>0.2166215864423913</v>
      </c>
      <c r="S25" s="4"/>
      <c r="T25" s="4"/>
      <c r="U25" s="4"/>
      <c r="V25" s="12">
        <f>IF(T$12=0,0,T25/T$12)</f>
        <v>0</v>
      </c>
      <c r="W25" s="4"/>
      <c r="X25" s="4">
        <f>+P25-T25</f>
        <v>6548.75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ht="15.75" thickBot="1" x14ac:dyDescent="0.3">
      <c r="A27" s="10"/>
      <c r="B27" s="26" t="s">
        <v>4</v>
      </c>
      <c r="C27" s="26"/>
      <c r="D27" s="34">
        <f>+D23-D25</f>
        <v>23682.54</v>
      </c>
      <c r="E27" s="13"/>
      <c r="F27" s="35">
        <f>IF(D$12=0,0,D27/D$12)</f>
        <v>0.78337841355760873</v>
      </c>
      <c r="G27" s="13"/>
      <c r="H27" s="34">
        <f>+H23-H25</f>
        <v>0</v>
      </c>
      <c r="I27" s="13"/>
      <c r="J27" s="35">
        <f>IF(H$12=0,0,H27/H$12)</f>
        <v>0</v>
      </c>
      <c r="K27" s="15"/>
      <c r="L27" s="34">
        <f>D27-H27</f>
        <v>23682.54</v>
      </c>
      <c r="M27" s="15"/>
      <c r="N27" s="35">
        <f>IF(H27=0,0,L27/H27)</f>
        <v>0</v>
      </c>
      <c r="O27" s="25"/>
      <c r="P27" s="34">
        <f>+P23-P25</f>
        <v>23682.54</v>
      </c>
      <c r="Q27" s="13"/>
      <c r="R27" s="35">
        <f>IF(P$12=0,0,P27/P$12)</f>
        <v>0.78337841355760873</v>
      </c>
      <c r="S27" s="13"/>
      <c r="T27" s="34">
        <f>+T23-T25</f>
        <v>0</v>
      </c>
      <c r="U27" s="13"/>
      <c r="V27" s="35">
        <f>IF(T$12=0,0,T27/T$12)</f>
        <v>0</v>
      </c>
      <c r="W27" s="15"/>
      <c r="X27" s="34">
        <f>P27-T27</f>
        <v>23682.54</v>
      </c>
      <c r="Y27" s="15"/>
      <c r="Z27" s="35">
        <f>IF(T27=0,0,X27/T27)</f>
        <v>0</v>
      </c>
    </row>
    <row r="28" spans="1:26" ht="15.75" thickTop="1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.75" thickBot="1" x14ac:dyDescent="0.3">
      <c r="A30" s="10"/>
      <c r="B30" s="26" t="s">
        <v>5</v>
      </c>
      <c r="C30" s="26"/>
      <c r="D30" s="30">
        <f>SUM(D27:D29)</f>
        <v>23682.54</v>
      </c>
      <c r="E30" s="13"/>
      <c r="F30" s="32">
        <f>IF(D$12=0,0,D30/D$12)</f>
        <v>0.78337841355760873</v>
      </c>
      <c r="G30" s="13"/>
      <c r="H30" s="30">
        <f>SUM(H27:H29)</f>
        <v>0</v>
      </c>
      <c r="I30" s="13"/>
      <c r="J30" s="32">
        <f>IF(H$12=0,0,H30/H$12)</f>
        <v>0</v>
      </c>
      <c r="K30" s="15"/>
      <c r="L30" s="30">
        <f>+D30-H30</f>
        <v>23682.54</v>
      </c>
      <c r="M30" s="15"/>
      <c r="N30" s="32">
        <f>IF(H30=0,0,L30/H30)</f>
        <v>0</v>
      </c>
      <c r="O30" s="25"/>
      <c r="P30" s="30">
        <f>SUM(P27:P29)</f>
        <v>23682.54</v>
      </c>
      <c r="Q30" s="13"/>
      <c r="R30" s="32">
        <f>IF(P$12=0,0,P30/P$12)</f>
        <v>0.78337841355760873</v>
      </c>
      <c r="S30" s="13"/>
      <c r="T30" s="30">
        <f>SUM(T27:T29)</f>
        <v>0</v>
      </c>
      <c r="U30" s="13"/>
      <c r="V30" s="32">
        <f>IF(T$12=0,0,T30/T$12)</f>
        <v>0</v>
      </c>
      <c r="W30" s="15"/>
      <c r="X30" s="30">
        <f>+P30-T30</f>
        <v>23682.54</v>
      </c>
      <c r="Y30" s="15"/>
      <c r="Z30" s="32">
        <f>IF(T30=0,0,X30/T30)</f>
        <v>0</v>
      </c>
    </row>
    <row r="31" spans="1:26" ht="15.75" thickTop="1" x14ac:dyDescent="0.25">
      <c r="A31" s="9"/>
      <c r="C31" s="9"/>
      <c r="D31" s="17"/>
      <c r="E31" s="17"/>
      <c r="G31" s="17"/>
      <c r="H31" s="17"/>
      <c r="I31" s="17"/>
      <c r="J31" s="42"/>
      <c r="K31" s="17"/>
      <c r="L31" s="17"/>
      <c r="M31" s="17"/>
      <c r="P31" s="17"/>
      <c r="Q31" s="17"/>
      <c r="R31" s="42"/>
      <c r="S31" s="17"/>
      <c r="T31" s="17"/>
      <c r="U31" s="17"/>
      <c r="V31" s="42"/>
      <c r="W31" s="17"/>
      <c r="X31" s="17"/>
    </row>
    <row r="32" spans="1:26" x14ac:dyDescent="0.25">
      <c r="A32" s="9"/>
      <c r="B32" s="60">
        <v>44151.568744363423</v>
      </c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8" t="s">
        <v>314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3"/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","423", " - ", "Contract Revenue")</f>
        <v>Department 423 - Contract Revenue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-114</v>
      </c>
      <c r="E18" s="21"/>
      <c r="F18" s="31">
        <f t="shared" ref="F18:F27" si="0">IF(D$12=0,0,D18/D$12)</f>
        <v>0</v>
      </c>
      <c r="G18" s="21"/>
      <c r="H18" s="21">
        <f>SUM(OSRRefH22x_0)</f>
        <v>17627.026634615377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-17741.026634615377</v>
      </c>
      <c r="M18" s="4"/>
      <c r="N18" s="31">
        <f t="shared" ref="N18:N27" si="3">IF(H18=0,0,L18/H18)</f>
        <v>-1.0064673414503233</v>
      </c>
      <c r="O18" s="10"/>
      <c r="P18" s="21">
        <f>SUM(OSRRefP22x_0)</f>
        <v>2580.4299999999998</v>
      </c>
      <c r="Q18" s="21"/>
      <c r="R18" s="31">
        <f t="shared" ref="R18:R27" si="4">IF(P$12=0,0,P18/P$12)</f>
        <v>0</v>
      </c>
      <c r="S18" s="21"/>
      <c r="T18" s="21">
        <f>SUM(OSRRefT22x_0)</f>
        <v>67191.295884615363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-64610.865884615363</v>
      </c>
      <c r="Y18" s="4"/>
      <c r="Z18" s="31">
        <f t="shared" ref="Z18:Z27" si="7">IF(T18=0,0,X18/T18)</f>
        <v>-0.96159576971946992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5099.1420192307769</v>
      </c>
      <c r="I19" s="1"/>
      <c r="J19" s="5">
        <f t="shared" si="1"/>
        <v>0</v>
      </c>
      <c r="K19" s="1"/>
      <c r="L19" s="1">
        <f t="shared" si="2"/>
        <v>-5099.1420192307769</v>
      </c>
      <c r="M19" s="1"/>
      <c r="N19" s="5">
        <f t="shared" si="3"/>
        <v>-1</v>
      </c>
      <c r="O19" s="14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18910.91126923079</v>
      </c>
      <c r="U19" s="1"/>
      <c r="V19" s="5">
        <f t="shared" si="5"/>
        <v>0</v>
      </c>
      <c r="W19" s="1"/>
      <c r="X19" s="1">
        <f t="shared" si="6"/>
        <v>-16432.18126923079</v>
      </c>
      <c r="Y19" s="1"/>
      <c r="Z19" s="5">
        <f t="shared" si="7"/>
        <v>-0.86892593568280097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1058.9102884615402</v>
      </c>
      <c r="I20" s="2"/>
      <c r="J20" s="6">
        <f t="shared" si="1"/>
        <v>0</v>
      </c>
      <c r="K20" s="2"/>
      <c r="L20" s="7">
        <f t="shared" si="2"/>
        <v>-1058.9102884615402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3812.0770384615425</v>
      </c>
      <c r="U20" s="2"/>
      <c r="V20" s="6">
        <f t="shared" si="5"/>
        <v>0</v>
      </c>
      <c r="W20" s="2"/>
      <c r="X20" s="7">
        <f t="shared" si="6"/>
        <v>-3812.0770384615425</v>
      </c>
      <c r="Y20" s="2"/>
      <c r="Z20" s="6">
        <f t="shared" si="7"/>
        <v>-1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45.660576923076903</v>
      </c>
      <c r="I21" s="2"/>
      <c r="J21" s="6">
        <f t="shared" si="1"/>
        <v>0</v>
      </c>
      <c r="K21" s="2"/>
      <c r="L21" s="7">
        <f t="shared" si="2"/>
        <v>-45.660576923076903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164.3780769230768</v>
      </c>
      <c r="U21" s="2"/>
      <c r="V21" s="6">
        <f t="shared" si="5"/>
        <v>0</v>
      </c>
      <c r="W21" s="2"/>
      <c r="X21" s="7">
        <f t="shared" si="6"/>
        <v>-164.3780769230768</v>
      </c>
      <c r="Y21" s="2"/>
      <c r="Z21" s="6">
        <f t="shared" si="7"/>
        <v>-1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1385</v>
      </c>
      <c r="I22" s="2"/>
      <c r="J22" s="6">
        <f t="shared" si="1"/>
        <v>0</v>
      </c>
      <c r="K22" s="2"/>
      <c r="L22" s="7">
        <f t="shared" si="2"/>
        <v>-1385</v>
      </c>
      <c r="M22" s="2"/>
      <c r="N22" s="6">
        <f t="shared" si="3"/>
        <v>-1</v>
      </c>
      <c r="O22" s="11"/>
      <c r="P22" s="7">
        <v>1868.2</v>
      </c>
      <c r="Q22" s="2"/>
      <c r="R22" s="6">
        <f t="shared" si="4"/>
        <v>0</v>
      </c>
      <c r="S22" s="2"/>
      <c r="T22" s="7">
        <v>5540</v>
      </c>
      <c r="U22" s="2"/>
      <c r="V22" s="6">
        <f t="shared" si="5"/>
        <v>0</v>
      </c>
      <c r="W22" s="2"/>
      <c r="X22" s="7">
        <f t="shared" si="6"/>
        <v>-3671.8</v>
      </c>
      <c r="Y22" s="2"/>
      <c r="Z22" s="6">
        <f t="shared" si="7"/>
        <v>-0.66277978339350185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35.975000000000001</v>
      </c>
      <c r="I23" s="2"/>
      <c r="J23" s="6">
        <f t="shared" si="1"/>
        <v>0</v>
      </c>
      <c r="K23" s="2"/>
      <c r="L23" s="7">
        <f t="shared" si="2"/>
        <v>-35.975000000000001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129.51</v>
      </c>
      <c r="U23" s="2"/>
      <c r="V23" s="6">
        <f t="shared" si="5"/>
        <v>0</v>
      </c>
      <c r="W23" s="2"/>
      <c r="X23" s="7">
        <f t="shared" si="6"/>
        <v>-129.51</v>
      </c>
      <c r="Y23" s="2"/>
      <c r="Z23" s="6">
        <f t="shared" si="7"/>
        <v>-1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1189.9423076923101</v>
      </c>
      <c r="I24" s="2"/>
      <c r="J24" s="6">
        <f t="shared" si="1"/>
        <v>0</v>
      </c>
      <c r="K24" s="2"/>
      <c r="L24" s="7">
        <f t="shared" si="2"/>
        <v>-1189.9423076923101</v>
      </c>
      <c r="M24" s="2"/>
      <c r="N24" s="6">
        <f t="shared" si="3"/>
        <v>-1</v>
      </c>
      <c r="O24" s="11"/>
      <c r="P24" s="7">
        <v>610.53</v>
      </c>
      <c r="Q24" s="2"/>
      <c r="R24" s="6">
        <f t="shared" si="4"/>
        <v>0</v>
      </c>
      <c r="S24" s="2"/>
      <c r="T24" s="7">
        <v>4283.7923076923125</v>
      </c>
      <c r="U24" s="2"/>
      <c r="V24" s="6">
        <f t="shared" si="5"/>
        <v>0</v>
      </c>
      <c r="W24" s="2"/>
      <c r="X24" s="7">
        <f t="shared" si="6"/>
        <v>-3673.2623076923128</v>
      </c>
      <c r="Y24" s="2"/>
      <c r="Z24" s="6">
        <f t="shared" si="7"/>
        <v>-0.85747908485112956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1383.6538461538501</v>
      </c>
      <c r="I26" s="2"/>
      <c r="J26" s="6">
        <f t="shared" si="1"/>
        <v>0</v>
      </c>
      <c r="K26" s="2"/>
      <c r="L26" s="7">
        <f t="shared" si="2"/>
        <v>-1383.6538461538501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4981.1538461538603</v>
      </c>
      <c r="U26" s="2"/>
      <c r="V26" s="6">
        <f t="shared" si="5"/>
        <v>0</v>
      </c>
      <c r="W26" s="2"/>
      <c r="X26" s="7">
        <f t="shared" si="6"/>
        <v>-4981.1538461538603</v>
      </c>
      <c r="Y26" s="2"/>
      <c r="Z26" s="6">
        <f t="shared" si="7"/>
        <v>-1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27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12452.884615384599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-12452.884615384599</v>
      </c>
      <c r="M28" s="1"/>
      <c r="N28" s="5">
        <f t="shared" ref="N28:N38" si="11">IF(H28=0,0,L28/H28)</f>
        <v>-1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44830.384615384581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-44830.384615384581</v>
      </c>
      <c r="Y28" s="1"/>
      <c r="Z28" s="5">
        <f t="shared" ref="Z28:Z38" si="15">IF(T28=0,0,X28/T28)</f>
        <v>-1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12452.884615384599</v>
      </c>
      <c r="I29" s="2"/>
      <c r="J29" s="6">
        <f t="shared" si="9"/>
        <v>0</v>
      </c>
      <c r="K29" s="2"/>
      <c r="L29" s="7">
        <f t="shared" si="10"/>
        <v>-12452.884615384599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44830.384615384581</v>
      </c>
      <c r="U29" s="2"/>
      <c r="V29" s="6">
        <f t="shared" si="13"/>
        <v>0</v>
      </c>
      <c r="W29" s="2"/>
      <c r="X29" s="7">
        <f t="shared" si="14"/>
        <v>-44830.384615384581</v>
      </c>
      <c r="Y29" s="2"/>
      <c r="Z29" s="6">
        <f t="shared" si="15"/>
        <v>-1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8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8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8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8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7" customFormat="1" outlineLevel="1" collapsed="1" x14ac:dyDescent="0.25">
      <c r="A39" s="29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3" si="16">IF(D$12=0,0,D39/D$12)</f>
        <v>0</v>
      </c>
      <c r="G39" s="1"/>
      <c r="H39" s="1">
        <f>SUM(OSRRefH22_2x_0)</f>
        <v>0</v>
      </c>
      <c r="I39" s="1"/>
      <c r="J39" s="5">
        <f t="shared" ref="J39:J43" si="17">IF(H$12=0,0,H39/H$12)</f>
        <v>0</v>
      </c>
      <c r="K39" s="1"/>
      <c r="L39" s="1">
        <f t="shared" ref="L39:L43" si="18">+D39-H39</f>
        <v>0</v>
      </c>
      <c r="M39" s="1"/>
      <c r="N39" s="5">
        <f t="shared" ref="N39:N43" si="19">IF(H39=0,0,L39/H39)</f>
        <v>0</v>
      </c>
      <c r="O39" s="14"/>
      <c r="P39" s="1">
        <f>SUM(OSRRefP22_2x_0)</f>
        <v>0</v>
      </c>
      <c r="Q39" s="1"/>
      <c r="R39" s="5">
        <f t="shared" ref="R39:R43" si="20">IF(P$12=0,0,P39/P$12)</f>
        <v>0</v>
      </c>
      <c r="S39" s="1"/>
      <c r="T39" s="1">
        <f>SUM(OSRRefT22_2x_0)</f>
        <v>3000</v>
      </c>
      <c r="U39" s="1"/>
      <c r="V39" s="5">
        <f t="shared" ref="V39:V43" si="21">IF(T$12=0,0,T39/T$12)</f>
        <v>0</v>
      </c>
      <c r="W39" s="1"/>
      <c r="X39" s="1">
        <f t="shared" ref="X39:X43" si="22">+P39-T39</f>
        <v>-3000</v>
      </c>
      <c r="Y39" s="1"/>
      <c r="Z39" s="5">
        <f t="shared" ref="Z39:Z43" si="23">IF(T39=0,0,X39/T39)</f>
        <v>-1</v>
      </c>
    </row>
    <row r="40" spans="1:26" s="24" customFormat="1" hidden="1" outlineLevel="2" x14ac:dyDescent="0.25">
      <c r="A40" s="28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3000</v>
      </c>
      <c r="U40" s="2"/>
      <c r="V40" s="6">
        <f t="shared" si="21"/>
        <v>0</v>
      </c>
      <c r="W40" s="2"/>
      <c r="X40" s="7">
        <f t="shared" si="22"/>
        <v>-3000</v>
      </c>
      <c r="Y40" s="2"/>
      <c r="Z40" s="6">
        <f t="shared" si="23"/>
        <v>-1</v>
      </c>
    </row>
    <row r="41" spans="1:26" s="27" customFormat="1" outlineLevel="1" collapsed="1" x14ac:dyDescent="0.25">
      <c r="A41" s="29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8"/>
      <c r="B42" s="11" t="str">
        <f>CONCATENATE("          ", "6282", " - ", "JANITORIAL/EXTERMINATOR EXPENS")</f>
        <v xml:space="preserve">          6282 - JANITORIAL/EXTERMINATOR EXPENS</v>
      </c>
      <c r="C42" s="11"/>
      <c r="D42" s="7"/>
      <c r="E42" s="2"/>
      <c r="F42" s="6">
        <f t="shared" si="16"/>
        <v>0</v>
      </c>
      <c r="G42" s="2"/>
      <c r="H42" s="7">
        <v>0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0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4" customFormat="1" hidden="1" outlineLevel="2" x14ac:dyDescent="0.25">
      <c r="A43" s="28"/>
      <c r="B43" s="11" t="str">
        <f>CONCATENATE("          ", "6285", " - ", "JANITORIAL SERVICES")</f>
        <v xml:space="preserve">          6285 - JANITORIAL SERVICES</v>
      </c>
      <c r="C43" s="11"/>
      <c r="D43" s="7"/>
      <c r="E43" s="2"/>
      <c r="F43" s="6">
        <f t="shared" si="16"/>
        <v>0</v>
      </c>
      <c r="G43" s="2"/>
      <c r="H43" s="7">
        <v>0</v>
      </c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0</v>
      </c>
      <c r="U43" s="2"/>
      <c r="V43" s="6">
        <f t="shared" si="21"/>
        <v>0</v>
      </c>
      <c r="W43" s="2"/>
      <c r="X43" s="7">
        <f t="shared" si="22"/>
        <v>0</v>
      </c>
      <c r="Y43" s="2"/>
      <c r="Z43" s="6">
        <f t="shared" si="23"/>
        <v>0</v>
      </c>
    </row>
    <row r="44" spans="1:26" s="27" customFormat="1" outlineLevel="1" collapsed="1" x14ac:dyDescent="0.25">
      <c r="A44" s="29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0</v>
      </c>
      <c r="E44" s="1"/>
      <c r="F44" s="5">
        <f t="shared" ref="F44:F49" si="24">IF(D$12=0,0,D44/D$12)</f>
        <v>0</v>
      </c>
      <c r="G44" s="1"/>
      <c r="H44" s="1">
        <f>SUM(OSRRefH22_4x_0)</f>
        <v>25</v>
      </c>
      <c r="I44" s="1"/>
      <c r="J44" s="5">
        <f t="shared" ref="J44:J49" si="25">IF(H$12=0,0,H44/H$12)</f>
        <v>0</v>
      </c>
      <c r="K44" s="1"/>
      <c r="L44" s="1">
        <f t="shared" ref="L44:L49" si="26">+D44-H44</f>
        <v>-25</v>
      </c>
      <c r="M44" s="1"/>
      <c r="N44" s="5">
        <f t="shared" ref="N44:N49" si="27">IF(H44=0,0,L44/H44)</f>
        <v>-1</v>
      </c>
      <c r="O44" s="14"/>
      <c r="P44" s="1">
        <f>SUM(OSRRefP22_4x_0)</f>
        <v>-56.3</v>
      </c>
      <c r="Q44" s="1"/>
      <c r="R44" s="5">
        <f t="shared" ref="R44:R49" si="28">IF(P$12=0,0,P44/P$12)</f>
        <v>0</v>
      </c>
      <c r="S44" s="1"/>
      <c r="T44" s="1">
        <f>SUM(OSRRefT22_4x_0)</f>
        <v>100</v>
      </c>
      <c r="U44" s="1"/>
      <c r="V44" s="5">
        <f t="shared" ref="V44:V49" si="29">IF(T$12=0,0,T44/T$12)</f>
        <v>0</v>
      </c>
      <c r="W44" s="1"/>
      <c r="X44" s="1">
        <f t="shared" ref="X44:X49" si="30">+P44-T44</f>
        <v>-156.30000000000001</v>
      </c>
      <c r="Y44" s="1"/>
      <c r="Z44" s="5">
        <f t="shared" ref="Z44:Z49" si="31">IF(T44=0,0,X44/T44)</f>
        <v>-1.5630000000000002</v>
      </c>
    </row>
    <row r="45" spans="1:26" s="24" customFormat="1" hidden="1" outlineLevel="2" x14ac:dyDescent="0.25">
      <c r="A45" s="28"/>
      <c r="B45" s="11" t="str">
        <f>CONCATENATE("          ", "6241", " - ", "OFFICE EXPENSE")</f>
        <v xml:space="preserve">          6241 - OFFICE EXPENSE</v>
      </c>
      <c r="C45" s="11"/>
      <c r="D45" s="7"/>
      <c r="E45" s="2"/>
      <c r="F45" s="6">
        <f t="shared" si="24"/>
        <v>0</v>
      </c>
      <c r="G45" s="2"/>
      <c r="H45" s="7">
        <v>25</v>
      </c>
      <c r="I45" s="2"/>
      <c r="J45" s="6">
        <f t="shared" si="25"/>
        <v>0</v>
      </c>
      <c r="K45" s="2"/>
      <c r="L45" s="7">
        <f t="shared" si="26"/>
        <v>-25</v>
      </c>
      <c r="M45" s="2"/>
      <c r="N45" s="6">
        <f t="shared" si="27"/>
        <v>-1</v>
      </c>
      <c r="O45" s="11"/>
      <c r="P45" s="7">
        <v>-56.3</v>
      </c>
      <c r="Q45" s="2"/>
      <c r="R45" s="6">
        <f t="shared" si="28"/>
        <v>0</v>
      </c>
      <c r="S45" s="2"/>
      <c r="T45" s="7">
        <v>100</v>
      </c>
      <c r="U45" s="2"/>
      <c r="V45" s="6">
        <f t="shared" si="29"/>
        <v>0</v>
      </c>
      <c r="W45" s="2"/>
      <c r="X45" s="7">
        <f t="shared" si="30"/>
        <v>-156.30000000000001</v>
      </c>
      <c r="Y45" s="2"/>
      <c r="Z45" s="6">
        <f t="shared" si="31"/>
        <v>-1.5630000000000002</v>
      </c>
    </row>
    <row r="46" spans="1:26" s="27" customFormat="1" outlineLevel="1" collapsed="1" x14ac:dyDescent="0.25">
      <c r="A46" s="29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SUM(OSRRefD22_5x_0)</f>
        <v>-114</v>
      </c>
      <c r="E46" s="1"/>
      <c r="F46" s="5">
        <f t="shared" si="24"/>
        <v>0</v>
      </c>
      <c r="G46" s="1"/>
      <c r="H46" s="1">
        <f>SUM(OSRRefH22_5x_0)</f>
        <v>50</v>
      </c>
      <c r="I46" s="1"/>
      <c r="J46" s="5">
        <f t="shared" si="25"/>
        <v>0</v>
      </c>
      <c r="K46" s="1"/>
      <c r="L46" s="1">
        <f t="shared" si="26"/>
        <v>-164</v>
      </c>
      <c r="M46" s="1"/>
      <c r="N46" s="5">
        <f t="shared" si="27"/>
        <v>-3.28</v>
      </c>
      <c r="O46" s="14"/>
      <c r="P46" s="1">
        <f>SUM(OSRRefP22_5x_0)</f>
        <v>158</v>
      </c>
      <c r="Q46" s="1"/>
      <c r="R46" s="5">
        <f t="shared" si="28"/>
        <v>0</v>
      </c>
      <c r="S46" s="1"/>
      <c r="T46" s="1">
        <f>SUM(OSRRefT22_5x_0)</f>
        <v>350</v>
      </c>
      <c r="U46" s="1"/>
      <c r="V46" s="5">
        <f t="shared" si="29"/>
        <v>0</v>
      </c>
      <c r="W46" s="1"/>
      <c r="X46" s="1">
        <f t="shared" si="30"/>
        <v>-192</v>
      </c>
      <c r="Y46" s="1"/>
      <c r="Z46" s="5">
        <f t="shared" si="31"/>
        <v>-0.5485714285714286</v>
      </c>
    </row>
    <row r="47" spans="1:26" s="24" customFormat="1" hidden="1" outlineLevel="2" x14ac:dyDescent="0.25">
      <c r="A47" s="28"/>
      <c r="B47" s="11" t="str">
        <f>CONCATENATE("          ", "6309", " - ", "TELEPHONE")</f>
        <v xml:space="preserve">          6309 - TELEPHONE</v>
      </c>
      <c r="C47" s="11"/>
      <c r="D47" s="7">
        <v>-114</v>
      </c>
      <c r="E47" s="2"/>
      <c r="F47" s="6">
        <f t="shared" si="24"/>
        <v>0</v>
      </c>
      <c r="G47" s="2"/>
      <c r="H47" s="7">
        <v>50</v>
      </c>
      <c r="I47" s="2"/>
      <c r="J47" s="6">
        <f t="shared" si="25"/>
        <v>0</v>
      </c>
      <c r="K47" s="2"/>
      <c r="L47" s="7">
        <f t="shared" si="26"/>
        <v>-164</v>
      </c>
      <c r="M47" s="2"/>
      <c r="N47" s="6">
        <f t="shared" si="27"/>
        <v>-3.28</v>
      </c>
      <c r="O47" s="11"/>
      <c r="P47" s="7">
        <v>158</v>
      </c>
      <c r="Q47" s="2"/>
      <c r="R47" s="6">
        <f t="shared" si="28"/>
        <v>0</v>
      </c>
      <c r="S47" s="2"/>
      <c r="T47" s="7">
        <v>350</v>
      </c>
      <c r="U47" s="2"/>
      <c r="V47" s="6">
        <f t="shared" si="29"/>
        <v>0</v>
      </c>
      <c r="W47" s="2"/>
      <c r="X47" s="7">
        <f t="shared" si="30"/>
        <v>-192</v>
      </c>
      <c r="Y47" s="2"/>
      <c r="Z47" s="6">
        <f t="shared" si="31"/>
        <v>-0.5485714285714286</v>
      </c>
    </row>
    <row r="48" spans="1:26" s="27" customFormat="1" outlineLevel="1" collapsed="1" x14ac:dyDescent="0.25">
      <c r="A48" s="29"/>
      <c r="B48" s="14" t="str">
        <f>CONCATENATE("     ","Utilities                                         ")</f>
        <v xml:space="preserve">     Utilities                                         </v>
      </c>
      <c r="C48" s="14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8"/>
      <c r="B49" s="11" t="str">
        <f>CONCATENATE("          ", "6274", " - ", "UTILITIES")</f>
        <v xml:space="preserve">          6274 - UTILITIES</v>
      </c>
      <c r="C49" s="11"/>
      <c r="D49" s="7"/>
      <c r="E49" s="2"/>
      <c r="F49" s="6">
        <f t="shared" si="24"/>
        <v>0</v>
      </c>
      <c r="G49" s="2"/>
      <c r="H49" s="7">
        <v>0</v>
      </c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0</v>
      </c>
      <c r="U49" s="2"/>
      <c r="V49" s="6">
        <f t="shared" si="29"/>
        <v>0</v>
      </c>
      <c r="W49" s="2"/>
      <c r="X49" s="7">
        <f t="shared" si="30"/>
        <v>0</v>
      </c>
      <c r="Y49" s="2"/>
      <c r="Z49" s="6">
        <f t="shared" si="31"/>
        <v>0</v>
      </c>
    </row>
    <row r="50" spans="1:26" s="63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collapsed="1" x14ac:dyDescent="0.25">
      <c r="A51" s="10"/>
      <c r="B51" s="25" t="s">
        <v>0</v>
      </c>
      <c r="C51" s="10"/>
      <c r="D51" s="4">
        <f>SUM(OSRRefD25x_0)</f>
        <v>0</v>
      </c>
      <c r="E51" s="4"/>
      <c r="F51" s="12">
        <f t="shared" ref="F51:F54" si="32">IF(D$12=0,0,D51/D$12)</f>
        <v>0</v>
      </c>
      <c r="G51" s="4"/>
      <c r="H51" s="4">
        <f>SUM(OSRRefH25x_0)</f>
        <v>8737</v>
      </c>
      <c r="I51" s="4"/>
      <c r="J51" s="12">
        <f t="shared" ref="J51:J54" si="33">IF(H$12=0,0,H51/H$12)</f>
        <v>0</v>
      </c>
      <c r="K51" s="4"/>
      <c r="L51" s="4">
        <f t="shared" ref="L51:L54" si="34">+D51-H51</f>
        <v>-8737</v>
      </c>
      <c r="M51" s="4"/>
      <c r="N51" s="12">
        <f t="shared" ref="N51:N54" si="35">IF(H51=0,0,L51/H51)</f>
        <v>-1</v>
      </c>
      <c r="O51" s="10"/>
      <c r="P51" s="4">
        <f>SUM(OSRRefP25x_0)</f>
        <v>0</v>
      </c>
      <c r="Q51" s="4"/>
      <c r="R51" s="12">
        <f t="shared" ref="R51:R54" si="36">IF(P$12=0,0,P51/P$12)</f>
        <v>0</v>
      </c>
      <c r="S51" s="4"/>
      <c r="T51" s="4">
        <f>SUM(OSRRefT25x_0)</f>
        <v>12972</v>
      </c>
      <c r="U51" s="4"/>
      <c r="V51" s="12">
        <f t="shared" ref="V51:V54" si="37">IF(T$12=0,0,T51/T$12)</f>
        <v>0</v>
      </c>
      <c r="W51" s="4"/>
      <c r="X51" s="4">
        <f t="shared" ref="X51:X54" si="38">+P51-T51</f>
        <v>-12972</v>
      </c>
      <c r="Y51" s="4"/>
      <c r="Z51" s="12">
        <f t="shared" ref="Z51:Z54" si="39">IF(T51=0,0,X51/T51)</f>
        <v>-1</v>
      </c>
    </row>
    <row r="52" spans="1:26" s="24" customFormat="1" hidden="1" outlineLevel="1" x14ac:dyDescent="0.25">
      <c r="A52" s="51"/>
      <c r="B52" s="11" t="str">
        <f>CONCATENATE("          ", "9150", " - ", "MISC. INCOME")</f>
        <v xml:space="preserve">          9150 - MISC. INCOME</v>
      </c>
      <c r="C52" s="11"/>
      <c r="D52" s="2">
        <f t="shared" ref="D52:D54" si="40">0</f>
        <v>0</v>
      </c>
      <c r="E52" s="2"/>
      <c r="F52" s="22">
        <f t="shared" si="32"/>
        <v>0</v>
      </c>
      <c r="G52" s="2"/>
      <c r="H52" s="2">
        <v>3370</v>
      </c>
      <c r="I52" s="2"/>
      <c r="J52" s="22">
        <f t="shared" si="33"/>
        <v>0</v>
      </c>
      <c r="K52" s="2"/>
      <c r="L52" s="2">
        <f t="shared" si="34"/>
        <v>-3370</v>
      </c>
      <c r="M52" s="2"/>
      <c r="N52" s="22">
        <f t="shared" si="35"/>
        <v>-1</v>
      </c>
      <c r="O52" s="11"/>
      <c r="P52" s="2">
        <f t="shared" ref="P52:P54" si="41">0</f>
        <v>0</v>
      </c>
      <c r="Q52" s="2"/>
      <c r="R52" s="22">
        <f t="shared" si="36"/>
        <v>0</v>
      </c>
      <c r="S52" s="2"/>
      <c r="T52" s="2">
        <v>5406</v>
      </c>
      <c r="U52" s="2"/>
      <c r="V52" s="22">
        <f t="shared" si="37"/>
        <v>0</v>
      </c>
      <c r="W52" s="2"/>
      <c r="X52" s="2">
        <f t="shared" si="38"/>
        <v>-5406</v>
      </c>
      <c r="Y52" s="2"/>
      <c r="Z52" s="22">
        <f t="shared" si="39"/>
        <v>-1</v>
      </c>
    </row>
    <row r="53" spans="1:26" s="24" customFormat="1" hidden="1" outlineLevel="1" x14ac:dyDescent="0.25">
      <c r="A53" s="51"/>
      <c r="B53" s="11" t="str">
        <f>CONCATENATE("          ", "9151", " - ", "MISC. INCOME")</f>
        <v xml:space="preserve">          9151 - MISC. INCOME</v>
      </c>
      <c r="C53" s="11"/>
      <c r="D53" s="2">
        <f t="shared" si="40"/>
        <v>0</v>
      </c>
      <c r="E53" s="2"/>
      <c r="F53" s="22">
        <f t="shared" si="32"/>
        <v>0</v>
      </c>
      <c r="G53" s="2"/>
      <c r="H53" s="2">
        <v>4811</v>
      </c>
      <c r="I53" s="2"/>
      <c r="J53" s="22">
        <f t="shared" si="33"/>
        <v>0</v>
      </c>
      <c r="K53" s="2"/>
      <c r="L53" s="2">
        <f t="shared" si="34"/>
        <v>-4811</v>
      </c>
      <c r="M53" s="2"/>
      <c r="N53" s="22">
        <f t="shared" si="35"/>
        <v>-1</v>
      </c>
      <c r="O53" s="11"/>
      <c r="P53" s="2">
        <f t="shared" si="41"/>
        <v>0</v>
      </c>
      <c r="Q53" s="2"/>
      <c r="R53" s="22">
        <f t="shared" si="36"/>
        <v>0</v>
      </c>
      <c r="S53" s="2"/>
      <c r="T53" s="2">
        <v>7010</v>
      </c>
      <c r="U53" s="2"/>
      <c r="V53" s="22">
        <f t="shared" si="37"/>
        <v>0</v>
      </c>
      <c r="W53" s="2"/>
      <c r="X53" s="2">
        <f t="shared" si="38"/>
        <v>-7010</v>
      </c>
      <c r="Y53" s="2"/>
      <c r="Z53" s="22">
        <f t="shared" si="39"/>
        <v>-1</v>
      </c>
    </row>
    <row r="54" spans="1:26" s="24" customFormat="1" hidden="1" outlineLevel="1" x14ac:dyDescent="0.25">
      <c r="A54" s="51"/>
      <c r="B54" s="11" t="str">
        <f>CONCATENATE("          ", "9160", " - ", "MISC. INCOME")</f>
        <v xml:space="preserve">          9160 - MISC. INCOME</v>
      </c>
      <c r="C54" s="11"/>
      <c r="D54" s="2">
        <f t="shared" si="40"/>
        <v>0</v>
      </c>
      <c r="E54" s="2"/>
      <c r="F54" s="22">
        <f t="shared" si="32"/>
        <v>0</v>
      </c>
      <c r="G54" s="2"/>
      <c r="H54" s="2">
        <v>556</v>
      </c>
      <c r="I54" s="2"/>
      <c r="J54" s="22">
        <f t="shared" si="33"/>
        <v>0</v>
      </c>
      <c r="K54" s="2"/>
      <c r="L54" s="2">
        <f t="shared" si="34"/>
        <v>-556</v>
      </c>
      <c r="M54" s="2"/>
      <c r="N54" s="22">
        <f t="shared" si="35"/>
        <v>-1</v>
      </c>
      <c r="O54" s="11"/>
      <c r="P54" s="2">
        <f t="shared" si="41"/>
        <v>0</v>
      </c>
      <c r="Q54" s="2"/>
      <c r="R54" s="22">
        <f t="shared" si="36"/>
        <v>0</v>
      </c>
      <c r="S54" s="2"/>
      <c r="T54" s="2">
        <v>556</v>
      </c>
      <c r="U54" s="2"/>
      <c r="V54" s="22">
        <f t="shared" si="37"/>
        <v>0</v>
      </c>
      <c r="W54" s="2"/>
      <c r="X54" s="2">
        <f t="shared" si="38"/>
        <v>-556</v>
      </c>
      <c r="Y54" s="2"/>
      <c r="Z54" s="22">
        <f t="shared" si="39"/>
        <v>-1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6" t="s">
        <v>3</v>
      </c>
      <c r="C56" s="26"/>
      <c r="D56" s="20">
        <f>+D16-D18+D51</f>
        <v>114</v>
      </c>
      <c r="E56" s="13"/>
      <c r="F56" s="19">
        <f>IF(D$12=0,0,D56/D$12)</f>
        <v>0</v>
      </c>
      <c r="G56" s="13"/>
      <c r="H56" s="20">
        <f>+H16-H18+H51</f>
        <v>-8890.0266346153767</v>
      </c>
      <c r="I56" s="13"/>
      <c r="J56" s="19">
        <f>IF(H$12=0,0,H56/H$12)</f>
        <v>0</v>
      </c>
      <c r="K56" s="15"/>
      <c r="L56" s="20">
        <f>+D56-H56</f>
        <v>9004.0266346153767</v>
      </c>
      <c r="M56" s="15"/>
      <c r="N56" s="19">
        <f>IF(H56=0,0,L56/H56)</f>
        <v>-1.01282335865633</v>
      </c>
      <c r="O56" s="25"/>
      <c r="P56" s="20">
        <f>+P16-P18+P51</f>
        <v>-2580.4299999999998</v>
      </c>
      <c r="Q56" s="13"/>
      <c r="R56" s="19">
        <f>IF(P$12=0,0,P56/P$12)</f>
        <v>0</v>
      </c>
      <c r="S56" s="13"/>
      <c r="T56" s="20">
        <f>+T16-T18+T51</f>
        <v>-54219.295884615363</v>
      </c>
      <c r="U56" s="13"/>
      <c r="V56" s="19">
        <f>IF(T$12=0,0,T56/T$12)</f>
        <v>0</v>
      </c>
      <c r="W56" s="15"/>
      <c r="X56" s="20">
        <f>+P56-T56</f>
        <v>51638.865884615363</v>
      </c>
      <c r="Y56" s="15"/>
      <c r="Z56" s="19">
        <f>IF(T56=0,0,X56/T56)</f>
        <v>-0.95240753392498056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2"/>
      <c r="B58" s="10" t="s">
        <v>14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6" t="s">
        <v>4</v>
      </c>
      <c r="C60" s="26"/>
      <c r="D60" s="34">
        <f>+D56-D58</f>
        <v>114</v>
      </c>
      <c r="E60" s="13"/>
      <c r="F60" s="35">
        <f>IF(D$12=0,0,D60/D$12)</f>
        <v>0</v>
      </c>
      <c r="G60" s="13"/>
      <c r="H60" s="34">
        <f>+H56-H58</f>
        <v>-8890.0266346153767</v>
      </c>
      <c r="I60" s="13"/>
      <c r="J60" s="35">
        <f>IF(H$12=0,0,H60/H$12)</f>
        <v>0</v>
      </c>
      <c r="K60" s="15"/>
      <c r="L60" s="34">
        <f>D60-H60</f>
        <v>9004.0266346153767</v>
      </c>
      <c r="M60" s="15"/>
      <c r="N60" s="35">
        <f>IF(H60=0,0,L60/H60)</f>
        <v>-1.01282335865633</v>
      </c>
      <c r="O60" s="25"/>
      <c r="P60" s="34">
        <f>+P56-P58</f>
        <v>-2580.4299999999998</v>
      </c>
      <c r="Q60" s="13"/>
      <c r="R60" s="35">
        <f>IF(P$12=0,0,P60/P$12)</f>
        <v>0</v>
      </c>
      <c r="S60" s="13"/>
      <c r="T60" s="34">
        <f>+T56-T58</f>
        <v>-54219.295884615363</v>
      </c>
      <c r="U60" s="13"/>
      <c r="V60" s="35">
        <f>IF(T$12=0,0,T60/T$12)</f>
        <v>0</v>
      </c>
      <c r="W60" s="15"/>
      <c r="X60" s="34">
        <f>P60-T60</f>
        <v>51638.865884615363</v>
      </c>
      <c r="Y60" s="15"/>
      <c r="Z60" s="35">
        <f>IF(T60=0,0,X60/T60)</f>
        <v>-0.95240753392498056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6" t="s">
        <v>5</v>
      </c>
      <c r="C63" s="26"/>
      <c r="D63" s="30">
        <f>SUM(D60:D62)</f>
        <v>114</v>
      </c>
      <c r="E63" s="13"/>
      <c r="F63" s="32">
        <f>IF(D$12=0,0,D63/D$12)</f>
        <v>0</v>
      </c>
      <c r="G63" s="13"/>
      <c r="H63" s="30">
        <f>SUM(H60:H62)</f>
        <v>-8890.0266346153767</v>
      </c>
      <c r="I63" s="13"/>
      <c r="J63" s="32">
        <f>IF(H$12=0,0,H63/H$12)</f>
        <v>0</v>
      </c>
      <c r="K63" s="15"/>
      <c r="L63" s="30">
        <f>+D63-H63</f>
        <v>9004.0266346153767</v>
      </c>
      <c r="M63" s="15"/>
      <c r="N63" s="32">
        <f>IF(H63=0,0,L63/H63)</f>
        <v>-1.01282335865633</v>
      </c>
      <c r="O63" s="25"/>
      <c r="P63" s="30">
        <f>SUM(P60:P62)</f>
        <v>-2580.4299999999998</v>
      </c>
      <c r="Q63" s="13"/>
      <c r="R63" s="32">
        <f>IF(P$12=0,0,P63/P$12)</f>
        <v>0</v>
      </c>
      <c r="S63" s="13"/>
      <c r="T63" s="30">
        <f>SUM(T60:T62)</f>
        <v>-54219.295884615363</v>
      </c>
      <c r="U63" s="13"/>
      <c r="V63" s="32">
        <f>IF(T$12=0,0,T63/T$12)</f>
        <v>0</v>
      </c>
      <c r="W63" s="15"/>
      <c r="X63" s="30">
        <f>+P63-T63</f>
        <v>51638.865884615363</v>
      </c>
      <c r="Y63" s="15"/>
      <c r="Z63" s="32">
        <f>IF(T63=0,0,X63/T63)</f>
        <v>-0.95240753392498056</v>
      </c>
    </row>
    <row r="64" spans="1:26" ht="15.75" thickTop="1" x14ac:dyDescent="0.25">
      <c r="A64" s="9"/>
      <c r="C64" s="9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1:24" x14ac:dyDescent="0.25">
      <c r="A65" s="9"/>
      <c r="B65" s="60">
        <v>44151.568759178241</v>
      </c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25">
      <c r="A66" s="9"/>
      <c r="B66" s="58" t="s">
        <v>314</v>
      </c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4" x14ac:dyDescent="0.25">
      <c r="A67" s="9"/>
      <c r="B67" s="53"/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4" x14ac:dyDescent="0.25"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","424", " - ", "Blair Field")</f>
        <v>Department 424 - Blair Field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278.25</v>
      </c>
      <c r="E18" s="21"/>
      <c r="F18" s="31">
        <f t="shared" ref="F18:F26" si="0">IF(D$12=0,0,D18/D$12)</f>
        <v>0</v>
      </c>
      <c r="G18" s="21"/>
      <c r="H18" s="21">
        <f>SUM(OSRRefH22x_0)</f>
        <v>479</v>
      </c>
      <c r="I18" s="21"/>
      <c r="J18" s="31">
        <f t="shared" ref="J18:J26" si="1">IF(H$12=0,0,H18/H$12)</f>
        <v>0</v>
      </c>
      <c r="K18" s="4"/>
      <c r="L18" s="21">
        <f t="shared" ref="L18:L26" si="2">+D18-H18</f>
        <v>-200.75</v>
      </c>
      <c r="M18" s="4"/>
      <c r="N18" s="31">
        <f t="shared" ref="N18:N26" si="3">IF(H18=0,0,L18/H18)</f>
        <v>-0.41910229645093944</v>
      </c>
      <c r="O18" s="10"/>
      <c r="P18" s="21">
        <f>SUM(OSRRefP22x_0)</f>
        <v>2818.0099999999998</v>
      </c>
      <c r="Q18" s="21"/>
      <c r="R18" s="31">
        <f t="shared" ref="R18:R26" si="4">IF(P$12=0,0,P18/P$12)</f>
        <v>0</v>
      </c>
      <c r="S18" s="21"/>
      <c r="T18" s="21">
        <f>SUM(OSRRefT22x_0)</f>
        <v>1916</v>
      </c>
      <c r="U18" s="21"/>
      <c r="V18" s="31">
        <f t="shared" ref="V18:V26" si="5">IF(T$12=0,0,T18/T$12)</f>
        <v>0</v>
      </c>
      <c r="W18" s="4"/>
      <c r="X18" s="21">
        <f t="shared" ref="X18:X26" si="6">+P18-T18</f>
        <v>902.00999999999976</v>
      </c>
      <c r="Y18" s="4"/>
      <c r="Z18" s="31">
        <f t="shared" ref="Z18:Z26" si="7">IF(T18=0,0,X18/T18)</f>
        <v>0.47077766179540698</v>
      </c>
    </row>
    <row r="19" spans="1:26" s="27" customFormat="1" outlineLevel="1" collapsed="1" x14ac:dyDescent="0.25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1917.16</v>
      </c>
      <c r="Q19" s="1"/>
      <c r="R19" s="5">
        <f t="shared" si="4"/>
        <v>0</v>
      </c>
      <c r="S19" s="1"/>
      <c r="T19" s="1">
        <f>SUM(OSRRefT22_0x_0)</f>
        <v>1916</v>
      </c>
      <c r="U19" s="1"/>
      <c r="V19" s="5">
        <f t="shared" si="5"/>
        <v>0</v>
      </c>
      <c r="W19" s="1"/>
      <c r="X19" s="1">
        <f t="shared" si="6"/>
        <v>1.1600000000000819</v>
      </c>
      <c r="Y19" s="1"/>
      <c r="Z19" s="5">
        <f t="shared" si="7"/>
        <v>6.054279749478506E-4</v>
      </c>
    </row>
    <row r="20" spans="1:26" s="24" customFormat="1" hidden="1" outlineLevel="2" x14ac:dyDescent="0.25">
      <c r="A20" s="28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</v>
      </c>
      <c r="I20" s="2"/>
      <c r="J20" s="6">
        <f t="shared" si="1"/>
        <v>0</v>
      </c>
      <c r="K20" s="2"/>
      <c r="L20" s="7">
        <f t="shared" si="2"/>
        <v>0.29000000000002046</v>
      </c>
      <c r="M20" s="2"/>
      <c r="N20" s="6">
        <f t="shared" si="3"/>
        <v>6.054279749478506E-4</v>
      </c>
      <c r="O20" s="11"/>
      <c r="P20" s="7">
        <v>1917.16</v>
      </c>
      <c r="Q20" s="2"/>
      <c r="R20" s="6">
        <f t="shared" si="4"/>
        <v>0</v>
      </c>
      <c r="S20" s="2"/>
      <c r="T20" s="7">
        <v>1916</v>
      </c>
      <c r="U20" s="2"/>
      <c r="V20" s="6">
        <f t="shared" si="5"/>
        <v>0</v>
      </c>
      <c r="W20" s="2"/>
      <c r="X20" s="7">
        <f t="shared" si="6"/>
        <v>1.1600000000000819</v>
      </c>
      <c r="Y20" s="2"/>
      <c r="Z20" s="6">
        <f t="shared" si="7"/>
        <v>6.054279749478506E-4</v>
      </c>
    </row>
    <row r="21" spans="1:26" s="27" customFormat="1" outlineLevel="1" collapsed="1" x14ac:dyDescent="0.25">
      <c r="A21" s="29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519.54999999999995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519.54999999999995</v>
      </c>
      <c r="Y21" s="1"/>
      <c r="Z21" s="5">
        <f t="shared" si="7"/>
        <v>0</v>
      </c>
    </row>
    <row r="22" spans="1:26" s="24" customFormat="1" hidden="1" outlineLevel="2" x14ac:dyDescent="0.25">
      <c r="A22" s="28"/>
      <c r="B22" s="11" t="str">
        <f>CONCATENATE("          ", "6279", " - ", "GENERAL EXPENSE")</f>
        <v xml:space="preserve">          6279 - GENERAL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519.54999999999995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519.54999999999995</v>
      </c>
      <c r="Y22" s="2"/>
      <c r="Z22" s="6">
        <f t="shared" si="7"/>
        <v>0</v>
      </c>
    </row>
    <row r="23" spans="1:26" s="27" customFormat="1" outlineLevel="1" collapsed="1" x14ac:dyDescent="0.25">
      <c r="A23" s="29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154.33000000000001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154.33000000000001</v>
      </c>
      <c r="Y23" s="1"/>
      <c r="Z23" s="5">
        <f t="shared" si="7"/>
        <v>0</v>
      </c>
    </row>
    <row r="24" spans="1:26" s="24" customFormat="1" hidden="1" outlineLevel="2" x14ac:dyDescent="0.25">
      <c r="A24" s="28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154.33000000000001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154.33000000000001</v>
      </c>
      <c r="Y24" s="2"/>
      <c r="Z24" s="6">
        <f t="shared" si="7"/>
        <v>0</v>
      </c>
    </row>
    <row r="25" spans="1:26" s="27" customFormat="1" outlineLevel="1" collapsed="1" x14ac:dyDescent="0.25">
      <c r="A25" s="29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-201.04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-201.04</v>
      </c>
      <c r="M25" s="1"/>
      <c r="N25" s="5">
        <f t="shared" si="3"/>
        <v>0</v>
      </c>
      <c r="O25" s="14"/>
      <c r="P25" s="1">
        <f>SUM(OSRRefP22_3x_0)</f>
        <v>226.97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226.97</v>
      </c>
      <c r="Y25" s="1"/>
      <c r="Z25" s="5">
        <f t="shared" si="7"/>
        <v>0</v>
      </c>
    </row>
    <row r="26" spans="1:26" s="24" customFormat="1" hidden="1" outlineLevel="2" x14ac:dyDescent="0.25">
      <c r="A26" s="28"/>
      <c r="B26" s="11" t="str">
        <f>CONCATENATE("          ", "6309", " - ", "TELEPHONE")</f>
        <v xml:space="preserve">          6309 - TELEPHONE</v>
      </c>
      <c r="C26" s="11"/>
      <c r="D26" s="7">
        <v>-201.04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-201.04</v>
      </c>
      <c r="M26" s="2"/>
      <c r="N26" s="6">
        <f t="shared" si="3"/>
        <v>0</v>
      </c>
      <c r="O26" s="11"/>
      <c r="P26" s="7">
        <v>226.97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226.97</v>
      </c>
      <c r="Y26" s="2"/>
      <c r="Z26" s="6">
        <f t="shared" si="7"/>
        <v>0</v>
      </c>
    </row>
    <row r="27" spans="1:26" s="63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3</v>
      </c>
      <c r="C30" s="26"/>
      <c r="D30" s="20">
        <f>+D16-D18+D28</f>
        <v>-278.25</v>
      </c>
      <c r="E30" s="13"/>
      <c r="F30" s="19">
        <f>IF(D$12=0,0,D30/D$12)</f>
        <v>0</v>
      </c>
      <c r="G30" s="13"/>
      <c r="H30" s="20">
        <f>+H16-H18+H28</f>
        <v>-479</v>
      </c>
      <c r="I30" s="13"/>
      <c r="J30" s="19">
        <f>IF(H$12=0,0,H30/H$12)</f>
        <v>0</v>
      </c>
      <c r="K30" s="15"/>
      <c r="L30" s="20">
        <f>+D30-H30</f>
        <v>200.75</v>
      </c>
      <c r="M30" s="15"/>
      <c r="N30" s="19">
        <f>IF(H30=0,0,L30/H30)</f>
        <v>-0.41910229645093944</v>
      </c>
      <c r="O30" s="25"/>
      <c r="P30" s="20">
        <f>+P16-P18+P28</f>
        <v>-2818.0099999999998</v>
      </c>
      <c r="Q30" s="13"/>
      <c r="R30" s="19">
        <f>IF(P$12=0,0,P30/P$12)</f>
        <v>0</v>
      </c>
      <c r="S30" s="13"/>
      <c r="T30" s="20">
        <f>+T16-T18+T28</f>
        <v>-1916</v>
      </c>
      <c r="U30" s="13"/>
      <c r="V30" s="19">
        <f>IF(T$12=0,0,T30/T$12)</f>
        <v>0</v>
      </c>
      <c r="W30" s="15"/>
      <c r="X30" s="20">
        <f>+P30-T30</f>
        <v>-902.00999999999976</v>
      </c>
      <c r="Y30" s="15"/>
      <c r="Z30" s="19">
        <f>IF(T30=0,0,X30/T30)</f>
        <v>0.47077766179540698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14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6" t="s">
        <v>4</v>
      </c>
      <c r="C34" s="26"/>
      <c r="D34" s="34">
        <f>+D30-D32</f>
        <v>-278.25</v>
      </c>
      <c r="E34" s="13"/>
      <c r="F34" s="35">
        <f>IF(D$12=0,0,D34/D$12)</f>
        <v>0</v>
      </c>
      <c r="G34" s="13"/>
      <c r="H34" s="34">
        <f>+H30-H32</f>
        <v>-479</v>
      </c>
      <c r="I34" s="13"/>
      <c r="J34" s="35">
        <f>IF(H$12=0,0,H34/H$12)</f>
        <v>0</v>
      </c>
      <c r="K34" s="15"/>
      <c r="L34" s="34">
        <f>D34-H34</f>
        <v>200.75</v>
      </c>
      <c r="M34" s="15"/>
      <c r="N34" s="35">
        <f>IF(H34=0,0,L34/H34)</f>
        <v>-0.41910229645093944</v>
      </c>
      <c r="O34" s="25"/>
      <c r="P34" s="34">
        <f>+P30-P32</f>
        <v>-2818.0099999999998</v>
      </c>
      <c r="Q34" s="13"/>
      <c r="R34" s="35">
        <f>IF(P$12=0,0,P34/P$12)</f>
        <v>0</v>
      </c>
      <c r="S34" s="13"/>
      <c r="T34" s="34">
        <f>+T30-T32</f>
        <v>-1916</v>
      </c>
      <c r="U34" s="13"/>
      <c r="V34" s="35">
        <f>IF(T$12=0,0,T34/T$12)</f>
        <v>0</v>
      </c>
      <c r="W34" s="15"/>
      <c r="X34" s="34">
        <f>P34-T34</f>
        <v>-902.00999999999976</v>
      </c>
      <c r="Y34" s="15"/>
      <c r="Z34" s="35">
        <f>IF(T34=0,0,X34/T34)</f>
        <v>0.47077766179540698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6" t="s">
        <v>5</v>
      </c>
      <c r="C37" s="26"/>
      <c r="D37" s="30">
        <f>SUM(D34:D36)</f>
        <v>-278.25</v>
      </c>
      <c r="E37" s="13"/>
      <c r="F37" s="32">
        <f>IF(D$12=0,0,D37/D$12)</f>
        <v>0</v>
      </c>
      <c r="G37" s="13"/>
      <c r="H37" s="30">
        <f>SUM(H34:H36)</f>
        <v>-479</v>
      </c>
      <c r="I37" s="13"/>
      <c r="J37" s="32">
        <f>IF(H$12=0,0,H37/H$12)</f>
        <v>0</v>
      </c>
      <c r="K37" s="15"/>
      <c r="L37" s="30">
        <f>+D37-H37</f>
        <v>200.75</v>
      </c>
      <c r="M37" s="15"/>
      <c r="N37" s="32">
        <f>IF(H37=0,0,L37/H37)</f>
        <v>-0.41910229645093944</v>
      </c>
      <c r="O37" s="25"/>
      <c r="P37" s="30">
        <f>SUM(P34:P36)</f>
        <v>-2818.0099999999998</v>
      </c>
      <c r="Q37" s="13"/>
      <c r="R37" s="32">
        <f>IF(P$12=0,0,P37/P$12)</f>
        <v>0</v>
      </c>
      <c r="S37" s="13"/>
      <c r="T37" s="30">
        <f>SUM(T34:T36)</f>
        <v>-1916</v>
      </c>
      <c r="U37" s="13"/>
      <c r="V37" s="32">
        <f>IF(T$12=0,0,T37/T$12)</f>
        <v>0</v>
      </c>
      <c r="W37" s="15"/>
      <c r="X37" s="30">
        <f>+P37-T37</f>
        <v>-902.00999999999976</v>
      </c>
      <c r="Y37" s="15"/>
      <c r="Z37" s="32">
        <f>IF(T37=0,0,X37/T37)</f>
        <v>0.47077766179540698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0">
        <v>44151.568776192129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 t="s">
        <v>314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53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","425", " - ", "Events Center")</f>
        <v>Department 425 - Events Center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1021.4499999999999</v>
      </c>
      <c r="E18" s="21"/>
      <c r="F18" s="31">
        <f t="shared" ref="F18:F24" si="0">IF(D$12=0,0,D18/D$12)</f>
        <v>0</v>
      </c>
      <c r="G18" s="21"/>
      <c r="H18" s="21">
        <f>SUM(OSRRefH22x_0)</f>
        <v>1001</v>
      </c>
      <c r="I18" s="21"/>
      <c r="J18" s="31">
        <f t="shared" ref="J18:J24" si="1">IF(H$12=0,0,H18/H$12)</f>
        <v>0</v>
      </c>
      <c r="K18" s="4"/>
      <c r="L18" s="21">
        <f t="shared" ref="L18:L24" si="2">+D18-H18</f>
        <v>20.449999999999932</v>
      </c>
      <c r="M18" s="4"/>
      <c r="N18" s="31">
        <f t="shared" ref="N18:N24" si="3">IF(H18=0,0,L18/H18)</f>
        <v>2.0429570429570363E-2</v>
      </c>
      <c r="O18" s="10"/>
      <c r="P18" s="21">
        <f>SUM(OSRRefP22x_0)</f>
        <v>7170.34</v>
      </c>
      <c r="Q18" s="21"/>
      <c r="R18" s="31">
        <f t="shared" ref="R18:R24" si="4">IF(P$12=0,0,P18/P$12)</f>
        <v>0</v>
      </c>
      <c r="S18" s="21"/>
      <c r="T18" s="21">
        <f>SUM(OSRRefT22x_0)</f>
        <v>4004</v>
      </c>
      <c r="U18" s="21"/>
      <c r="V18" s="31">
        <f t="shared" ref="V18:V24" si="5">IF(T$12=0,0,T18/T$12)</f>
        <v>0</v>
      </c>
      <c r="W18" s="4"/>
      <c r="X18" s="21">
        <f t="shared" ref="X18:X24" si="6">+P18-T18</f>
        <v>3166.34</v>
      </c>
      <c r="Y18" s="4"/>
      <c r="Z18" s="31">
        <f t="shared" ref="Z18:Z24" si="7">IF(T18=0,0,X18/T18)</f>
        <v>0.79079420579420578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1419.75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1419.75</v>
      </c>
      <c r="Y19" s="1"/>
      <c r="Z19" s="5">
        <f t="shared" si="7"/>
        <v>0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170.79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170.79</v>
      </c>
      <c r="Y20" s="2"/>
      <c r="Z20" s="6">
        <f t="shared" si="7"/>
        <v>0</v>
      </c>
    </row>
    <row r="21" spans="1:26" s="24" customFormat="1" hidden="1" outlineLevel="2" x14ac:dyDescent="0.25">
      <c r="A21" s="28"/>
      <c r="B21" s="11" t="str">
        <f>CONCATENATE("          ", "6113", " - ", "GROUP INSURANCE")</f>
        <v xml:space="preserve">          6113 - GROUP INSURANCE</v>
      </c>
      <c r="C21" s="11"/>
      <c r="D21" s="7"/>
      <c r="E21" s="2"/>
      <c r="F21" s="6">
        <f t="shared" si="0"/>
        <v>0</v>
      </c>
      <c r="G21" s="2"/>
      <c r="H21" s="7"/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>
        <v>699.3</v>
      </c>
      <c r="Q21" s="2"/>
      <c r="R21" s="6">
        <f t="shared" si="4"/>
        <v>0</v>
      </c>
      <c r="S21" s="2"/>
      <c r="T21" s="7"/>
      <c r="U21" s="2"/>
      <c r="V21" s="6">
        <f t="shared" si="5"/>
        <v>0</v>
      </c>
      <c r="W21" s="2"/>
      <c r="X21" s="7">
        <f t="shared" si="6"/>
        <v>699.3</v>
      </c>
      <c r="Y21" s="2"/>
      <c r="Z21" s="6">
        <f t="shared" si="7"/>
        <v>0</v>
      </c>
    </row>
    <row r="22" spans="1:26" s="24" customFormat="1" hidden="1" outlineLevel="2" x14ac:dyDescent="0.25">
      <c r="A22" s="28"/>
      <c r="B22" s="11" t="str">
        <f>CONCATENATE("          ", "6115", " - ", "P.E.R.S.")</f>
        <v xml:space="preserve">          6115 - P.E.R.S.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355.22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355.22</v>
      </c>
      <c r="Y22" s="2"/>
      <c r="Z22" s="6">
        <f t="shared" si="7"/>
        <v>0</v>
      </c>
    </row>
    <row r="23" spans="1:26" s="24" customFormat="1" hidden="1" outlineLevel="2" x14ac:dyDescent="0.25">
      <c r="A23" s="28"/>
      <c r="B23" s="11" t="str">
        <f>CONCATENATE("          ", "6118", " - ", "VACATION")</f>
        <v xml:space="preserve">          6118 - VACATION</v>
      </c>
      <c r="C23" s="11"/>
      <c r="D23" s="7"/>
      <c r="E23" s="2"/>
      <c r="F23" s="6">
        <f t="shared" si="0"/>
        <v>0</v>
      </c>
      <c r="G23" s="2"/>
      <c r="H23" s="7"/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>
        <v>88.46</v>
      </c>
      <c r="Q23" s="2"/>
      <c r="R23" s="6">
        <f t="shared" si="4"/>
        <v>0</v>
      </c>
      <c r="S23" s="2"/>
      <c r="T23" s="7"/>
      <c r="U23" s="2"/>
      <c r="V23" s="6">
        <f t="shared" si="5"/>
        <v>0</v>
      </c>
      <c r="W23" s="2"/>
      <c r="X23" s="7">
        <f t="shared" si="6"/>
        <v>88.46</v>
      </c>
      <c r="Y23" s="2"/>
      <c r="Z23" s="6">
        <f t="shared" si="7"/>
        <v>0</v>
      </c>
    </row>
    <row r="24" spans="1:26" s="24" customFormat="1" hidden="1" outlineLevel="2" x14ac:dyDescent="0.25">
      <c r="A24" s="28"/>
      <c r="B24" s="11" t="str">
        <f>CONCATENATE("          ", "6119", " - ", "SICK LEAVE")</f>
        <v xml:space="preserve">          6119 - SICK LEAVE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105.98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105.98</v>
      </c>
      <c r="Y24" s="2"/>
      <c r="Z24" s="6">
        <f t="shared" si="7"/>
        <v>0</v>
      </c>
    </row>
    <row r="25" spans="1:26" s="27" customFormat="1" outlineLevel="1" collapsed="1" x14ac:dyDescent="0.25">
      <c r="A25" s="29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2" si="8">IF(D$12=0,0,D25/D$12)</f>
        <v>0</v>
      </c>
      <c r="G25" s="1"/>
      <c r="H25" s="1">
        <f>SUM(OSRRefH22_1x_0)</f>
        <v>0</v>
      </c>
      <c r="I25" s="1"/>
      <c r="J25" s="5">
        <f t="shared" ref="J25:J32" si="9">IF(H$12=0,0,H25/H$12)</f>
        <v>0</v>
      </c>
      <c r="K25" s="1"/>
      <c r="L25" s="1">
        <f t="shared" ref="L25:L32" si="10">+D25-H25</f>
        <v>0</v>
      </c>
      <c r="M25" s="1"/>
      <c r="N25" s="5">
        <f t="shared" ref="N25:N32" si="11">IF(H25=0,0,L25/H25)</f>
        <v>0</v>
      </c>
      <c r="O25" s="14"/>
      <c r="P25" s="1">
        <f>SUM(OSRRefP22_1x_0)</f>
        <v>1378.61</v>
      </c>
      <c r="Q25" s="1"/>
      <c r="R25" s="5">
        <f t="shared" ref="R25:R32" si="12">IF(P$12=0,0,P25/P$12)</f>
        <v>0</v>
      </c>
      <c r="S25" s="1"/>
      <c r="T25" s="1">
        <f>SUM(OSRRefT22_1x_0)</f>
        <v>0</v>
      </c>
      <c r="U25" s="1"/>
      <c r="V25" s="5">
        <f t="shared" ref="V25:V32" si="13">IF(T$12=0,0,T25/T$12)</f>
        <v>0</v>
      </c>
      <c r="W25" s="1"/>
      <c r="X25" s="1">
        <f t="shared" ref="X25:X32" si="14">+P25-T25</f>
        <v>1378.61</v>
      </c>
      <c r="Y25" s="1"/>
      <c r="Z25" s="5">
        <f t="shared" ref="Z25:Z32" si="15">IF(T25=0,0,X25/T25)</f>
        <v>0</v>
      </c>
    </row>
    <row r="26" spans="1:26" s="24" customFormat="1" hidden="1" outlineLevel="2" x14ac:dyDescent="0.25">
      <c r="A26" s="28"/>
      <c r="B26" s="11" t="str">
        <f>CONCATENATE("          ", "6002", " - ", "STAFF SALARIES")</f>
        <v xml:space="preserve">          6002 - STAFF SALARIES</v>
      </c>
      <c r="C26" s="11"/>
      <c r="D26" s="7"/>
      <c r="E26" s="2"/>
      <c r="F26" s="6">
        <f t="shared" si="8"/>
        <v>0</v>
      </c>
      <c r="G26" s="2"/>
      <c r="H26" s="7"/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>
        <v>1378.61</v>
      </c>
      <c r="Q26" s="2"/>
      <c r="R26" s="6">
        <f t="shared" si="12"/>
        <v>0</v>
      </c>
      <c r="S26" s="2"/>
      <c r="T26" s="7"/>
      <c r="U26" s="2"/>
      <c r="V26" s="6">
        <f t="shared" si="13"/>
        <v>0</v>
      </c>
      <c r="W26" s="2"/>
      <c r="X26" s="7">
        <f t="shared" si="14"/>
        <v>1378.61</v>
      </c>
      <c r="Y26" s="2"/>
      <c r="Z26" s="6">
        <f t="shared" si="15"/>
        <v>0</v>
      </c>
    </row>
    <row r="27" spans="1:26" s="27" customFormat="1" outlineLevel="1" collapsed="1" x14ac:dyDescent="0.25">
      <c r="A27" s="29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1000.91</v>
      </c>
      <c r="E27" s="1"/>
      <c r="F27" s="5">
        <f t="shared" si="8"/>
        <v>0</v>
      </c>
      <c r="G27" s="1"/>
      <c r="H27" s="1">
        <f>SUM(OSRRefH22_2x_0)</f>
        <v>1001</v>
      </c>
      <c r="I27" s="1"/>
      <c r="J27" s="5">
        <f t="shared" si="9"/>
        <v>0</v>
      </c>
      <c r="K27" s="1"/>
      <c r="L27" s="1">
        <f t="shared" si="10"/>
        <v>-9.0000000000031832E-2</v>
      </c>
      <c r="M27" s="1"/>
      <c r="N27" s="5">
        <f t="shared" si="11"/>
        <v>-8.9910089910121704E-5</v>
      </c>
      <c r="O27" s="14"/>
      <c r="P27" s="1">
        <f>SUM(OSRRefP22_2x_0)</f>
        <v>4003.64</v>
      </c>
      <c r="Q27" s="1"/>
      <c r="R27" s="5">
        <f t="shared" si="12"/>
        <v>0</v>
      </c>
      <c r="S27" s="1"/>
      <c r="T27" s="1">
        <f>SUM(OSRRefT22_2x_0)</f>
        <v>4004</v>
      </c>
      <c r="U27" s="1"/>
      <c r="V27" s="5">
        <f t="shared" si="13"/>
        <v>0</v>
      </c>
      <c r="W27" s="1"/>
      <c r="X27" s="1">
        <f t="shared" si="14"/>
        <v>-0.36000000000012733</v>
      </c>
      <c r="Y27" s="1"/>
      <c r="Z27" s="5">
        <f t="shared" si="15"/>
        <v>-8.9910089910121704E-5</v>
      </c>
    </row>
    <row r="28" spans="1:26" s="24" customFormat="1" hidden="1" outlineLevel="2" x14ac:dyDescent="0.25">
      <c r="A28" s="28"/>
      <c r="B28" s="11" t="str">
        <f>CONCATENATE("          ", "6322", " - ", "EQUIPMENT DEPRECIATION EXPENSE")</f>
        <v xml:space="preserve">          6322 - EQUIPMENT DEPRECIATION EXPENSE</v>
      </c>
      <c r="C28" s="11"/>
      <c r="D28" s="7">
        <v>1000.91</v>
      </c>
      <c r="E28" s="2"/>
      <c r="F28" s="6">
        <f t="shared" si="8"/>
        <v>0</v>
      </c>
      <c r="G28" s="2"/>
      <c r="H28" s="7">
        <v>1001</v>
      </c>
      <c r="I28" s="2"/>
      <c r="J28" s="6">
        <f t="shared" si="9"/>
        <v>0</v>
      </c>
      <c r="K28" s="2"/>
      <c r="L28" s="7">
        <f t="shared" si="10"/>
        <v>-9.0000000000031832E-2</v>
      </c>
      <c r="M28" s="2"/>
      <c r="N28" s="6">
        <f t="shared" si="11"/>
        <v>-8.9910089910121704E-5</v>
      </c>
      <c r="O28" s="11"/>
      <c r="P28" s="7">
        <v>4003.64</v>
      </c>
      <c r="Q28" s="2"/>
      <c r="R28" s="6">
        <f t="shared" si="12"/>
        <v>0</v>
      </c>
      <c r="S28" s="2"/>
      <c r="T28" s="7">
        <v>4004</v>
      </c>
      <c r="U28" s="2"/>
      <c r="V28" s="6">
        <f t="shared" si="13"/>
        <v>0</v>
      </c>
      <c r="W28" s="2"/>
      <c r="X28" s="7">
        <f t="shared" si="14"/>
        <v>-0.36000000000012733</v>
      </c>
      <c r="Y28" s="2"/>
      <c r="Z28" s="6">
        <f t="shared" si="15"/>
        <v>-8.9910089910121704E-5</v>
      </c>
    </row>
    <row r="29" spans="1:26" s="27" customFormat="1" outlineLevel="1" collapsed="1" x14ac:dyDescent="0.25">
      <c r="A29" s="29"/>
      <c r="B29" s="14" t="str">
        <f>CONCATENATE("     ","Repair and Maintenance                            ")</f>
        <v xml:space="preserve">     Repair and Maintenance                            </v>
      </c>
      <c r="C29" s="14"/>
      <c r="D29" s="1">
        <f>SUM(OSRRefD22_3x_0)</f>
        <v>0</v>
      </c>
      <c r="E29" s="1"/>
      <c r="F29" s="5">
        <f t="shared" si="8"/>
        <v>0</v>
      </c>
      <c r="G29" s="1"/>
      <c r="H29" s="1">
        <f>SUM(OSRRefH22_3x_0)</f>
        <v>0</v>
      </c>
      <c r="I29" s="1"/>
      <c r="J29" s="5">
        <f t="shared" si="9"/>
        <v>0</v>
      </c>
      <c r="K29" s="1"/>
      <c r="L29" s="1">
        <f t="shared" si="10"/>
        <v>0</v>
      </c>
      <c r="M29" s="1"/>
      <c r="N29" s="5">
        <f t="shared" si="11"/>
        <v>0</v>
      </c>
      <c r="O29" s="14"/>
      <c r="P29" s="1">
        <f>SUM(OSRRefP22_3x_0)</f>
        <v>235.8</v>
      </c>
      <c r="Q29" s="1"/>
      <c r="R29" s="5">
        <f t="shared" si="12"/>
        <v>0</v>
      </c>
      <c r="S29" s="1"/>
      <c r="T29" s="1">
        <f>SUM(OSRRefT22_3x_0)</f>
        <v>0</v>
      </c>
      <c r="U29" s="1"/>
      <c r="V29" s="5">
        <f t="shared" si="13"/>
        <v>0</v>
      </c>
      <c r="W29" s="1"/>
      <c r="X29" s="1">
        <f t="shared" si="14"/>
        <v>235.8</v>
      </c>
      <c r="Y29" s="1"/>
      <c r="Z29" s="5">
        <f t="shared" si="15"/>
        <v>0</v>
      </c>
    </row>
    <row r="30" spans="1:26" s="24" customFormat="1" hidden="1" outlineLevel="2" x14ac:dyDescent="0.25">
      <c r="A30" s="28"/>
      <c r="B30" s="11" t="str">
        <f>CONCATENATE("          ", "6373", " - ", "MAINTENANCE CONTRACTS")</f>
        <v xml:space="preserve">          6373 - MAINTENANCE CONTRACTS</v>
      </c>
      <c r="C30" s="11"/>
      <c r="D30" s="7"/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>
        <v>235.8</v>
      </c>
      <c r="Q30" s="2"/>
      <c r="R30" s="6">
        <f t="shared" si="12"/>
        <v>0</v>
      </c>
      <c r="S30" s="2"/>
      <c r="T30" s="7"/>
      <c r="U30" s="2"/>
      <c r="V30" s="6">
        <f t="shared" si="13"/>
        <v>0</v>
      </c>
      <c r="W30" s="2"/>
      <c r="X30" s="7">
        <f t="shared" si="14"/>
        <v>235.8</v>
      </c>
      <c r="Y30" s="2"/>
      <c r="Z30" s="6">
        <f t="shared" si="15"/>
        <v>0</v>
      </c>
    </row>
    <row r="31" spans="1:26" s="27" customFormat="1" outlineLevel="1" collapsed="1" x14ac:dyDescent="0.25">
      <c r="A31" s="29"/>
      <c r="B31" s="14" t="str">
        <f>CONCATENATE("     ","Telephone/Data Lines                              ")</f>
        <v xml:space="preserve">     Telephone/Data Lines                              </v>
      </c>
      <c r="C31" s="14"/>
      <c r="D31" s="1">
        <f>SUM(OSRRefD22_4x_0)</f>
        <v>20.54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20.54</v>
      </c>
      <c r="M31" s="1"/>
      <c r="N31" s="5">
        <f t="shared" si="11"/>
        <v>0</v>
      </c>
      <c r="O31" s="14"/>
      <c r="P31" s="1">
        <f>SUM(OSRRefP22_4x_0)</f>
        <v>132.54</v>
      </c>
      <c r="Q31" s="1"/>
      <c r="R31" s="5">
        <f t="shared" si="12"/>
        <v>0</v>
      </c>
      <c r="S31" s="1"/>
      <c r="T31" s="1">
        <f>SUM(OSRRefT22_4x_0)</f>
        <v>0</v>
      </c>
      <c r="U31" s="1"/>
      <c r="V31" s="5">
        <f t="shared" si="13"/>
        <v>0</v>
      </c>
      <c r="W31" s="1"/>
      <c r="X31" s="1">
        <f t="shared" si="14"/>
        <v>132.54</v>
      </c>
      <c r="Y31" s="1"/>
      <c r="Z31" s="5">
        <f t="shared" si="15"/>
        <v>0</v>
      </c>
    </row>
    <row r="32" spans="1:26" s="24" customFormat="1" hidden="1" outlineLevel="2" x14ac:dyDescent="0.25">
      <c r="A32" s="28"/>
      <c r="B32" s="11" t="str">
        <f>CONCATENATE("          ", "6309", " - ", "TELEPHONE")</f>
        <v xml:space="preserve">          6309 - TELEPHONE</v>
      </c>
      <c r="C32" s="11"/>
      <c r="D32" s="7">
        <v>20.54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20.54</v>
      </c>
      <c r="M32" s="2"/>
      <c r="N32" s="6">
        <f t="shared" si="11"/>
        <v>0</v>
      </c>
      <c r="O32" s="11"/>
      <c r="P32" s="7">
        <v>132.54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132.54</v>
      </c>
      <c r="Y32" s="2"/>
      <c r="Z32" s="6">
        <f t="shared" si="15"/>
        <v>0</v>
      </c>
    </row>
    <row r="33" spans="1:26" s="63" customFormat="1" x14ac:dyDescent="0.25">
      <c r="A33" s="36"/>
      <c r="B33" s="36"/>
      <c r="C33" s="36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5" t="s">
        <v>0</v>
      </c>
      <c r="C34" s="10"/>
      <c r="D34" s="4">
        <f>SUM(0)</f>
        <v>0</v>
      </c>
      <c r="E34" s="4"/>
      <c r="F34" s="12">
        <f>IF(D$12=0,0,D34/D$12)</f>
        <v>0</v>
      </c>
      <c r="G34" s="4"/>
      <c r="H34" s="4">
        <f>SUM(0)</f>
        <v>0</v>
      </c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>
        <f>SUM(0)</f>
        <v>0</v>
      </c>
      <c r="Q34" s="4"/>
      <c r="R34" s="12">
        <f>IF(P$12=0,0,P34/P$12)</f>
        <v>0</v>
      </c>
      <c r="S34" s="4"/>
      <c r="T34" s="4">
        <f>SUM(0)</f>
        <v>0</v>
      </c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6" t="s">
        <v>3</v>
      </c>
      <c r="C36" s="26"/>
      <c r="D36" s="20">
        <f>+D16-D18+D34</f>
        <v>-1021.4499999999999</v>
      </c>
      <c r="E36" s="13"/>
      <c r="F36" s="19">
        <f>IF(D$12=0,0,D36/D$12)</f>
        <v>0</v>
      </c>
      <c r="G36" s="13"/>
      <c r="H36" s="20">
        <f>+H16-H18+H34</f>
        <v>-1001</v>
      </c>
      <c r="I36" s="13"/>
      <c r="J36" s="19">
        <f>IF(H$12=0,0,H36/H$12)</f>
        <v>0</v>
      </c>
      <c r="K36" s="15"/>
      <c r="L36" s="20">
        <f>+D36-H36</f>
        <v>-20.449999999999932</v>
      </c>
      <c r="M36" s="15"/>
      <c r="N36" s="19">
        <f>IF(H36=0,0,L36/H36)</f>
        <v>2.0429570429570363E-2</v>
      </c>
      <c r="O36" s="25"/>
      <c r="P36" s="20">
        <f>+P16-P18+P34</f>
        <v>-7170.34</v>
      </c>
      <c r="Q36" s="13"/>
      <c r="R36" s="19">
        <f>IF(P$12=0,0,P36/P$12)</f>
        <v>0</v>
      </c>
      <c r="S36" s="13"/>
      <c r="T36" s="20">
        <f>+T16-T18+T34</f>
        <v>-4004</v>
      </c>
      <c r="U36" s="13"/>
      <c r="V36" s="19">
        <f>IF(T$12=0,0,T36/T$12)</f>
        <v>0</v>
      </c>
      <c r="W36" s="15"/>
      <c r="X36" s="20">
        <f>+P36-T36</f>
        <v>-3166.34</v>
      </c>
      <c r="Y36" s="15"/>
      <c r="Z36" s="19">
        <f>IF(T36=0,0,X36/T36)</f>
        <v>0.79079420579420578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52"/>
      <c r="B38" s="10" t="s">
        <v>14</v>
      </c>
      <c r="C38" s="10"/>
      <c r="D38" s="4"/>
      <c r="E38" s="4"/>
      <c r="F38" s="12">
        <f>IF(D$12=0,0,D38/D$12)</f>
        <v>0</v>
      </c>
      <c r="G38" s="4"/>
      <c r="H38" s="4"/>
      <c r="I38" s="4"/>
      <c r="J38" s="12">
        <f>IF(H$12=0,0,H38/H$12)</f>
        <v>0</v>
      </c>
      <c r="K38" s="4"/>
      <c r="L38" s="4">
        <f>+D38-H38</f>
        <v>0</v>
      </c>
      <c r="M38" s="4"/>
      <c r="N38" s="12">
        <f>IF(H38=0,0,L38/H38)</f>
        <v>0</v>
      </c>
      <c r="O38" s="10"/>
      <c r="P38" s="4"/>
      <c r="Q38" s="4"/>
      <c r="R38" s="12">
        <f>IF(P$12=0,0,P38/P$12)</f>
        <v>0</v>
      </c>
      <c r="S38" s="4"/>
      <c r="T38" s="4"/>
      <c r="U38" s="4"/>
      <c r="V38" s="12">
        <f>IF(T$12=0,0,T38/T$12)</f>
        <v>0</v>
      </c>
      <c r="W38" s="4"/>
      <c r="X38" s="4">
        <f>+P38-T38</f>
        <v>0</v>
      </c>
      <c r="Y38" s="4"/>
      <c r="Z38" s="12">
        <f>IF(T38=0,0,X38/T38)</f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6" t="s">
        <v>4</v>
      </c>
      <c r="C40" s="26"/>
      <c r="D40" s="34">
        <f>+D36-D38</f>
        <v>-1021.4499999999999</v>
      </c>
      <c r="E40" s="13"/>
      <c r="F40" s="35">
        <f>IF(D$12=0,0,D40/D$12)</f>
        <v>0</v>
      </c>
      <c r="G40" s="13"/>
      <c r="H40" s="34">
        <f>+H36-H38</f>
        <v>-1001</v>
      </c>
      <c r="I40" s="13"/>
      <c r="J40" s="35">
        <f>IF(H$12=0,0,H40/H$12)</f>
        <v>0</v>
      </c>
      <c r="K40" s="15"/>
      <c r="L40" s="34">
        <f>D40-H40</f>
        <v>-20.449999999999932</v>
      </c>
      <c r="M40" s="15"/>
      <c r="N40" s="35">
        <f>IF(H40=0,0,L40/H40)</f>
        <v>2.0429570429570363E-2</v>
      </c>
      <c r="O40" s="25"/>
      <c r="P40" s="34">
        <f>+P36-P38</f>
        <v>-7170.34</v>
      </c>
      <c r="Q40" s="13"/>
      <c r="R40" s="35">
        <f>IF(P$12=0,0,P40/P$12)</f>
        <v>0</v>
      </c>
      <c r="S40" s="13"/>
      <c r="T40" s="34">
        <f>+T36-T38</f>
        <v>-4004</v>
      </c>
      <c r="U40" s="13"/>
      <c r="V40" s="35">
        <f>IF(T$12=0,0,T40/T$12)</f>
        <v>0</v>
      </c>
      <c r="W40" s="15"/>
      <c r="X40" s="34">
        <f>P40-T40</f>
        <v>-3166.34</v>
      </c>
      <c r="Y40" s="15"/>
      <c r="Z40" s="35">
        <f>IF(T40=0,0,X40/T40)</f>
        <v>0.79079420579420578</v>
      </c>
    </row>
    <row r="41" spans="1:26" ht="15.75" thickTop="1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ht="15.75" thickBot="1" x14ac:dyDescent="0.3">
      <c r="A43" s="10"/>
      <c r="B43" s="26" t="s">
        <v>5</v>
      </c>
      <c r="C43" s="26"/>
      <c r="D43" s="30">
        <f>SUM(D40:D42)</f>
        <v>-1021.4499999999999</v>
      </c>
      <c r="E43" s="13"/>
      <c r="F43" s="32">
        <f>IF(D$12=0,0,D43/D$12)</f>
        <v>0</v>
      </c>
      <c r="G43" s="13"/>
      <c r="H43" s="30">
        <f>SUM(H40:H42)</f>
        <v>-1001</v>
      </c>
      <c r="I43" s="13"/>
      <c r="J43" s="32">
        <f>IF(H$12=0,0,H43/H$12)</f>
        <v>0</v>
      </c>
      <c r="K43" s="15"/>
      <c r="L43" s="30">
        <f>+D43-H43</f>
        <v>-20.449999999999932</v>
      </c>
      <c r="M43" s="15"/>
      <c r="N43" s="32">
        <f>IF(H43=0,0,L43/H43)</f>
        <v>2.0429570429570363E-2</v>
      </c>
      <c r="O43" s="25"/>
      <c r="P43" s="30">
        <f>SUM(P40:P42)</f>
        <v>-7170.34</v>
      </c>
      <c r="Q43" s="13"/>
      <c r="R43" s="32">
        <f>IF(P$12=0,0,P43/P$12)</f>
        <v>0</v>
      </c>
      <c r="S43" s="13"/>
      <c r="T43" s="30">
        <f>SUM(T40:T42)</f>
        <v>-4004</v>
      </c>
      <c r="U43" s="13"/>
      <c r="V43" s="32">
        <f>IF(T$12=0,0,T43/T$12)</f>
        <v>0</v>
      </c>
      <c r="W43" s="15"/>
      <c r="X43" s="30">
        <f>+P43-T43</f>
        <v>-3166.34</v>
      </c>
      <c r="Y43" s="15"/>
      <c r="Z43" s="32">
        <f>IF(T43=0,0,X43/T43)</f>
        <v>0.79079420579420578</v>
      </c>
    </row>
    <row r="44" spans="1:26" ht="15.75" thickTop="1" x14ac:dyDescent="0.25">
      <c r="A44" s="9"/>
      <c r="C44" s="9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25">
      <c r="A45" s="9"/>
      <c r="B45" s="60">
        <v>44151.568792824073</v>
      </c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25">
      <c r="A46" s="9"/>
      <c r="B46" s="58" t="s">
        <v>314</v>
      </c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  <row r="47" spans="1:26" x14ac:dyDescent="0.25">
      <c r="A47" s="9"/>
      <c r="B47" s="53"/>
      <c r="D47" s="17"/>
      <c r="E47" s="17"/>
      <c r="G47" s="17"/>
      <c r="H47" s="17"/>
      <c r="I47" s="17"/>
      <c r="J47" s="42"/>
      <c r="K47" s="17"/>
      <c r="L47" s="17"/>
      <c r="M47" s="17"/>
      <c r="P47" s="17"/>
      <c r="Q47" s="17"/>
      <c r="R47" s="42"/>
      <c r="S47" s="17"/>
      <c r="T47" s="17"/>
      <c r="U47" s="17"/>
      <c r="V47" s="42"/>
      <c r="W47" s="17"/>
      <c r="X47" s="17"/>
    </row>
    <row r="48" spans="1:26" x14ac:dyDescent="0.25">
      <c r="D48" s="17"/>
      <c r="E48" s="17"/>
      <c r="G48" s="17"/>
      <c r="H48" s="17"/>
      <c r="I48" s="17"/>
      <c r="J48" s="42"/>
      <c r="K48" s="17"/>
      <c r="L48" s="17"/>
      <c r="M48" s="17"/>
      <c r="P48" s="17"/>
      <c r="Q48" s="17"/>
      <c r="R48" s="42"/>
      <c r="S48" s="17"/>
      <c r="T48" s="17"/>
      <c r="U48" s="17"/>
      <c r="V48" s="42"/>
      <c r="W48" s="17"/>
      <c r="X48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","455", " - ", "Vending")</f>
        <v>Department 455 - Vending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SUM(0)</f>
        <v>0</v>
      </c>
      <c r="E18" s="21"/>
      <c r="F18" s="31">
        <f>IF(D$12=0,0,D18/D$12)</f>
        <v>0</v>
      </c>
      <c r="G18" s="21"/>
      <c r="H18" s="21">
        <f>SUM(0)</f>
        <v>0</v>
      </c>
      <c r="I18" s="21"/>
      <c r="J18" s="31">
        <f>IF(H$12=0,0,H18/H$12)</f>
        <v>0</v>
      </c>
      <c r="K18" s="4"/>
      <c r="L18" s="21">
        <f>+D18-H18</f>
        <v>0</v>
      </c>
      <c r="M18" s="4"/>
      <c r="N18" s="31">
        <f>IF(H18=0,0,L18/H18)</f>
        <v>0</v>
      </c>
      <c r="O18" s="10"/>
      <c r="P18" s="21">
        <f>SUM(0)</f>
        <v>0</v>
      </c>
      <c r="Q18" s="21"/>
      <c r="R18" s="31">
        <f>IF(P$12=0,0,P18/P$12)</f>
        <v>0</v>
      </c>
      <c r="S18" s="21"/>
      <c r="T18" s="21">
        <f>SUM(0)</f>
        <v>0</v>
      </c>
      <c r="U18" s="21"/>
      <c r="V18" s="31">
        <f>IF(T$12=0,0,T18/T$12)</f>
        <v>0</v>
      </c>
      <c r="W18" s="4"/>
      <c r="X18" s="21">
        <f>+P18-T18</f>
        <v>0</v>
      </c>
      <c r="Y18" s="4"/>
      <c r="Z18" s="31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5" t="s">
        <v>0</v>
      </c>
      <c r="C20" s="10"/>
      <c r="D20" s="4">
        <f>SUM(OSRRefD25x_0)</f>
        <v>338.19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338.19</v>
      </c>
      <c r="M20" s="4"/>
      <c r="N20" s="12">
        <f t="shared" ref="N20:N22" si="3">IF(H20=0,0,L20/H20)</f>
        <v>0</v>
      </c>
      <c r="O20" s="10"/>
      <c r="P20" s="4">
        <f>SUM(OSRRefP25x_0)</f>
        <v>2527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2527</v>
      </c>
      <c r="Y20" s="4"/>
      <c r="Z20" s="12">
        <f t="shared" ref="Z20:Z22" si="7">IF(T20=0,0,X20/T20)</f>
        <v>0</v>
      </c>
    </row>
    <row r="21" spans="1:26" s="24" customFormat="1" hidden="1" outlineLevel="1" x14ac:dyDescent="0.25">
      <c r="A21" s="51"/>
      <c r="B21" s="11" t="str">
        <f>CONCATENATE("          ", "9160", " - ", "MISC. INCOME")</f>
        <v xml:space="preserve">          9160 - MISC. INCOME</v>
      </c>
      <c r="C21" s="11"/>
      <c r="D21" s="2">
        <f>--338.19</f>
        <v>338.19</v>
      </c>
      <c r="E21" s="2"/>
      <c r="F21" s="22">
        <f t="shared" si="0"/>
        <v>0</v>
      </c>
      <c r="G21" s="2"/>
      <c r="H21" s="2"/>
      <c r="I21" s="2"/>
      <c r="J21" s="22">
        <f t="shared" si="1"/>
        <v>0</v>
      </c>
      <c r="K21" s="2"/>
      <c r="L21" s="2">
        <f t="shared" si="2"/>
        <v>338.19</v>
      </c>
      <c r="M21" s="2"/>
      <c r="N21" s="22">
        <f t="shared" si="3"/>
        <v>0</v>
      </c>
      <c r="O21" s="11"/>
      <c r="P21" s="2">
        <f>--1701.82</f>
        <v>1701.82</v>
      </c>
      <c r="Q21" s="2"/>
      <c r="R21" s="22">
        <f t="shared" si="4"/>
        <v>0</v>
      </c>
      <c r="S21" s="2"/>
      <c r="T21" s="2"/>
      <c r="U21" s="2"/>
      <c r="V21" s="22">
        <f t="shared" si="5"/>
        <v>0</v>
      </c>
      <c r="W21" s="2"/>
      <c r="X21" s="2">
        <f t="shared" si="6"/>
        <v>1701.82</v>
      </c>
      <c r="Y21" s="2"/>
      <c r="Z21" s="22">
        <f t="shared" si="7"/>
        <v>0</v>
      </c>
    </row>
    <row r="22" spans="1:26" s="24" customFormat="1" hidden="1" outlineLevel="1" x14ac:dyDescent="0.25">
      <c r="A22" s="51"/>
      <c r="B22" s="11" t="str">
        <f>CONCATENATE("          ", "9165", " - ", "OTHER INCOME")</f>
        <v xml:space="preserve">          9165 - OTHER INCOME</v>
      </c>
      <c r="C22" s="11"/>
      <c r="D22" s="2">
        <f>0</f>
        <v>0</v>
      </c>
      <c r="E22" s="2"/>
      <c r="F22" s="22">
        <f t="shared" si="0"/>
        <v>0</v>
      </c>
      <c r="G22" s="2"/>
      <c r="H22" s="2"/>
      <c r="I22" s="2"/>
      <c r="J22" s="22">
        <f t="shared" si="1"/>
        <v>0</v>
      </c>
      <c r="K22" s="2"/>
      <c r="L22" s="2">
        <f t="shared" si="2"/>
        <v>0</v>
      </c>
      <c r="M22" s="2"/>
      <c r="N22" s="22">
        <f t="shared" si="3"/>
        <v>0</v>
      </c>
      <c r="O22" s="11"/>
      <c r="P22" s="2">
        <f>--825.18</f>
        <v>825.18</v>
      </c>
      <c r="Q22" s="2"/>
      <c r="R22" s="22">
        <f t="shared" si="4"/>
        <v>0</v>
      </c>
      <c r="S22" s="2"/>
      <c r="T22" s="2"/>
      <c r="U22" s="2"/>
      <c r="V22" s="22">
        <f t="shared" si="5"/>
        <v>0</v>
      </c>
      <c r="W22" s="2"/>
      <c r="X22" s="2">
        <f t="shared" si="6"/>
        <v>825.18</v>
      </c>
      <c r="Y22" s="2"/>
      <c r="Z22" s="22">
        <f t="shared" si="7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3</v>
      </c>
      <c r="C24" s="26"/>
      <c r="D24" s="20">
        <f>+D16-D18+D20</f>
        <v>338.19</v>
      </c>
      <c r="E24" s="13"/>
      <c r="F24" s="19">
        <f>IF(D$12=0,0,D24/D$12)</f>
        <v>0</v>
      </c>
      <c r="G24" s="13"/>
      <c r="H24" s="20">
        <f>+H16-H18+H20</f>
        <v>0</v>
      </c>
      <c r="I24" s="13"/>
      <c r="J24" s="19">
        <f>IF(H$12=0,0,H24/H$12)</f>
        <v>0</v>
      </c>
      <c r="K24" s="15"/>
      <c r="L24" s="20">
        <f>+D24-H24</f>
        <v>338.19</v>
      </c>
      <c r="M24" s="15"/>
      <c r="N24" s="19">
        <f>IF(H24=0,0,L24/H24)</f>
        <v>0</v>
      </c>
      <c r="O24" s="25"/>
      <c r="P24" s="20">
        <f>+P16-P18+P20</f>
        <v>2527</v>
      </c>
      <c r="Q24" s="13"/>
      <c r="R24" s="19">
        <f>IF(P$12=0,0,P24/P$12)</f>
        <v>0</v>
      </c>
      <c r="S24" s="13"/>
      <c r="T24" s="20">
        <f>+T16-T18+T20</f>
        <v>0</v>
      </c>
      <c r="U24" s="13"/>
      <c r="V24" s="19">
        <f>IF(T$12=0,0,T24/T$12)</f>
        <v>0</v>
      </c>
      <c r="W24" s="15"/>
      <c r="X24" s="20">
        <f>+P24-T24</f>
        <v>2527</v>
      </c>
      <c r="Y24" s="15"/>
      <c r="Z24" s="19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6" t="s">
        <v>4</v>
      </c>
      <c r="C28" s="26"/>
      <c r="D28" s="34">
        <f>+D24-D26</f>
        <v>338.19</v>
      </c>
      <c r="E28" s="13"/>
      <c r="F28" s="35">
        <f>IF(D$12=0,0,D28/D$12)</f>
        <v>0</v>
      </c>
      <c r="G28" s="13"/>
      <c r="H28" s="34">
        <f>+H24-H26</f>
        <v>0</v>
      </c>
      <c r="I28" s="13"/>
      <c r="J28" s="35">
        <f>IF(H$12=0,0,H28/H$12)</f>
        <v>0</v>
      </c>
      <c r="K28" s="15"/>
      <c r="L28" s="34">
        <f>D28-H28</f>
        <v>338.19</v>
      </c>
      <c r="M28" s="15"/>
      <c r="N28" s="35">
        <f>IF(H28=0,0,L28/H28)</f>
        <v>0</v>
      </c>
      <c r="O28" s="25"/>
      <c r="P28" s="34">
        <f>+P24-P26</f>
        <v>2527</v>
      </c>
      <c r="Q28" s="13"/>
      <c r="R28" s="35">
        <f>IF(P$12=0,0,P28/P$12)</f>
        <v>0</v>
      </c>
      <c r="S28" s="13"/>
      <c r="T28" s="34">
        <f>+T24-T26</f>
        <v>0</v>
      </c>
      <c r="U28" s="13"/>
      <c r="V28" s="35">
        <f>IF(T$12=0,0,T28/T$12)</f>
        <v>0</v>
      </c>
      <c r="W28" s="15"/>
      <c r="X28" s="34">
        <f>P28-T28</f>
        <v>2527</v>
      </c>
      <c r="Y28" s="15"/>
      <c r="Z28" s="35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0">
        <f>SUM(D28:D30)</f>
        <v>338.19</v>
      </c>
      <c r="E31" s="13"/>
      <c r="F31" s="32">
        <f>IF(D$12=0,0,D31/D$12)</f>
        <v>0</v>
      </c>
      <c r="G31" s="13"/>
      <c r="H31" s="30">
        <f>SUM(H28:H30)</f>
        <v>0</v>
      </c>
      <c r="I31" s="13"/>
      <c r="J31" s="32">
        <f>IF(H$12=0,0,H31/H$12)</f>
        <v>0</v>
      </c>
      <c r="K31" s="15"/>
      <c r="L31" s="30">
        <f>+D31-H31</f>
        <v>338.19</v>
      </c>
      <c r="M31" s="15"/>
      <c r="N31" s="32">
        <f>IF(H31=0,0,L31/H31)</f>
        <v>0</v>
      </c>
      <c r="O31" s="25"/>
      <c r="P31" s="30">
        <f>SUM(P28:P30)</f>
        <v>2527</v>
      </c>
      <c r="Q31" s="13"/>
      <c r="R31" s="32">
        <f>IF(P$12=0,0,P31/P$12)</f>
        <v>0</v>
      </c>
      <c r="S31" s="13"/>
      <c r="T31" s="30">
        <f>SUM(T28:T30)</f>
        <v>0</v>
      </c>
      <c r="U31" s="13"/>
      <c r="V31" s="32">
        <f>IF(T$12=0,0,T31/T$12)</f>
        <v>0</v>
      </c>
      <c r="W31" s="15"/>
      <c r="X31" s="30">
        <f>+P31-T31</f>
        <v>2527</v>
      </c>
      <c r="Y31" s="15"/>
      <c r="Z31" s="32">
        <f>IF(T31=0,0,X31/T31)</f>
        <v>0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0">
        <v>44151.568914618052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8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3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152150.81999999998</v>
      </c>
      <c r="E12" s="4"/>
      <c r="F12" s="12"/>
      <c r="G12" s="4"/>
      <c r="H12" s="4">
        <f>SUM(OSRRefH13x_0)</f>
        <v>551957</v>
      </c>
      <c r="I12" s="4"/>
      <c r="J12" s="12"/>
      <c r="K12" s="4"/>
      <c r="L12" s="4">
        <f t="shared" ref="L12:L16" si="0">+D12-H12</f>
        <v>-399806.18000000005</v>
      </c>
      <c r="M12" s="4"/>
      <c r="N12" s="12">
        <f t="shared" ref="N12:N16" si="1">IF(H12=0,0,L12/H12)</f>
        <v>-0.72434298323963653</v>
      </c>
      <c r="O12" s="10"/>
      <c r="P12" s="4">
        <f>SUM(OSRRefP13x_0)</f>
        <v>443661.80000000005</v>
      </c>
      <c r="Q12" s="4"/>
      <c r="R12" s="12"/>
      <c r="S12" s="4"/>
      <c r="T12" s="4">
        <f>SUM(OSRRefT13x_0)</f>
        <v>1150449</v>
      </c>
      <c r="U12" s="4"/>
      <c r="V12" s="12"/>
      <c r="W12" s="4"/>
      <c r="X12" s="4">
        <f t="shared" ref="X12:X16" si="2">+P12-T12</f>
        <v>-706787.2</v>
      </c>
      <c r="Y12" s="4"/>
      <c r="Z12" s="12">
        <f t="shared" ref="Z12:Z16" si="3">IF(T12=0,0,X12/T12)</f>
        <v>-0.61435769860289324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--402.44</f>
        <v>402.44</v>
      </c>
      <c r="Q13" s="2"/>
      <c r="R13" s="22"/>
      <c r="S13" s="2"/>
      <c r="T13" s="2"/>
      <c r="U13" s="2"/>
      <c r="V13" s="22"/>
      <c r="W13" s="2"/>
      <c r="X13" s="2">
        <f t="shared" si="2"/>
        <v>402.44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551957</v>
      </c>
      <c r="I14" s="2"/>
      <c r="J14" s="22"/>
      <c r="K14" s="2"/>
      <c r="L14" s="2">
        <f t="shared" si="0"/>
        <v>-551957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1150449</v>
      </c>
      <c r="U14" s="2"/>
      <c r="V14" s="22"/>
      <c r="W14" s="2"/>
      <c r="X14" s="2">
        <f t="shared" si="2"/>
        <v>-1150449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--166628.02</f>
        <v>166628.01999999999</v>
      </c>
      <c r="E15" s="2"/>
      <c r="F15" s="22"/>
      <c r="G15" s="2"/>
      <c r="H15" s="2"/>
      <c r="I15" s="2"/>
      <c r="J15" s="22"/>
      <c r="K15" s="2"/>
      <c r="L15" s="2">
        <f t="shared" si="0"/>
        <v>166628.01999999999</v>
      </c>
      <c r="M15" s="2"/>
      <c r="N15" s="22">
        <f t="shared" si="1"/>
        <v>0</v>
      </c>
      <c r="O15" s="11"/>
      <c r="P15" s="2">
        <f>--427492.78</f>
        <v>427492.78</v>
      </c>
      <c r="Q15" s="2"/>
      <c r="R15" s="22"/>
      <c r="S15" s="2"/>
      <c r="T15" s="2"/>
      <c r="U15" s="2"/>
      <c r="V15" s="22"/>
      <c r="W15" s="2"/>
      <c r="X15" s="2">
        <f t="shared" si="2"/>
        <v>427492.78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-14477.2</f>
        <v>-14477.2</v>
      </c>
      <c r="E16" s="2"/>
      <c r="F16" s="22"/>
      <c r="G16" s="2"/>
      <c r="H16" s="2"/>
      <c r="I16" s="2"/>
      <c r="J16" s="22"/>
      <c r="K16" s="2"/>
      <c r="L16" s="2">
        <f t="shared" si="0"/>
        <v>-14477.2</v>
      </c>
      <c r="M16" s="2"/>
      <c r="N16" s="22">
        <f t="shared" si="1"/>
        <v>0</v>
      </c>
      <c r="O16" s="11"/>
      <c r="P16" s="2">
        <f>--15766.58</f>
        <v>15766.58</v>
      </c>
      <c r="Q16" s="2"/>
      <c r="R16" s="22"/>
      <c r="S16" s="2"/>
      <c r="T16" s="2"/>
      <c r="U16" s="2"/>
      <c r="V16" s="22"/>
      <c r="W16" s="2"/>
      <c r="X16" s="2">
        <f t="shared" si="2"/>
        <v>15766.58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73585.929999999993</v>
      </c>
      <c r="E18" s="4"/>
      <c r="F18" s="12">
        <f t="shared" ref="F18:F21" si="5">IF(D$12=0,0,D18/D$12)</f>
        <v>0.48363807700806349</v>
      </c>
      <c r="G18" s="4"/>
      <c r="H18" s="4">
        <f>SUM(OSRRefH16x_0)</f>
        <v>146983</v>
      </c>
      <c r="I18" s="4"/>
      <c r="J18" s="12">
        <f t="shared" ref="J18:J21" si="6">IF(H$12=0,0,H18/H$12)</f>
        <v>0.26629429466425825</v>
      </c>
      <c r="K18" s="4"/>
      <c r="L18" s="4">
        <f t="shared" ref="L18:L21" si="7">+D18-H18</f>
        <v>-73397.070000000007</v>
      </c>
      <c r="M18" s="4"/>
      <c r="N18" s="12">
        <f t="shared" ref="N18:N21" si="8">IF(H18=0,0,L18/H18)</f>
        <v>-0.49935754475007321</v>
      </c>
      <c r="O18" s="10"/>
      <c r="P18" s="4">
        <f>SUM(OSRRefP16x_0)</f>
        <v>174994.77000000002</v>
      </c>
      <c r="Q18" s="4"/>
      <c r="R18" s="12">
        <f t="shared" ref="R18:R21" si="9">IF(P$12=0,0,P18/P$12)</f>
        <v>0.39443280895492916</v>
      </c>
      <c r="S18" s="4"/>
      <c r="T18" s="4">
        <f>SUM(OSRRefT16x_0)</f>
        <v>320012</v>
      </c>
      <c r="U18" s="4"/>
      <c r="V18" s="12">
        <f t="shared" ref="V18:V21" si="10">IF(T$12=0,0,T18/T$12)</f>
        <v>0.27816269995453952</v>
      </c>
      <c r="W18" s="4"/>
      <c r="X18" s="4">
        <f t="shared" ref="X18:X21" si="11">+P18-T18</f>
        <v>-145017.22999999998</v>
      </c>
      <c r="Y18" s="4"/>
      <c r="Z18" s="12">
        <f t="shared" ref="Z18:Z21" si="12">IF(T18=0,0,X18/T18)</f>
        <v>-0.45316185018061816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5"/>
        <v>0</v>
      </c>
      <c r="G19" s="2"/>
      <c r="H19" s="2">
        <v>146983</v>
      </c>
      <c r="I19" s="2"/>
      <c r="J19" s="22">
        <f t="shared" si="6"/>
        <v>0.26629429466425825</v>
      </c>
      <c r="K19" s="2"/>
      <c r="L19" s="2">
        <f t="shared" si="7"/>
        <v>-146983</v>
      </c>
      <c r="M19" s="2"/>
      <c r="N19" s="22">
        <f t="shared" si="8"/>
        <v>-1</v>
      </c>
      <c r="O19" s="11"/>
      <c r="P19" s="2"/>
      <c r="Q19" s="2"/>
      <c r="R19" s="22">
        <f t="shared" si="9"/>
        <v>0</v>
      </c>
      <c r="S19" s="2"/>
      <c r="T19" s="2">
        <v>320012</v>
      </c>
      <c r="U19" s="2"/>
      <c r="V19" s="22">
        <f t="shared" si="10"/>
        <v>0.27816269995453952</v>
      </c>
      <c r="W19" s="2"/>
      <c r="X19" s="2">
        <f t="shared" si="11"/>
        <v>-320012</v>
      </c>
      <c r="Y19" s="2"/>
      <c r="Z19" s="22">
        <f t="shared" si="12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60972.029999999992</v>
      </c>
      <c r="E20" s="2"/>
      <c r="F20" s="22">
        <f t="shared" si="5"/>
        <v>0.40073415312516886</v>
      </c>
      <c r="G20" s="2"/>
      <c r="H20" s="2"/>
      <c r="I20" s="2"/>
      <c r="J20" s="22">
        <f t="shared" si="6"/>
        <v>0</v>
      </c>
      <c r="K20" s="2"/>
      <c r="L20" s="2">
        <f t="shared" si="7"/>
        <v>60972.029999999992</v>
      </c>
      <c r="M20" s="2"/>
      <c r="N20" s="22">
        <f t="shared" si="8"/>
        <v>0</v>
      </c>
      <c r="O20" s="11"/>
      <c r="P20" s="2">
        <v>185907.45</v>
      </c>
      <c r="Q20" s="2"/>
      <c r="R20" s="22">
        <f t="shared" si="9"/>
        <v>0.41902965276704013</v>
      </c>
      <c r="S20" s="2"/>
      <c r="T20" s="2"/>
      <c r="U20" s="2"/>
      <c r="V20" s="22">
        <f t="shared" si="10"/>
        <v>0</v>
      </c>
      <c r="W20" s="2"/>
      <c r="X20" s="2">
        <f t="shared" si="11"/>
        <v>185907.45</v>
      </c>
      <c r="Y20" s="2"/>
      <c r="Z20" s="22">
        <f t="shared" si="12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12613.9</v>
      </c>
      <c r="E21" s="2"/>
      <c r="F21" s="22">
        <f t="shared" si="5"/>
        <v>8.2903923882894623E-2</v>
      </c>
      <c r="G21" s="2"/>
      <c r="H21" s="2"/>
      <c r="I21" s="2"/>
      <c r="J21" s="22">
        <f t="shared" si="6"/>
        <v>0</v>
      </c>
      <c r="K21" s="2"/>
      <c r="L21" s="2">
        <f t="shared" si="7"/>
        <v>12613.9</v>
      </c>
      <c r="M21" s="2"/>
      <c r="N21" s="22">
        <f t="shared" si="8"/>
        <v>0</v>
      </c>
      <c r="O21" s="11"/>
      <c r="P21" s="2">
        <v>-10912.68</v>
      </c>
      <c r="Q21" s="2"/>
      <c r="R21" s="22">
        <f t="shared" si="9"/>
        <v>-2.4596843812110934E-2</v>
      </c>
      <c r="S21" s="2"/>
      <c r="T21" s="2"/>
      <c r="U21" s="2"/>
      <c r="V21" s="22">
        <f t="shared" si="10"/>
        <v>0</v>
      </c>
      <c r="W21" s="2"/>
      <c r="X21" s="2">
        <f t="shared" si="11"/>
        <v>-10912.68</v>
      </c>
      <c r="Y21" s="2"/>
      <c r="Z21" s="22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0">
        <f>D12-D18</f>
        <v>78564.889999999985</v>
      </c>
      <c r="E23" s="13"/>
      <c r="F23" s="19">
        <f>IF(D$12=0,0,D23/D$12)</f>
        <v>0.51636192299193651</v>
      </c>
      <c r="G23" s="13"/>
      <c r="H23" s="20">
        <f>H12-H18</f>
        <v>404974</v>
      </c>
      <c r="I23" s="13"/>
      <c r="J23" s="19">
        <f>IF(H$12=0,0,H23/H$12)</f>
        <v>0.73370570533574175</v>
      </c>
      <c r="K23" s="15"/>
      <c r="L23" s="20">
        <f>+D23-H23</f>
        <v>-326409.11</v>
      </c>
      <c r="M23" s="15"/>
      <c r="N23" s="19">
        <f>IF(H23=0,0,L23/H23)</f>
        <v>-0.80600016297342547</v>
      </c>
      <c r="O23" s="25"/>
      <c r="P23" s="20">
        <f>P12-P18</f>
        <v>268667.03000000003</v>
      </c>
      <c r="Q23" s="13"/>
      <c r="R23" s="19">
        <f>IF(P$12=0,0,P23/P$12)</f>
        <v>0.60556719104507084</v>
      </c>
      <c r="S23" s="13"/>
      <c r="T23" s="20">
        <f>T12-T18</f>
        <v>830437</v>
      </c>
      <c r="U23" s="13"/>
      <c r="V23" s="19">
        <f>IF(T$12=0,0,T23/T$12)</f>
        <v>0.72183730004546054</v>
      </c>
      <c r="W23" s="15"/>
      <c r="X23" s="20">
        <f>+P23-T23</f>
        <v>-561769.97</v>
      </c>
      <c r="Y23" s="15"/>
      <c r="Z23" s="19">
        <f>IF(T23=0,0,X23/T23)</f>
        <v>-0.67647512093030537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1">
        <f>SUM(OSRRefD22x_0)</f>
        <v>287908.50999999995</v>
      </c>
      <c r="E25" s="21"/>
      <c r="F25" s="31">
        <f t="shared" ref="F25:F36" si="13">IF(D$12=0,0,D25/D$12)</f>
        <v>1.8922573667365052</v>
      </c>
      <c r="G25" s="21"/>
      <c r="H25" s="21">
        <f>SUM(OSRRefH22x_0)</f>
        <v>431030.45513015758</v>
      </c>
      <c r="I25" s="21"/>
      <c r="J25" s="31">
        <f t="shared" ref="J25:J36" si="14">IF(H$12=0,0,H25/H$12)</f>
        <v>0.78091310578569995</v>
      </c>
      <c r="K25" s="4"/>
      <c r="L25" s="21">
        <f t="shared" ref="L25:L36" si="15">+D25-H25</f>
        <v>-143121.94513015763</v>
      </c>
      <c r="M25" s="4"/>
      <c r="N25" s="31">
        <f t="shared" ref="N25:N36" si="16">IF(H25=0,0,L25/H25)</f>
        <v>-0.33204601537248529</v>
      </c>
      <c r="O25" s="10"/>
      <c r="P25" s="21">
        <f>SUM(OSRRefP22x_0)</f>
        <v>913835.44000000029</v>
      </c>
      <c r="Q25" s="21"/>
      <c r="R25" s="31">
        <f t="shared" ref="R25:R36" si="17">IF(P$12=0,0,P25/P$12)</f>
        <v>2.0597568688582162</v>
      </c>
      <c r="S25" s="21"/>
      <c r="T25" s="21">
        <f>SUM(OSRRefT22x_0)</f>
        <v>1396628.3217483175</v>
      </c>
      <c r="U25" s="21"/>
      <c r="V25" s="31">
        <f t="shared" ref="V25:V36" si="18">IF(T$12=0,0,T25/T$12)</f>
        <v>1.2139854280792259</v>
      </c>
      <c r="W25" s="4"/>
      <c r="X25" s="21">
        <f t="shared" ref="X25:X36" si="19">+P25-T25</f>
        <v>-482792.88174831716</v>
      </c>
      <c r="Y25" s="4"/>
      <c r="Z25" s="31">
        <f t="shared" ref="Z25:Z36" si="20">IF(T25=0,0,X25/T25)</f>
        <v>-0.34568458496097998</v>
      </c>
    </row>
    <row r="26" spans="1:26" s="27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86647.97</v>
      </c>
      <c r="E26" s="1"/>
      <c r="F26" s="5">
        <f t="shared" si="13"/>
        <v>0.56948736786301912</v>
      </c>
      <c r="G26" s="1"/>
      <c r="H26" s="1">
        <f>SUM(OSRRefH22_0x_0)</f>
        <v>117319.0630320807</v>
      </c>
      <c r="I26" s="1"/>
      <c r="J26" s="5">
        <f t="shared" si="14"/>
        <v>0.21255109190042104</v>
      </c>
      <c r="K26" s="1"/>
      <c r="L26" s="1">
        <f t="shared" si="15"/>
        <v>-30671.093032080695</v>
      </c>
      <c r="M26" s="1"/>
      <c r="N26" s="5">
        <f t="shared" si="16"/>
        <v>-0.26143315706240966</v>
      </c>
      <c r="O26" s="14"/>
      <c r="P26" s="1">
        <f>SUM(OSRRefP22_0x_0)</f>
        <v>306774.55999999994</v>
      </c>
      <c r="Q26" s="1"/>
      <c r="R26" s="5">
        <f t="shared" si="17"/>
        <v>0.69146038716878466</v>
      </c>
      <c r="S26" s="1"/>
      <c r="T26" s="1">
        <f>SUM(OSRRefT22_0x_0)</f>
        <v>424002.64393024065</v>
      </c>
      <c r="U26" s="1"/>
      <c r="V26" s="5">
        <f t="shared" si="18"/>
        <v>0.36855405492137472</v>
      </c>
      <c r="W26" s="1"/>
      <c r="X26" s="1">
        <f t="shared" si="19"/>
        <v>-117228.08393024071</v>
      </c>
      <c r="Y26" s="1"/>
      <c r="Z26" s="5">
        <f t="shared" si="20"/>
        <v>-0.27647960598455079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7">
        <v>12597.07</v>
      </c>
      <c r="E27" s="2"/>
      <c r="F27" s="6">
        <f t="shared" si="13"/>
        <v>8.2793309953899705E-2</v>
      </c>
      <c r="G27" s="2"/>
      <c r="H27" s="7">
        <v>12544.711415446149</v>
      </c>
      <c r="I27" s="2"/>
      <c r="J27" s="6">
        <f t="shared" si="14"/>
        <v>2.2727696931909819E-2</v>
      </c>
      <c r="K27" s="2"/>
      <c r="L27" s="7">
        <f t="shared" si="15"/>
        <v>52.35858455385096</v>
      </c>
      <c r="M27" s="2"/>
      <c r="N27" s="6">
        <f t="shared" si="16"/>
        <v>4.1737575955220841E-3</v>
      </c>
      <c r="O27" s="11"/>
      <c r="P27" s="7">
        <v>34182.76</v>
      </c>
      <c r="Q27" s="2"/>
      <c r="R27" s="6">
        <f t="shared" si="17"/>
        <v>7.7046885713397004E-2</v>
      </c>
      <c r="S27" s="2"/>
      <c r="T27" s="7">
        <v>44777.775385606139</v>
      </c>
      <c r="U27" s="2"/>
      <c r="V27" s="6">
        <f t="shared" si="18"/>
        <v>3.892199948507595E-2</v>
      </c>
      <c r="W27" s="2"/>
      <c r="X27" s="7">
        <f t="shared" si="19"/>
        <v>-10595.015385606137</v>
      </c>
      <c r="Y27" s="2"/>
      <c r="Z27" s="6">
        <f t="shared" si="20"/>
        <v>-0.23661325946558559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7">
        <v>4831.29</v>
      </c>
      <c r="E28" s="2"/>
      <c r="F28" s="6">
        <f t="shared" si="13"/>
        <v>3.1753295841586662E-2</v>
      </c>
      <c r="G28" s="2"/>
      <c r="H28" s="7">
        <v>9337.2506947500005</v>
      </c>
      <c r="I28" s="2"/>
      <c r="J28" s="6">
        <f t="shared" si="14"/>
        <v>1.6916627010346821E-2</v>
      </c>
      <c r="K28" s="2"/>
      <c r="L28" s="7">
        <f t="shared" si="15"/>
        <v>-4505.9606947500006</v>
      </c>
      <c r="M28" s="2"/>
      <c r="N28" s="6">
        <f t="shared" si="16"/>
        <v>-0.48257895627494929</v>
      </c>
      <c r="O28" s="11"/>
      <c r="P28" s="7">
        <v>17540.63</v>
      </c>
      <c r="Q28" s="2"/>
      <c r="R28" s="6">
        <f t="shared" si="17"/>
        <v>3.9536038486973638E-2</v>
      </c>
      <c r="S28" s="2"/>
      <c r="T28" s="7">
        <v>29571.389877149999</v>
      </c>
      <c r="U28" s="2"/>
      <c r="V28" s="6">
        <f t="shared" si="18"/>
        <v>2.5704216247004429E-2</v>
      </c>
      <c r="W28" s="2"/>
      <c r="X28" s="7">
        <f t="shared" si="19"/>
        <v>-12030.759877149998</v>
      </c>
      <c r="Y28" s="2"/>
      <c r="Z28" s="6">
        <f t="shared" si="20"/>
        <v>-0.40683782287981812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7">
        <v>45706.28</v>
      </c>
      <c r="E29" s="2"/>
      <c r="F29" s="6">
        <f t="shared" si="13"/>
        <v>0.30040114144636226</v>
      </c>
      <c r="G29" s="2"/>
      <c r="H29" s="7">
        <v>69691.538461538395</v>
      </c>
      <c r="I29" s="2"/>
      <c r="J29" s="6">
        <f t="shared" si="14"/>
        <v>0.12626262274332672</v>
      </c>
      <c r="K29" s="2"/>
      <c r="L29" s="7">
        <f t="shared" si="15"/>
        <v>-23985.258461538397</v>
      </c>
      <c r="M29" s="2"/>
      <c r="N29" s="6">
        <f t="shared" si="16"/>
        <v>-0.3441631364584592</v>
      </c>
      <c r="O29" s="11"/>
      <c r="P29" s="7">
        <v>176179.34999999998</v>
      </c>
      <c r="Q29" s="2"/>
      <c r="R29" s="6">
        <f t="shared" si="17"/>
        <v>0.39710281570331263</v>
      </c>
      <c r="S29" s="2"/>
      <c r="T29" s="7">
        <v>258571.53846153838</v>
      </c>
      <c r="U29" s="2"/>
      <c r="V29" s="6">
        <f t="shared" si="18"/>
        <v>0.22475706307844884</v>
      </c>
      <c r="W29" s="2"/>
      <c r="X29" s="7">
        <f t="shared" si="19"/>
        <v>-82392.188461538404</v>
      </c>
      <c r="Y29" s="2"/>
      <c r="Z29" s="6">
        <f t="shared" si="20"/>
        <v>-0.31864368735924875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292.77999999999997</v>
      </c>
      <c r="E30" s="2"/>
      <c r="F30" s="6">
        <f t="shared" si="13"/>
        <v>1.9242748741018945E-3</v>
      </c>
      <c r="G30" s="2"/>
      <c r="H30" s="7">
        <v>565.8939815</v>
      </c>
      <c r="I30" s="2"/>
      <c r="J30" s="6">
        <f t="shared" si="14"/>
        <v>1.0252501218392012E-3</v>
      </c>
      <c r="K30" s="2"/>
      <c r="L30" s="7">
        <f t="shared" si="15"/>
        <v>-273.11398150000002</v>
      </c>
      <c r="M30" s="2"/>
      <c r="N30" s="6">
        <f t="shared" si="16"/>
        <v>-0.48262393739559506</v>
      </c>
      <c r="O30" s="11"/>
      <c r="P30" s="7">
        <v>1143.8399999999999</v>
      </c>
      <c r="Q30" s="2"/>
      <c r="R30" s="6">
        <f t="shared" si="17"/>
        <v>2.5781800461522715E-3</v>
      </c>
      <c r="S30" s="2"/>
      <c r="T30" s="7">
        <v>1792.2054471000001</v>
      </c>
      <c r="U30" s="2"/>
      <c r="V30" s="6">
        <f t="shared" si="18"/>
        <v>1.5578312876972384E-3</v>
      </c>
      <c r="W30" s="2"/>
      <c r="X30" s="7">
        <f t="shared" si="19"/>
        <v>-648.36544710000021</v>
      </c>
      <c r="Y30" s="2"/>
      <c r="Z30" s="6">
        <f t="shared" si="20"/>
        <v>-0.36176959965674249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7">
        <v>3352.04</v>
      </c>
      <c r="E31" s="2"/>
      <c r="F31" s="6">
        <f t="shared" si="13"/>
        <v>2.203103473251081E-2</v>
      </c>
      <c r="G31" s="2"/>
      <c r="H31" s="7">
        <v>5753.9292307692394</v>
      </c>
      <c r="I31" s="2"/>
      <c r="J31" s="6">
        <f t="shared" si="14"/>
        <v>1.0424596899340419E-2</v>
      </c>
      <c r="K31" s="2"/>
      <c r="L31" s="7">
        <f t="shared" si="15"/>
        <v>-2401.8892307692395</v>
      </c>
      <c r="M31" s="2"/>
      <c r="N31" s="6">
        <f t="shared" si="16"/>
        <v>-0.41743461458043207</v>
      </c>
      <c r="O31" s="11"/>
      <c r="P31" s="7">
        <v>15900.16</v>
      </c>
      <c r="Q31" s="2"/>
      <c r="R31" s="6">
        <f t="shared" si="17"/>
        <v>3.5838469753312091E-2</v>
      </c>
      <c r="S31" s="2"/>
      <c r="T31" s="7">
        <v>20714.145230769263</v>
      </c>
      <c r="U31" s="2"/>
      <c r="V31" s="6">
        <f t="shared" si="18"/>
        <v>1.800527031686695E-2</v>
      </c>
      <c r="W31" s="2"/>
      <c r="X31" s="7">
        <f t="shared" si="19"/>
        <v>-4813.9852307692636</v>
      </c>
      <c r="Y31" s="2"/>
      <c r="Z31" s="6">
        <f t="shared" si="20"/>
        <v>-0.23240086313667727</v>
      </c>
    </row>
    <row r="32" spans="1:26" s="24" customFormat="1" hidden="1" outlineLevel="2" x14ac:dyDescent="0.25">
      <c r="A32" s="28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8"/>
      <c r="B33" s="11" t="str">
        <f>CONCATENATE("          ", "6117", " - ", "RETIREMENT STAFF HOURLY")</f>
        <v xml:space="preserve">          6117 - RETIREMENT STAFF HOURLY</v>
      </c>
      <c r="C33" s="11"/>
      <c r="D33" s="7">
        <v>1396.69</v>
      </c>
      <c r="E33" s="2"/>
      <c r="F33" s="6">
        <f t="shared" si="13"/>
        <v>9.1796416213859398E-3</v>
      </c>
      <c r="G33" s="2"/>
      <c r="H33" s="7"/>
      <c r="I33" s="2"/>
      <c r="J33" s="6">
        <f t="shared" si="14"/>
        <v>0</v>
      </c>
      <c r="K33" s="2"/>
      <c r="L33" s="7">
        <f t="shared" si="15"/>
        <v>1396.69</v>
      </c>
      <c r="M33" s="2"/>
      <c r="N33" s="6">
        <f t="shared" si="16"/>
        <v>0</v>
      </c>
      <c r="O33" s="11"/>
      <c r="P33" s="7">
        <v>6266.31</v>
      </c>
      <c r="Q33" s="2"/>
      <c r="R33" s="6">
        <f t="shared" si="17"/>
        <v>1.412406927979826E-2</v>
      </c>
      <c r="S33" s="2"/>
      <c r="T33" s="7"/>
      <c r="U33" s="2"/>
      <c r="V33" s="6">
        <f t="shared" si="18"/>
        <v>0</v>
      </c>
      <c r="W33" s="2"/>
      <c r="X33" s="7">
        <f t="shared" si="19"/>
        <v>6266.31</v>
      </c>
      <c r="Y33" s="2"/>
      <c r="Z33" s="6">
        <f t="shared" si="20"/>
        <v>0</v>
      </c>
    </row>
    <row r="34" spans="1:26" s="24" customFormat="1" hidden="1" outlineLevel="2" x14ac:dyDescent="0.25">
      <c r="A34" s="28"/>
      <c r="B34" s="11" t="str">
        <f>CONCATENATE("          ", "6118", " - ", "VACATION")</f>
        <v xml:space="preserve">          6118 - VACATION</v>
      </c>
      <c r="C34" s="11"/>
      <c r="D34" s="7">
        <v>9308.25</v>
      </c>
      <c r="E34" s="2"/>
      <c r="F34" s="6">
        <f t="shared" si="13"/>
        <v>6.117778399091113E-2</v>
      </c>
      <c r="G34" s="2"/>
      <c r="H34" s="7">
        <v>8445.1098461538404</v>
      </c>
      <c r="I34" s="2"/>
      <c r="J34" s="6">
        <f t="shared" si="14"/>
        <v>1.5300303911634132E-2</v>
      </c>
      <c r="K34" s="2"/>
      <c r="L34" s="7">
        <f t="shared" si="15"/>
        <v>863.14015384615959</v>
      </c>
      <c r="M34" s="2"/>
      <c r="N34" s="6">
        <f t="shared" si="16"/>
        <v>0.10220591200945241</v>
      </c>
      <c r="O34" s="11"/>
      <c r="P34" s="7">
        <v>27045.66</v>
      </c>
      <c r="Q34" s="2"/>
      <c r="R34" s="6">
        <f t="shared" si="17"/>
        <v>6.0960082657555814E-2</v>
      </c>
      <c r="S34" s="2"/>
      <c r="T34" s="7">
        <v>30402.395446153838</v>
      </c>
      <c r="U34" s="2"/>
      <c r="V34" s="6">
        <f t="shared" si="18"/>
        <v>2.6426547761920639E-2</v>
      </c>
      <c r="W34" s="2"/>
      <c r="X34" s="7">
        <f t="shared" si="19"/>
        <v>-3356.735446153838</v>
      </c>
      <c r="Y34" s="2"/>
      <c r="Z34" s="6">
        <f t="shared" si="20"/>
        <v>-0.11041022909194788</v>
      </c>
    </row>
    <row r="35" spans="1:26" s="24" customFormat="1" hidden="1" outlineLevel="2" x14ac:dyDescent="0.25">
      <c r="A35" s="28"/>
      <c r="B35" s="11" t="str">
        <f>CONCATENATE("          ", "6119", " - ", "SICK LEAVE")</f>
        <v xml:space="preserve">          6119 - SICK LEAVE</v>
      </c>
      <c r="C35" s="11"/>
      <c r="D35" s="7">
        <v>6012.99</v>
      </c>
      <c r="E35" s="2"/>
      <c r="F35" s="6">
        <f t="shared" si="13"/>
        <v>3.9519931604706439E-2</v>
      </c>
      <c r="G35" s="2"/>
      <c r="H35" s="7">
        <v>7305.62940192307</v>
      </c>
      <c r="I35" s="2"/>
      <c r="J35" s="6">
        <f t="shared" si="14"/>
        <v>1.3235866927900308E-2</v>
      </c>
      <c r="K35" s="2"/>
      <c r="L35" s="7">
        <f t="shared" si="15"/>
        <v>-1292.6394019230702</v>
      </c>
      <c r="M35" s="2"/>
      <c r="N35" s="6">
        <f t="shared" si="16"/>
        <v>-0.17693744519572907</v>
      </c>
      <c r="O35" s="11"/>
      <c r="P35" s="7">
        <v>18248.670000000002</v>
      </c>
      <c r="Q35" s="2"/>
      <c r="R35" s="6">
        <f t="shared" si="17"/>
        <v>4.1131938787608041E-2</v>
      </c>
      <c r="S35" s="2"/>
      <c r="T35" s="7">
        <v>23473.194081923059</v>
      </c>
      <c r="U35" s="2"/>
      <c r="V35" s="6">
        <f t="shared" si="18"/>
        <v>2.0403506875944138E-2</v>
      </c>
      <c r="W35" s="2"/>
      <c r="X35" s="7">
        <f t="shared" si="19"/>
        <v>-5224.5240819230567</v>
      </c>
      <c r="Y35" s="2"/>
      <c r="Z35" s="6">
        <f t="shared" si="20"/>
        <v>-0.22257405888986004</v>
      </c>
    </row>
    <row r="36" spans="1:26" s="24" customFormat="1" hidden="1" outlineLevel="2" x14ac:dyDescent="0.25">
      <c r="A36" s="28"/>
      <c r="B36" s="11" t="str">
        <f>CONCATENATE("          ", "6156", " - ", "EMPLOYEE MEALS")</f>
        <v xml:space="preserve">          6156 - EMPLOYEE MEALS</v>
      </c>
      <c r="C36" s="11"/>
      <c r="D36" s="7">
        <v>3150.58</v>
      </c>
      <c r="E36" s="2"/>
      <c r="F36" s="6">
        <f t="shared" si="13"/>
        <v>2.0706953797554297E-2</v>
      </c>
      <c r="G36" s="2"/>
      <c r="H36" s="7">
        <v>3675</v>
      </c>
      <c r="I36" s="2"/>
      <c r="J36" s="6">
        <f t="shared" si="14"/>
        <v>6.6581273541236E-3</v>
      </c>
      <c r="K36" s="2"/>
      <c r="L36" s="7">
        <f t="shared" si="15"/>
        <v>-524.42000000000007</v>
      </c>
      <c r="M36" s="2"/>
      <c r="N36" s="6">
        <f t="shared" si="16"/>
        <v>-0.14269931972789118</v>
      </c>
      <c r="O36" s="11"/>
      <c r="P36" s="7">
        <v>10267.18</v>
      </c>
      <c r="Q36" s="2"/>
      <c r="R36" s="6">
        <f t="shared" si="17"/>
        <v>2.314190674067499E-2</v>
      </c>
      <c r="S36" s="2"/>
      <c r="T36" s="7">
        <v>14700</v>
      </c>
      <c r="U36" s="2"/>
      <c r="V36" s="6">
        <f t="shared" si="18"/>
        <v>1.2777619868416593E-2</v>
      </c>
      <c r="W36" s="2"/>
      <c r="X36" s="7">
        <f t="shared" si="19"/>
        <v>-4432.82</v>
      </c>
      <c r="Y36" s="2"/>
      <c r="Z36" s="6">
        <f t="shared" si="20"/>
        <v>-0.30155238095238091</v>
      </c>
    </row>
    <row r="37" spans="1:26" s="27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143698.02999999997</v>
      </c>
      <c r="E37" s="1"/>
      <c r="F37" s="5">
        <f t="shared" ref="F37:F47" si="21">IF(D$12=0,0,D37/D$12)</f>
        <v>0.94444466352530987</v>
      </c>
      <c r="G37" s="1"/>
      <c r="H37" s="1">
        <f>SUM(OSRRefH22_1x_0)</f>
        <v>202738.39209807687</v>
      </c>
      <c r="I37" s="1"/>
      <c r="J37" s="5">
        <f t="shared" ref="J37:J47" si="22">IF(H$12=0,0,H37/H$12)</f>
        <v>0.3673083086147596</v>
      </c>
      <c r="K37" s="1"/>
      <c r="L37" s="1">
        <f t="shared" ref="L37:L47" si="23">+D37-H37</f>
        <v>-59040.362098076905</v>
      </c>
      <c r="M37" s="1"/>
      <c r="N37" s="5">
        <f t="shared" ref="N37:N47" si="24">IF(H37=0,0,L37/H37)</f>
        <v>-0.29121451288572664</v>
      </c>
      <c r="O37" s="14"/>
      <c r="P37" s="1">
        <f>SUM(OSRRefP22_1x_0)</f>
        <v>438311.68000000005</v>
      </c>
      <c r="Q37" s="1"/>
      <c r="R37" s="5">
        <f t="shared" ref="R37:R47" si="25">IF(P$12=0,0,P37/P$12)</f>
        <v>0.9879409946946075</v>
      </c>
      <c r="S37" s="1"/>
      <c r="T37" s="1">
        <f>SUM(OSRRefT22_1x_0)</f>
        <v>637135.6778180768</v>
      </c>
      <c r="U37" s="1"/>
      <c r="V37" s="5">
        <f t="shared" ref="V37:V47" si="26">IF(T$12=0,0,T37/T$12)</f>
        <v>0.55381479563029457</v>
      </c>
      <c r="W37" s="1"/>
      <c r="X37" s="1">
        <f t="shared" ref="X37:X47" si="27">+P37-T37</f>
        <v>-198823.99781807675</v>
      </c>
      <c r="Y37" s="1"/>
      <c r="Z37" s="5">
        <f t="shared" ref="Z37:Z47" si="28">IF(T37=0,0,X37/T37)</f>
        <v>-0.31205911823830956</v>
      </c>
    </row>
    <row r="38" spans="1:26" s="24" customFormat="1" hidden="1" outlineLevel="2" x14ac:dyDescent="0.25">
      <c r="A38" s="28"/>
      <c r="B38" s="11" t="str">
        <f>CONCATENATE("          ", "6001", " - ", "ADMINISTRATIVE SALARIES")</f>
        <v xml:space="preserve">          6001 - ADMINISTRATIVE SALARIES</v>
      </c>
      <c r="C38" s="11"/>
      <c r="D38" s="7">
        <v>11199.31</v>
      </c>
      <c r="E38" s="2"/>
      <c r="F38" s="6">
        <f t="shared" si="21"/>
        <v>7.3606635836730952E-2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11199.31</v>
      </c>
      <c r="M38" s="2"/>
      <c r="N38" s="6">
        <f t="shared" si="24"/>
        <v>0</v>
      </c>
      <c r="O38" s="11"/>
      <c r="P38" s="7">
        <v>36734.11</v>
      </c>
      <c r="Q38" s="2"/>
      <c r="R38" s="6">
        <f t="shared" si="25"/>
        <v>8.2797549845400248E-2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36734.11</v>
      </c>
      <c r="Y38" s="2"/>
      <c r="Z38" s="6">
        <f t="shared" si="28"/>
        <v>0</v>
      </c>
    </row>
    <row r="39" spans="1:26" s="24" customFormat="1" hidden="1" outlineLevel="2" x14ac:dyDescent="0.25">
      <c r="A39" s="28"/>
      <c r="B39" s="11" t="str">
        <f>CONCATENATE("          ", "6002", " - ", "STAFF SALARIES")</f>
        <v xml:space="preserve">          6002 - STAFF SALARIES</v>
      </c>
      <c r="C39" s="11"/>
      <c r="D39" s="7">
        <v>31630.769999999997</v>
      </c>
      <c r="E39" s="2"/>
      <c r="F39" s="6">
        <f t="shared" si="21"/>
        <v>0.20789089404841854</v>
      </c>
      <c r="G39" s="2"/>
      <c r="H39" s="7">
        <v>60354.651923076897</v>
      </c>
      <c r="I39" s="2"/>
      <c r="J39" s="6">
        <f t="shared" si="22"/>
        <v>0.10934665548779506</v>
      </c>
      <c r="K39" s="2"/>
      <c r="L39" s="7">
        <f t="shared" si="23"/>
        <v>-28723.8819230769</v>
      </c>
      <c r="M39" s="2"/>
      <c r="N39" s="6">
        <f t="shared" si="24"/>
        <v>-0.47591827651803892</v>
      </c>
      <c r="O39" s="11"/>
      <c r="P39" s="7">
        <v>121554.59999999999</v>
      </c>
      <c r="Q39" s="2"/>
      <c r="R39" s="6">
        <f t="shared" si="25"/>
        <v>0.27398031563682063</v>
      </c>
      <c r="S39" s="2"/>
      <c r="T39" s="7">
        <v>217276.74692307689</v>
      </c>
      <c r="U39" s="2"/>
      <c r="V39" s="6">
        <f t="shared" si="26"/>
        <v>0.1888625631584511</v>
      </c>
      <c r="W39" s="2"/>
      <c r="X39" s="7">
        <f t="shared" si="27"/>
        <v>-95722.1469230769</v>
      </c>
      <c r="Y39" s="2"/>
      <c r="Z39" s="6">
        <f t="shared" si="28"/>
        <v>-0.44055403202886539</v>
      </c>
    </row>
    <row r="40" spans="1:26" s="24" customFormat="1" hidden="1" outlineLevel="2" x14ac:dyDescent="0.25">
      <c r="A40" s="28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8"/>
      <c r="B41" s="11" t="str">
        <f>CONCATENATE("          ", "6004", " - ", "STAFF HOURLY")</f>
        <v xml:space="preserve">          6004 - STAFF HOURLY</v>
      </c>
      <c r="C41" s="11"/>
      <c r="D41" s="7">
        <v>67702.179999999993</v>
      </c>
      <c r="E41" s="2"/>
      <c r="F41" s="6">
        <f t="shared" si="21"/>
        <v>0.44496756573510415</v>
      </c>
      <c r="G41" s="2"/>
      <c r="H41" s="7">
        <v>89843.062399999995</v>
      </c>
      <c r="I41" s="2"/>
      <c r="J41" s="6">
        <f t="shared" si="22"/>
        <v>0.1627718507057615</v>
      </c>
      <c r="K41" s="2"/>
      <c r="L41" s="7">
        <f t="shared" si="23"/>
        <v>-22140.882400000002</v>
      </c>
      <c r="M41" s="2"/>
      <c r="N41" s="6">
        <f t="shared" si="24"/>
        <v>-0.24643953365507723</v>
      </c>
      <c r="O41" s="11"/>
      <c r="P41" s="7">
        <v>191347.69</v>
      </c>
      <c r="Q41" s="2"/>
      <c r="R41" s="6">
        <f t="shared" si="25"/>
        <v>0.43129178577015193</v>
      </c>
      <c r="S41" s="2"/>
      <c r="T41" s="7">
        <v>304139.02463999996</v>
      </c>
      <c r="U41" s="2"/>
      <c r="V41" s="6">
        <f t="shared" si="26"/>
        <v>0.26436549959189842</v>
      </c>
      <c r="W41" s="2"/>
      <c r="X41" s="7">
        <f t="shared" si="27"/>
        <v>-112791.33463999996</v>
      </c>
      <c r="Y41" s="2"/>
      <c r="Z41" s="6">
        <f t="shared" si="28"/>
        <v>-0.3708545286929476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7">
        <v>23204.070000000003</v>
      </c>
      <c r="E42" s="2"/>
      <c r="F42" s="6">
        <f t="shared" si="21"/>
        <v>0.15250703216716155</v>
      </c>
      <c r="G42" s="2"/>
      <c r="H42" s="7">
        <v>9353.377774999999</v>
      </c>
      <c r="I42" s="2"/>
      <c r="J42" s="6">
        <f t="shared" si="22"/>
        <v>1.6945845011477341E-2</v>
      </c>
      <c r="K42" s="2"/>
      <c r="L42" s="7">
        <f t="shared" si="23"/>
        <v>13850.692225000004</v>
      </c>
      <c r="M42" s="2"/>
      <c r="N42" s="6">
        <f t="shared" si="24"/>
        <v>1.4808224962345227</v>
      </c>
      <c r="O42" s="11"/>
      <c r="P42" s="7">
        <v>37723.81</v>
      </c>
      <c r="Q42" s="2"/>
      <c r="R42" s="6">
        <f t="shared" si="25"/>
        <v>8.5028303090326898E-2</v>
      </c>
      <c r="S42" s="2"/>
      <c r="T42" s="7">
        <v>26140.376254999999</v>
      </c>
      <c r="U42" s="2"/>
      <c r="V42" s="6">
        <f t="shared" si="26"/>
        <v>2.2721890544474373E-2</v>
      </c>
      <c r="W42" s="2"/>
      <c r="X42" s="7">
        <f t="shared" si="27"/>
        <v>11583.433744999998</v>
      </c>
      <c r="Y42" s="2"/>
      <c r="Z42" s="6">
        <f t="shared" si="28"/>
        <v>0.44312421642302785</v>
      </c>
    </row>
    <row r="43" spans="1:26" s="24" customFormat="1" hidden="1" outlineLevel="2" x14ac:dyDescent="0.25">
      <c r="A43" s="28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8"/>
      <c r="B44" s="11" t="str">
        <f>CONCATENATE("          ", "6007", " - ", "STUDENT HOURLY")</f>
        <v xml:space="preserve">          6007 - STUDENT HOURLY</v>
      </c>
      <c r="C44" s="11"/>
      <c r="D44" s="7">
        <v>5969.4</v>
      </c>
      <c r="E44" s="2"/>
      <c r="F44" s="6">
        <f t="shared" si="21"/>
        <v>3.9233439556881786E-2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5969.4</v>
      </c>
      <c r="M44" s="2"/>
      <c r="N44" s="6">
        <f t="shared" si="24"/>
        <v>0</v>
      </c>
      <c r="O44" s="11"/>
      <c r="P44" s="7">
        <v>43256.51</v>
      </c>
      <c r="Q44" s="2"/>
      <c r="R44" s="6">
        <f t="shared" si="25"/>
        <v>9.7498838078915059E-2</v>
      </c>
      <c r="S44" s="2"/>
      <c r="T44" s="7">
        <v>13860.33</v>
      </c>
      <c r="U44" s="2"/>
      <c r="V44" s="6">
        <f t="shared" si="26"/>
        <v>1.2047757006177587E-2</v>
      </c>
      <c r="W44" s="2"/>
      <c r="X44" s="7">
        <f t="shared" si="27"/>
        <v>29396.18</v>
      </c>
      <c r="Y44" s="2"/>
      <c r="Z44" s="6">
        <f t="shared" si="28"/>
        <v>2.1208860106505401</v>
      </c>
    </row>
    <row r="45" spans="1:26" s="24" customFormat="1" hidden="1" outlineLevel="2" x14ac:dyDescent="0.25">
      <c r="A45" s="28"/>
      <c r="B45" s="11" t="str">
        <f>CONCATENATE("          ", "6008", " - ", "STUDENT HOURLY-FICA EXEMPT")</f>
        <v xml:space="preserve">          6008 - STUDENT HOURLY-FICA EXEMPT</v>
      </c>
      <c r="C45" s="11"/>
      <c r="D45" s="7">
        <v>3992.3</v>
      </c>
      <c r="E45" s="2"/>
      <c r="F45" s="6">
        <f t="shared" si="21"/>
        <v>2.6239096181013027E-2</v>
      </c>
      <c r="G45" s="2"/>
      <c r="H45" s="7">
        <v>43187.299999999996</v>
      </c>
      <c r="I45" s="2"/>
      <c r="J45" s="6">
        <f t="shared" si="22"/>
        <v>7.8243957409725756E-2</v>
      </c>
      <c r="K45" s="2"/>
      <c r="L45" s="7">
        <f t="shared" si="23"/>
        <v>-39194.999999999993</v>
      </c>
      <c r="M45" s="2"/>
      <c r="N45" s="6">
        <f t="shared" si="24"/>
        <v>-0.90755847205081119</v>
      </c>
      <c r="O45" s="11"/>
      <c r="P45" s="7">
        <v>7694.96</v>
      </c>
      <c r="Q45" s="2"/>
      <c r="R45" s="6">
        <f t="shared" si="25"/>
        <v>1.7344202272992625E-2</v>
      </c>
      <c r="S45" s="2"/>
      <c r="T45" s="7">
        <v>75719.199999999997</v>
      </c>
      <c r="U45" s="2"/>
      <c r="V45" s="6">
        <f t="shared" si="26"/>
        <v>6.5817085329293173E-2</v>
      </c>
      <c r="W45" s="2"/>
      <c r="X45" s="7">
        <f t="shared" si="27"/>
        <v>-68024.239999999991</v>
      </c>
      <c r="Y45" s="2"/>
      <c r="Z45" s="6">
        <f t="shared" si="28"/>
        <v>-0.89837504886475283</v>
      </c>
    </row>
    <row r="46" spans="1:26" s="24" customFormat="1" hidden="1" outlineLevel="2" x14ac:dyDescent="0.25">
      <c r="A46" s="28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8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7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71" si="29">IF(D$12=0,0,D48/D$12)</f>
        <v>0</v>
      </c>
      <c r="G48" s="1"/>
      <c r="H48" s="1">
        <f>SUM(OSRRefH22_2x_0)</f>
        <v>1169</v>
      </c>
      <c r="I48" s="1"/>
      <c r="J48" s="5">
        <f t="shared" ref="J48:J71" si="30">IF(H$12=0,0,H48/H$12)</f>
        <v>2.1179186059783642E-3</v>
      </c>
      <c r="K48" s="1"/>
      <c r="L48" s="1">
        <f t="shared" ref="L48:L71" si="31">+D48-H48</f>
        <v>-1169</v>
      </c>
      <c r="M48" s="1"/>
      <c r="N48" s="5">
        <f t="shared" ref="N48:N71" si="32">IF(H48=0,0,L48/H48)</f>
        <v>-1</v>
      </c>
      <c r="O48" s="14"/>
      <c r="P48" s="1">
        <f>SUM(OSRRefP22_2x_0)</f>
        <v>1429</v>
      </c>
      <c r="Q48" s="1"/>
      <c r="R48" s="5">
        <f t="shared" ref="R48:R71" si="33">IF(P$12=0,0,P48/P$12)</f>
        <v>3.2209218823887921E-3</v>
      </c>
      <c r="S48" s="1"/>
      <c r="T48" s="1">
        <f>SUM(OSRRefT22_2x_0)</f>
        <v>4776</v>
      </c>
      <c r="U48" s="1"/>
      <c r="V48" s="5">
        <f t="shared" ref="V48:V71" si="34">IF(T$12=0,0,T48/T$12)</f>
        <v>4.1514226184733091E-3</v>
      </c>
      <c r="W48" s="1"/>
      <c r="X48" s="1">
        <f t="shared" ref="X48:X71" si="35">+P48-T48</f>
        <v>-3347</v>
      </c>
      <c r="Y48" s="1"/>
      <c r="Z48" s="5">
        <f t="shared" ref="Z48:Z71" si="36">IF(T48=0,0,X48/T48)</f>
        <v>-0.70079564489112223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1169</v>
      </c>
      <c r="I49" s="2"/>
      <c r="J49" s="6">
        <f t="shared" si="30"/>
        <v>2.1179186059783642E-3</v>
      </c>
      <c r="K49" s="2"/>
      <c r="L49" s="7">
        <f t="shared" si="31"/>
        <v>-1169</v>
      </c>
      <c r="M49" s="2"/>
      <c r="N49" s="6">
        <f t="shared" si="32"/>
        <v>-1</v>
      </c>
      <c r="O49" s="11"/>
      <c r="P49" s="7">
        <v>1429</v>
      </c>
      <c r="Q49" s="2"/>
      <c r="R49" s="6">
        <f t="shared" si="33"/>
        <v>3.2209218823887921E-3</v>
      </c>
      <c r="S49" s="2"/>
      <c r="T49" s="7">
        <v>4776</v>
      </c>
      <c r="U49" s="2"/>
      <c r="V49" s="6">
        <f t="shared" si="34"/>
        <v>4.1514226184733091E-3</v>
      </c>
      <c r="W49" s="2"/>
      <c r="X49" s="7">
        <f t="shared" si="35"/>
        <v>-3347</v>
      </c>
      <c r="Y49" s="2"/>
      <c r="Z49" s="6">
        <f t="shared" si="36"/>
        <v>-0.70079564489112223</v>
      </c>
    </row>
    <row r="50" spans="1:26" s="27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8</v>
      </c>
      <c r="E50" s="1"/>
      <c r="F50" s="5">
        <f t="shared" si="29"/>
        <v>5.2579407721890693E-5</v>
      </c>
      <c r="G50" s="1"/>
      <c r="H50" s="1">
        <f>SUM(OSRRefH22_3x_0)</f>
        <v>31</v>
      </c>
      <c r="I50" s="1"/>
      <c r="J50" s="5">
        <f t="shared" si="30"/>
        <v>5.6163795368117441E-5</v>
      </c>
      <c r="K50" s="1"/>
      <c r="L50" s="1">
        <f t="shared" si="31"/>
        <v>-23</v>
      </c>
      <c r="M50" s="1"/>
      <c r="N50" s="5">
        <f t="shared" si="32"/>
        <v>-0.74193548387096775</v>
      </c>
      <c r="O50" s="14"/>
      <c r="P50" s="1">
        <f>SUM(OSRRefP22_3x_0)</f>
        <v>69.739999999999995</v>
      </c>
      <c r="Q50" s="1"/>
      <c r="R50" s="5">
        <f t="shared" si="33"/>
        <v>1.5719180691238234E-4</v>
      </c>
      <c r="S50" s="1"/>
      <c r="T50" s="1">
        <f>SUM(OSRRefT22_3x_0)</f>
        <v>108</v>
      </c>
      <c r="U50" s="1"/>
      <c r="V50" s="5">
        <f t="shared" si="34"/>
        <v>9.3876390869999447E-5</v>
      </c>
      <c r="W50" s="1"/>
      <c r="X50" s="1">
        <f t="shared" si="35"/>
        <v>-38.260000000000005</v>
      </c>
      <c r="Y50" s="1"/>
      <c r="Z50" s="5">
        <f t="shared" si="36"/>
        <v>-0.35425925925925933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7">
        <v>8</v>
      </c>
      <c r="E51" s="2"/>
      <c r="F51" s="6">
        <f t="shared" si="29"/>
        <v>5.2579407721890693E-5</v>
      </c>
      <c r="G51" s="2"/>
      <c r="H51" s="7">
        <v>31</v>
      </c>
      <c r="I51" s="2"/>
      <c r="J51" s="6">
        <f t="shared" si="30"/>
        <v>5.6163795368117441E-5</v>
      </c>
      <c r="K51" s="2"/>
      <c r="L51" s="7">
        <f t="shared" si="31"/>
        <v>-23</v>
      </c>
      <c r="M51" s="2"/>
      <c r="N51" s="6">
        <f t="shared" si="32"/>
        <v>-0.74193548387096775</v>
      </c>
      <c r="O51" s="11"/>
      <c r="P51" s="7">
        <v>69.739999999999995</v>
      </c>
      <c r="Q51" s="2"/>
      <c r="R51" s="6">
        <f t="shared" si="33"/>
        <v>1.5719180691238234E-4</v>
      </c>
      <c r="S51" s="2"/>
      <c r="T51" s="7">
        <v>108</v>
      </c>
      <c r="U51" s="2"/>
      <c r="V51" s="6">
        <f t="shared" si="34"/>
        <v>9.3876390869999447E-5</v>
      </c>
      <c r="W51" s="2"/>
      <c r="X51" s="7">
        <f t="shared" si="35"/>
        <v>-38.260000000000005</v>
      </c>
      <c r="Y51" s="2"/>
      <c r="Z51" s="6">
        <f t="shared" si="36"/>
        <v>-0.35425925925925933</v>
      </c>
    </row>
    <row r="52" spans="1:26" s="27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395</v>
      </c>
      <c r="I52" s="1"/>
      <c r="J52" s="5">
        <f t="shared" si="30"/>
        <v>7.1563545710988353E-4</v>
      </c>
      <c r="K52" s="1"/>
      <c r="L52" s="1">
        <f t="shared" si="31"/>
        <v>-395</v>
      </c>
      <c r="M52" s="1"/>
      <c r="N52" s="5">
        <f t="shared" si="32"/>
        <v>-1</v>
      </c>
      <c r="O52" s="14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1570</v>
      </c>
      <c r="U52" s="1"/>
      <c r="V52" s="5">
        <f t="shared" si="34"/>
        <v>1.3646845709805477E-3</v>
      </c>
      <c r="W52" s="1"/>
      <c r="X52" s="1">
        <f t="shared" si="35"/>
        <v>-1570</v>
      </c>
      <c r="Y52" s="1"/>
      <c r="Z52" s="5">
        <f t="shared" si="36"/>
        <v>-1</v>
      </c>
    </row>
    <row r="53" spans="1:26" s="24" customFormat="1" hidden="1" outlineLevel="2" x14ac:dyDescent="0.25">
      <c r="A53" s="28"/>
      <c r="B53" s="11" t="str">
        <f>CONCATENATE("          ", "6381", " - ", "BANK/CREDIT CARD FEES")</f>
        <v xml:space="preserve">          6381 - BANK/CREDIT CARD FEES</v>
      </c>
      <c r="C53" s="11"/>
      <c r="D53" s="7"/>
      <c r="E53" s="2"/>
      <c r="F53" s="6">
        <f t="shared" si="29"/>
        <v>0</v>
      </c>
      <c r="G53" s="2"/>
      <c r="H53" s="7">
        <v>395</v>
      </c>
      <c r="I53" s="2"/>
      <c r="J53" s="6">
        <f t="shared" si="30"/>
        <v>7.1563545710988353E-4</v>
      </c>
      <c r="K53" s="2"/>
      <c r="L53" s="7">
        <f t="shared" si="31"/>
        <v>-395</v>
      </c>
      <c r="M53" s="2"/>
      <c r="N53" s="6">
        <f t="shared" si="32"/>
        <v>-1</v>
      </c>
      <c r="O53" s="11"/>
      <c r="P53" s="7"/>
      <c r="Q53" s="2"/>
      <c r="R53" s="6">
        <f t="shared" si="33"/>
        <v>0</v>
      </c>
      <c r="S53" s="2"/>
      <c r="T53" s="7">
        <v>1570</v>
      </c>
      <c r="U53" s="2"/>
      <c r="V53" s="6">
        <f t="shared" si="34"/>
        <v>1.3646845709805477E-3</v>
      </c>
      <c r="W53" s="2"/>
      <c r="X53" s="7">
        <f t="shared" si="35"/>
        <v>-1570</v>
      </c>
      <c r="Y53" s="2"/>
      <c r="Z53" s="6">
        <f t="shared" si="36"/>
        <v>-1</v>
      </c>
    </row>
    <row r="54" spans="1:26" s="27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758.5</v>
      </c>
      <c r="E54" s="1"/>
      <c r="F54" s="5">
        <f t="shared" si="29"/>
        <v>4.9851850946317612E-3</v>
      </c>
      <c r="G54" s="1"/>
      <c r="H54" s="1">
        <f>SUM(OSRRefH22_5x_0)</f>
        <v>213</v>
      </c>
      <c r="I54" s="1"/>
      <c r="J54" s="5">
        <f t="shared" si="30"/>
        <v>3.8589962623900048E-4</v>
      </c>
      <c r="K54" s="1"/>
      <c r="L54" s="1">
        <f t="shared" si="31"/>
        <v>545.5</v>
      </c>
      <c r="M54" s="1"/>
      <c r="N54" s="5">
        <f t="shared" si="32"/>
        <v>2.5610328638497655</v>
      </c>
      <c r="O54" s="14"/>
      <c r="P54" s="1">
        <f>SUM(OSRRefP22_5x_0)</f>
        <v>2505.56</v>
      </c>
      <c r="Q54" s="1"/>
      <c r="R54" s="5">
        <f t="shared" si="33"/>
        <v>5.6474548856809388E-3</v>
      </c>
      <c r="S54" s="1"/>
      <c r="T54" s="1">
        <f>SUM(OSRRefT22_5x_0)</f>
        <v>852</v>
      </c>
      <c r="U54" s="1"/>
      <c r="V54" s="5">
        <f t="shared" si="34"/>
        <v>7.4058041686332903E-4</v>
      </c>
      <c r="W54" s="1"/>
      <c r="X54" s="1">
        <f t="shared" si="35"/>
        <v>1653.56</v>
      </c>
      <c r="Y54" s="1"/>
      <c r="Z54" s="5">
        <f t="shared" si="36"/>
        <v>1.9407981220657275</v>
      </c>
    </row>
    <row r="55" spans="1:26" s="24" customFormat="1" hidden="1" outlineLevel="2" x14ac:dyDescent="0.25">
      <c r="A55" s="28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758.5</v>
      </c>
      <c r="E55" s="2"/>
      <c r="F55" s="6">
        <f t="shared" si="29"/>
        <v>4.9851850946317612E-3</v>
      </c>
      <c r="G55" s="2"/>
      <c r="H55" s="7">
        <v>213</v>
      </c>
      <c r="I55" s="2"/>
      <c r="J55" s="6">
        <f t="shared" si="30"/>
        <v>3.8589962623900048E-4</v>
      </c>
      <c r="K55" s="2"/>
      <c r="L55" s="7">
        <f t="shared" si="31"/>
        <v>545.5</v>
      </c>
      <c r="M55" s="2"/>
      <c r="N55" s="6">
        <f t="shared" si="32"/>
        <v>2.5610328638497655</v>
      </c>
      <c r="O55" s="11"/>
      <c r="P55" s="7">
        <v>2505.56</v>
      </c>
      <c r="Q55" s="2"/>
      <c r="R55" s="6">
        <f t="shared" si="33"/>
        <v>5.6474548856809388E-3</v>
      </c>
      <c r="S55" s="2"/>
      <c r="T55" s="7">
        <v>852</v>
      </c>
      <c r="U55" s="2"/>
      <c r="V55" s="6">
        <f t="shared" si="34"/>
        <v>7.4058041686332903E-4</v>
      </c>
      <c r="W55" s="2"/>
      <c r="X55" s="7">
        <f t="shared" si="35"/>
        <v>1653.56</v>
      </c>
      <c r="Y55" s="2"/>
      <c r="Z55" s="6">
        <f t="shared" si="36"/>
        <v>1.9407981220657275</v>
      </c>
    </row>
    <row r="56" spans="1:26" s="27" customFormat="1" outlineLevel="1" collapsed="1" x14ac:dyDescent="0.25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11110.09</v>
      </c>
      <c r="E56" s="1"/>
      <c r="F56" s="5">
        <f t="shared" si="29"/>
        <v>7.3020243992112571E-2</v>
      </c>
      <c r="G56" s="1"/>
      <c r="H56" s="1">
        <f>SUM(OSRRefH22_6x_0)</f>
        <v>14773</v>
      </c>
      <c r="I56" s="1"/>
      <c r="J56" s="5">
        <f t="shared" si="30"/>
        <v>2.6764766095909644E-2</v>
      </c>
      <c r="K56" s="1"/>
      <c r="L56" s="1">
        <f t="shared" si="31"/>
        <v>-3662.91</v>
      </c>
      <c r="M56" s="1"/>
      <c r="N56" s="5">
        <f t="shared" si="32"/>
        <v>-0.24794625329993908</v>
      </c>
      <c r="O56" s="14"/>
      <c r="P56" s="1">
        <f>SUM(OSRRefP22_6x_0)</f>
        <v>22220.18</v>
      </c>
      <c r="Q56" s="1"/>
      <c r="R56" s="5">
        <f t="shared" si="33"/>
        <v>5.0083599714917978E-2</v>
      </c>
      <c r="S56" s="1"/>
      <c r="T56" s="1">
        <f>SUM(OSRRefT22_6x_0)</f>
        <v>39319</v>
      </c>
      <c r="U56" s="1"/>
      <c r="V56" s="5">
        <f t="shared" si="34"/>
        <v>3.4177090857569523E-2</v>
      </c>
      <c r="W56" s="1"/>
      <c r="X56" s="1">
        <f t="shared" si="35"/>
        <v>-17098.82</v>
      </c>
      <c r="Y56" s="1"/>
      <c r="Z56" s="5">
        <f t="shared" si="36"/>
        <v>-0.43487423383097229</v>
      </c>
    </row>
    <row r="57" spans="1:26" s="24" customFormat="1" hidden="1" outlineLevel="2" x14ac:dyDescent="0.25">
      <c r="A57" s="28"/>
      <c r="B57" s="11" t="str">
        <f>CONCATENATE("          ", "6399", " - ", "DONATION-ON CAMPUS")</f>
        <v xml:space="preserve">          6399 - DONATION-ON CAMPUS</v>
      </c>
      <c r="C57" s="11"/>
      <c r="D57" s="7">
        <v>11110.09</v>
      </c>
      <c r="E57" s="2"/>
      <c r="F57" s="6">
        <f t="shared" si="29"/>
        <v>7.3020243992112571E-2</v>
      </c>
      <c r="G57" s="2"/>
      <c r="H57" s="7">
        <v>14773</v>
      </c>
      <c r="I57" s="2"/>
      <c r="J57" s="6">
        <f t="shared" si="30"/>
        <v>2.6764766095909644E-2</v>
      </c>
      <c r="K57" s="2"/>
      <c r="L57" s="7">
        <f t="shared" si="31"/>
        <v>-3662.91</v>
      </c>
      <c r="M57" s="2"/>
      <c r="N57" s="6">
        <f t="shared" si="32"/>
        <v>-0.24794625329993908</v>
      </c>
      <c r="O57" s="11"/>
      <c r="P57" s="7">
        <v>22220.18</v>
      </c>
      <c r="Q57" s="2"/>
      <c r="R57" s="6">
        <f t="shared" si="33"/>
        <v>5.0083599714917978E-2</v>
      </c>
      <c r="S57" s="2"/>
      <c r="T57" s="7">
        <v>39319</v>
      </c>
      <c r="U57" s="2"/>
      <c r="V57" s="6">
        <f t="shared" si="34"/>
        <v>3.4177090857569523E-2</v>
      </c>
      <c r="W57" s="2"/>
      <c r="X57" s="7">
        <f t="shared" si="35"/>
        <v>-17098.82</v>
      </c>
      <c r="Y57" s="2"/>
      <c r="Z57" s="6">
        <f t="shared" si="36"/>
        <v>-0.43487423383097229</v>
      </c>
    </row>
    <row r="58" spans="1:26" s="27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300</v>
      </c>
      <c r="I58" s="1"/>
      <c r="J58" s="5">
        <f t="shared" si="30"/>
        <v>5.435206003366204E-4</v>
      </c>
      <c r="K58" s="1"/>
      <c r="L58" s="1">
        <f t="shared" si="31"/>
        <v>-300</v>
      </c>
      <c r="M58" s="1"/>
      <c r="N58" s="5">
        <f t="shared" si="32"/>
        <v>-1</v>
      </c>
      <c r="O58" s="14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1000</v>
      </c>
      <c r="U58" s="1"/>
      <c r="V58" s="5">
        <f t="shared" si="34"/>
        <v>8.6922584138888386E-4</v>
      </c>
      <c r="W58" s="1"/>
      <c r="X58" s="1">
        <f t="shared" si="35"/>
        <v>-1000</v>
      </c>
      <c r="Y58" s="1"/>
      <c r="Z58" s="5">
        <f t="shared" si="36"/>
        <v>-1</v>
      </c>
    </row>
    <row r="59" spans="1:26" s="24" customFormat="1" hidden="1" outlineLevel="2" x14ac:dyDescent="0.25">
      <c r="A59" s="28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9"/>
        <v>0</v>
      </c>
      <c r="G59" s="2"/>
      <c r="H59" s="7">
        <v>300</v>
      </c>
      <c r="I59" s="2"/>
      <c r="J59" s="6">
        <f t="shared" si="30"/>
        <v>5.435206003366204E-4</v>
      </c>
      <c r="K59" s="2"/>
      <c r="L59" s="7">
        <f t="shared" si="31"/>
        <v>-300</v>
      </c>
      <c r="M59" s="2"/>
      <c r="N59" s="6">
        <f t="shared" si="32"/>
        <v>-1</v>
      </c>
      <c r="O59" s="11"/>
      <c r="P59" s="7"/>
      <c r="Q59" s="2"/>
      <c r="R59" s="6">
        <f t="shared" si="33"/>
        <v>0</v>
      </c>
      <c r="S59" s="2"/>
      <c r="T59" s="7">
        <v>1000</v>
      </c>
      <c r="U59" s="2"/>
      <c r="V59" s="6">
        <f t="shared" si="34"/>
        <v>8.6922584138888386E-4</v>
      </c>
      <c r="W59" s="2"/>
      <c r="X59" s="7">
        <f t="shared" si="35"/>
        <v>-1000</v>
      </c>
      <c r="Y59" s="2"/>
      <c r="Z59" s="6">
        <f t="shared" si="36"/>
        <v>-1</v>
      </c>
    </row>
    <row r="60" spans="1:26" s="27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613.79</v>
      </c>
      <c r="E60" s="1"/>
      <c r="F60" s="5">
        <f t="shared" si="29"/>
        <v>4.0340893332024112E-3</v>
      </c>
      <c r="G60" s="1"/>
      <c r="H60" s="1">
        <f>SUM(OSRRefH22_8x_0)</f>
        <v>690</v>
      </c>
      <c r="I60" s="1"/>
      <c r="J60" s="5">
        <f t="shared" si="30"/>
        <v>1.250097380774227E-3</v>
      </c>
      <c r="K60" s="1"/>
      <c r="L60" s="1">
        <f t="shared" si="31"/>
        <v>-76.210000000000036</v>
      </c>
      <c r="M60" s="1"/>
      <c r="N60" s="5">
        <f t="shared" si="32"/>
        <v>-0.1104492753623189</v>
      </c>
      <c r="O60" s="14"/>
      <c r="P60" s="1">
        <f>SUM(OSRRefP22_8x_0)</f>
        <v>2272.4699999999998</v>
      </c>
      <c r="Q60" s="1"/>
      <c r="R60" s="5">
        <f t="shared" si="33"/>
        <v>5.122077221883875E-3</v>
      </c>
      <c r="S60" s="1"/>
      <c r="T60" s="1">
        <f>SUM(OSRRefT22_8x_0)</f>
        <v>2760</v>
      </c>
      <c r="U60" s="1"/>
      <c r="V60" s="5">
        <f t="shared" si="34"/>
        <v>2.3990633222333193E-3</v>
      </c>
      <c r="W60" s="1"/>
      <c r="X60" s="1">
        <f t="shared" si="35"/>
        <v>-487.5300000000002</v>
      </c>
      <c r="Y60" s="1"/>
      <c r="Z60" s="5">
        <f t="shared" si="36"/>
        <v>-0.17664130434782616</v>
      </c>
    </row>
    <row r="61" spans="1:26" s="24" customFormat="1" hidden="1" outlineLevel="2" x14ac:dyDescent="0.25">
      <c r="A61" s="28"/>
      <c r="B61" s="11" t="str">
        <f>CONCATENATE("          ", "6351", " - ", "EQUIPMENT RENTAL")</f>
        <v xml:space="preserve">          6351 - EQUIPMENT RENTAL</v>
      </c>
      <c r="C61" s="11"/>
      <c r="D61" s="7">
        <v>613.79</v>
      </c>
      <c r="E61" s="2"/>
      <c r="F61" s="6">
        <f t="shared" si="29"/>
        <v>4.0340893332024112E-3</v>
      </c>
      <c r="G61" s="2"/>
      <c r="H61" s="7">
        <v>690</v>
      </c>
      <c r="I61" s="2"/>
      <c r="J61" s="6">
        <f t="shared" si="30"/>
        <v>1.250097380774227E-3</v>
      </c>
      <c r="K61" s="2"/>
      <c r="L61" s="7">
        <f t="shared" si="31"/>
        <v>-76.210000000000036</v>
      </c>
      <c r="M61" s="2"/>
      <c r="N61" s="6">
        <f t="shared" si="32"/>
        <v>-0.1104492753623189</v>
      </c>
      <c r="O61" s="11"/>
      <c r="P61" s="7">
        <v>2272.4699999999998</v>
      </c>
      <c r="Q61" s="2"/>
      <c r="R61" s="6">
        <f t="shared" si="33"/>
        <v>5.122077221883875E-3</v>
      </c>
      <c r="S61" s="2"/>
      <c r="T61" s="7">
        <v>2760</v>
      </c>
      <c r="U61" s="2"/>
      <c r="V61" s="6">
        <f t="shared" si="34"/>
        <v>2.3990633222333193E-3</v>
      </c>
      <c r="W61" s="2"/>
      <c r="X61" s="7">
        <f t="shared" si="35"/>
        <v>-487.5300000000002</v>
      </c>
      <c r="Y61" s="2"/>
      <c r="Z61" s="6">
        <f t="shared" si="36"/>
        <v>-0.17664130434782616</v>
      </c>
    </row>
    <row r="62" spans="1:26" s="27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430</v>
      </c>
      <c r="I62" s="1"/>
      <c r="J62" s="5">
        <f t="shared" si="30"/>
        <v>7.7904619381582258E-4</v>
      </c>
      <c r="K62" s="1"/>
      <c r="L62" s="1">
        <f t="shared" si="31"/>
        <v>-430</v>
      </c>
      <c r="M62" s="1"/>
      <c r="N62" s="5">
        <f t="shared" si="32"/>
        <v>-1</v>
      </c>
      <c r="O62" s="14"/>
      <c r="P62" s="1">
        <f>SUM(OSRRefP22_9x_0)</f>
        <v>6380.95</v>
      </c>
      <c r="Q62" s="1"/>
      <c r="R62" s="5">
        <f t="shared" si="33"/>
        <v>1.4382464300509981E-2</v>
      </c>
      <c r="S62" s="1"/>
      <c r="T62" s="1">
        <f>SUM(OSRRefT22_9x_0)</f>
        <v>6140</v>
      </c>
      <c r="U62" s="1"/>
      <c r="V62" s="5">
        <f t="shared" si="34"/>
        <v>5.3370466661277465E-3</v>
      </c>
      <c r="W62" s="1"/>
      <c r="X62" s="1">
        <f t="shared" si="35"/>
        <v>240.94999999999982</v>
      </c>
      <c r="Y62" s="1"/>
      <c r="Z62" s="5">
        <f t="shared" si="36"/>
        <v>3.9242671009771954E-2</v>
      </c>
    </row>
    <row r="63" spans="1:26" s="24" customFormat="1" hidden="1" outlineLevel="2" x14ac:dyDescent="0.25">
      <c r="A63" s="28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9"/>
        <v>0</v>
      </c>
      <c r="G63" s="2"/>
      <c r="H63" s="7">
        <v>430</v>
      </c>
      <c r="I63" s="2"/>
      <c r="J63" s="6">
        <f t="shared" si="30"/>
        <v>7.7904619381582258E-4</v>
      </c>
      <c r="K63" s="2"/>
      <c r="L63" s="7">
        <f t="shared" si="31"/>
        <v>-430</v>
      </c>
      <c r="M63" s="2"/>
      <c r="N63" s="6">
        <f t="shared" si="32"/>
        <v>-1</v>
      </c>
      <c r="O63" s="11"/>
      <c r="P63" s="7">
        <v>6380.95</v>
      </c>
      <c r="Q63" s="2"/>
      <c r="R63" s="6">
        <f t="shared" si="33"/>
        <v>1.4382464300509981E-2</v>
      </c>
      <c r="S63" s="2"/>
      <c r="T63" s="7">
        <v>6140</v>
      </c>
      <c r="U63" s="2"/>
      <c r="V63" s="6">
        <f t="shared" si="34"/>
        <v>5.3370466661277465E-3</v>
      </c>
      <c r="W63" s="2"/>
      <c r="X63" s="7">
        <f t="shared" si="35"/>
        <v>240.94999999999982</v>
      </c>
      <c r="Y63" s="2"/>
      <c r="Z63" s="6">
        <f t="shared" si="36"/>
        <v>3.9242671009771954E-2</v>
      </c>
    </row>
    <row r="64" spans="1:26" s="27" customFormat="1" outlineLevel="1" collapsed="1" x14ac:dyDescent="0.25">
      <c r="A64" s="29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5.9</v>
      </c>
      <c r="E64" s="1"/>
      <c r="F64" s="5">
        <f t="shared" si="29"/>
        <v>3.8777313194894388E-5</v>
      </c>
      <c r="G64" s="1"/>
      <c r="H64" s="1">
        <f>SUM(OSRRefH22_10x_0)</f>
        <v>7</v>
      </c>
      <c r="I64" s="1"/>
      <c r="J64" s="5">
        <f t="shared" si="30"/>
        <v>1.2682147341187811E-5</v>
      </c>
      <c r="K64" s="1"/>
      <c r="L64" s="1">
        <f t="shared" si="31"/>
        <v>-1.0999999999999996</v>
      </c>
      <c r="M64" s="1"/>
      <c r="N64" s="5">
        <f t="shared" si="32"/>
        <v>-0.15714285714285708</v>
      </c>
      <c r="O64" s="14"/>
      <c r="P64" s="1">
        <f>SUM(OSRRefP22_10x_0)</f>
        <v>23.6</v>
      </c>
      <c r="Q64" s="1"/>
      <c r="R64" s="5">
        <f t="shared" si="33"/>
        <v>5.3193671395644156E-5</v>
      </c>
      <c r="S64" s="1"/>
      <c r="T64" s="1">
        <f>SUM(OSRRefT22_10x_0)</f>
        <v>28</v>
      </c>
      <c r="U64" s="1"/>
      <c r="V64" s="5">
        <f t="shared" si="34"/>
        <v>2.4338323558888747E-5</v>
      </c>
      <c r="W64" s="1"/>
      <c r="X64" s="1">
        <f t="shared" si="35"/>
        <v>-4.3999999999999986</v>
      </c>
      <c r="Y64" s="1"/>
      <c r="Z64" s="5">
        <f t="shared" si="36"/>
        <v>-0.15714285714285708</v>
      </c>
    </row>
    <row r="65" spans="1:26" s="24" customFormat="1" hidden="1" outlineLevel="2" x14ac:dyDescent="0.25">
      <c r="A65" s="28"/>
      <c r="B65" s="11" t="str">
        <f>CONCATENATE("          ", "6314", " - ", "LIABILITY INSURANCE")</f>
        <v xml:space="preserve">          6314 - LIABILITY INSURANCE</v>
      </c>
      <c r="C65" s="11"/>
      <c r="D65" s="7">
        <v>5.9</v>
      </c>
      <c r="E65" s="2"/>
      <c r="F65" s="6">
        <f t="shared" si="29"/>
        <v>3.8777313194894388E-5</v>
      </c>
      <c r="G65" s="2"/>
      <c r="H65" s="7">
        <v>7</v>
      </c>
      <c r="I65" s="2"/>
      <c r="J65" s="6">
        <f t="shared" si="30"/>
        <v>1.2682147341187811E-5</v>
      </c>
      <c r="K65" s="2"/>
      <c r="L65" s="7">
        <f t="shared" si="31"/>
        <v>-1.0999999999999996</v>
      </c>
      <c r="M65" s="2"/>
      <c r="N65" s="6">
        <f t="shared" si="32"/>
        <v>-0.15714285714285708</v>
      </c>
      <c r="O65" s="11"/>
      <c r="P65" s="7">
        <v>23.6</v>
      </c>
      <c r="Q65" s="2"/>
      <c r="R65" s="6">
        <f t="shared" si="33"/>
        <v>5.3193671395644156E-5</v>
      </c>
      <c r="S65" s="2"/>
      <c r="T65" s="7">
        <v>28</v>
      </c>
      <c r="U65" s="2"/>
      <c r="V65" s="6">
        <f t="shared" si="34"/>
        <v>2.4338323558888747E-5</v>
      </c>
      <c r="W65" s="2"/>
      <c r="X65" s="7">
        <f t="shared" si="35"/>
        <v>-4.3999999999999986</v>
      </c>
      <c r="Y65" s="2"/>
      <c r="Z65" s="6">
        <f t="shared" si="36"/>
        <v>-0.15714285714285708</v>
      </c>
    </row>
    <row r="66" spans="1:26" s="27" customFormat="1" outlineLevel="1" collapsed="1" x14ac:dyDescent="0.25">
      <c r="A66" s="29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12242.68</v>
      </c>
      <c r="E66" s="1"/>
      <c r="F66" s="5">
        <f t="shared" si="29"/>
        <v>8.0464107916079594E-2</v>
      </c>
      <c r="G66" s="1"/>
      <c r="H66" s="1">
        <f>SUM(OSRRefH22_11x_0)</f>
        <v>44159</v>
      </c>
      <c r="I66" s="1"/>
      <c r="J66" s="5">
        <f t="shared" si="30"/>
        <v>8.0004420634216075E-2</v>
      </c>
      <c r="K66" s="1"/>
      <c r="L66" s="1">
        <f t="shared" si="31"/>
        <v>-31916.32</v>
      </c>
      <c r="M66" s="1"/>
      <c r="N66" s="5">
        <f t="shared" si="32"/>
        <v>-0.72275912045109714</v>
      </c>
      <c r="O66" s="14"/>
      <c r="P66" s="1">
        <f>SUM(OSRRefP22_11x_0)</f>
        <v>28720.2</v>
      </c>
      <c r="Q66" s="1"/>
      <c r="R66" s="5">
        <f t="shared" si="33"/>
        <v>6.4734444119372E-2</v>
      </c>
      <c r="S66" s="1"/>
      <c r="T66" s="1">
        <f>SUM(OSRRefT22_11x_0)</f>
        <v>92038</v>
      </c>
      <c r="U66" s="1"/>
      <c r="V66" s="5">
        <f t="shared" si="34"/>
        <v>8.0001807989750096E-2</v>
      </c>
      <c r="W66" s="1"/>
      <c r="X66" s="1">
        <f t="shared" si="35"/>
        <v>-63317.8</v>
      </c>
      <c r="Y66" s="1"/>
      <c r="Z66" s="5">
        <f t="shared" si="36"/>
        <v>-0.68795280210347898</v>
      </c>
    </row>
    <row r="67" spans="1:26" s="24" customFormat="1" hidden="1" outlineLevel="2" x14ac:dyDescent="0.25">
      <c r="A67" s="28"/>
      <c r="B67" s="11" t="str">
        <f>CONCATENATE("          ", "6387", " - ", "COMMISSION DUE HOUSING")</f>
        <v xml:space="preserve">          6387 - COMMISSION DUE HOUSING</v>
      </c>
      <c r="C67" s="11"/>
      <c r="D67" s="7">
        <v>12242.68</v>
      </c>
      <c r="E67" s="2"/>
      <c r="F67" s="6">
        <f t="shared" si="29"/>
        <v>8.0464107916079594E-2</v>
      </c>
      <c r="G67" s="2"/>
      <c r="H67" s="7">
        <v>44159</v>
      </c>
      <c r="I67" s="2"/>
      <c r="J67" s="6">
        <f t="shared" si="30"/>
        <v>8.0004420634216075E-2</v>
      </c>
      <c r="K67" s="2"/>
      <c r="L67" s="7">
        <f t="shared" si="31"/>
        <v>-31916.32</v>
      </c>
      <c r="M67" s="2"/>
      <c r="N67" s="6">
        <f t="shared" si="32"/>
        <v>-0.72275912045109714</v>
      </c>
      <c r="O67" s="11"/>
      <c r="P67" s="7">
        <v>28720.2</v>
      </c>
      <c r="Q67" s="2"/>
      <c r="R67" s="6">
        <f t="shared" si="33"/>
        <v>6.4734444119372E-2</v>
      </c>
      <c r="S67" s="2"/>
      <c r="T67" s="7">
        <v>92038</v>
      </c>
      <c r="U67" s="2"/>
      <c r="V67" s="6">
        <f t="shared" si="34"/>
        <v>8.0001807989750096E-2</v>
      </c>
      <c r="W67" s="2"/>
      <c r="X67" s="7">
        <f t="shared" si="35"/>
        <v>-63317.8</v>
      </c>
      <c r="Y67" s="2"/>
      <c r="Z67" s="6">
        <f t="shared" si="36"/>
        <v>-0.68795280210347898</v>
      </c>
    </row>
    <row r="68" spans="1:26" s="27" customFormat="1" outlineLevel="1" collapsed="1" x14ac:dyDescent="0.25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414.44</v>
      </c>
      <c r="E68" s="1"/>
      <c r="F68" s="5">
        <f t="shared" si="29"/>
        <v>2.7238762170325474E-3</v>
      </c>
      <c r="G68" s="1"/>
      <c r="H68" s="1">
        <f>SUM(OSRRefH22_12x_0)</f>
        <v>508</v>
      </c>
      <c r="I68" s="1"/>
      <c r="J68" s="5">
        <f t="shared" si="30"/>
        <v>9.2036154990334396E-4</v>
      </c>
      <c r="K68" s="1"/>
      <c r="L68" s="1">
        <f t="shared" si="31"/>
        <v>-93.56</v>
      </c>
      <c r="M68" s="1"/>
      <c r="N68" s="5">
        <f t="shared" si="32"/>
        <v>-0.18417322834645669</v>
      </c>
      <c r="O68" s="14"/>
      <c r="P68" s="1">
        <f>SUM(OSRRefP22_12x_0)</f>
        <v>3327.92</v>
      </c>
      <c r="Q68" s="1"/>
      <c r="R68" s="5">
        <f t="shared" si="33"/>
        <v>7.5010289369064446E-3</v>
      </c>
      <c r="S68" s="1"/>
      <c r="T68" s="1">
        <f>SUM(OSRRefT22_12x_0)</f>
        <v>6915</v>
      </c>
      <c r="U68" s="1"/>
      <c r="V68" s="5">
        <f t="shared" si="34"/>
        <v>6.0106966932041315E-3</v>
      </c>
      <c r="W68" s="1"/>
      <c r="X68" s="1">
        <f t="shared" si="35"/>
        <v>-3587.08</v>
      </c>
      <c r="Y68" s="1"/>
      <c r="Z68" s="5">
        <f t="shared" si="36"/>
        <v>-0.51873897324656548</v>
      </c>
    </row>
    <row r="69" spans="1:26" s="24" customFormat="1" hidden="1" outlineLevel="2" x14ac:dyDescent="0.25">
      <c r="A69" s="28"/>
      <c r="B69" s="11" t="str">
        <f>CONCATENATE("          ", "6372", " - ", "COMPUTER HARDWARE MAINTENANCE")</f>
        <v xml:space="preserve">          6372 - COMPUTER HARDWARE MAINTENANCE</v>
      </c>
      <c r="C69" s="11"/>
      <c r="D69" s="7"/>
      <c r="E69" s="2"/>
      <c r="F69" s="6">
        <f t="shared" si="29"/>
        <v>0</v>
      </c>
      <c r="G69" s="2"/>
      <c r="H69" s="7"/>
      <c r="I69" s="2"/>
      <c r="J69" s="6">
        <f t="shared" si="30"/>
        <v>0</v>
      </c>
      <c r="K69" s="2"/>
      <c r="L69" s="7">
        <f t="shared" si="31"/>
        <v>0</v>
      </c>
      <c r="M69" s="2"/>
      <c r="N69" s="6">
        <f t="shared" si="32"/>
        <v>0</v>
      </c>
      <c r="O69" s="11"/>
      <c r="P69" s="7"/>
      <c r="Q69" s="2"/>
      <c r="R69" s="6">
        <f t="shared" si="33"/>
        <v>0</v>
      </c>
      <c r="S69" s="2"/>
      <c r="T69" s="7">
        <v>3083</v>
      </c>
      <c r="U69" s="2"/>
      <c r="V69" s="6">
        <f t="shared" si="34"/>
        <v>2.6798232690019288E-3</v>
      </c>
      <c r="W69" s="2"/>
      <c r="X69" s="7">
        <f t="shared" si="35"/>
        <v>-3083</v>
      </c>
      <c r="Y69" s="2"/>
      <c r="Z69" s="6">
        <f t="shared" si="36"/>
        <v>-1</v>
      </c>
    </row>
    <row r="70" spans="1:26" s="24" customFormat="1" hidden="1" outlineLevel="2" x14ac:dyDescent="0.25">
      <c r="A70" s="28"/>
      <c r="B70" s="11" t="str">
        <f>CONCATENATE("          ", "6373", " - ", "MAINTENANCE CONTRACTS")</f>
        <v xml:space="preserve">          6373 - MAINTENANCE CONTRACTS</v>
      </c>
      <c r="C70" s="11"/>
      <c r="D70" s="7">
        <v>17.82</v>
      </c>
      <c r="E70" s="2"/>
      <c r="F70" s="6">
        <f t="shared" si="29"/>
        <v>1.1712063070051153E-4</v>
      </c>
      <c r="G70" s="2"/>
      <c r="H70" s="7">
        <v>58</v>
      </c>
      <c r="I70" s="2"/>
      <c r="J70" s="6">
        <f t="shared" si="30"/>
        <v>1.0508064939841328E-4</v>
      </c>
      <c r="K70" s="2"/>
      <c r="L70" s="7">
        <f t="shared" si="31"/>
        <v>-40.18</v>
      </c>
      <c r="M70" s="2"/>
      <c r="N70" s="6">
        <f t="shared" si="32"/>
        <v>-0.69275862068965521</v>
      </c>
      <c r="O70" s="11"/>
      <c r="P70" s="7">
        <v>2726.3</v>
      </c>
      <c r="Q70" s="2"/>
      <c r="R70" s="6">
        <f t="shared" si="33"/>
        <v>6.1449960307603671E-3</v>
      </c>
      <c r="S70" s="2"/>
      <c r="T70" s="7">
        <v>2032</v>
      </c>
      <c r="U70" s="2"/>
      <c r="V70" s="6">
        <f t="shared" si="34"/>
        <v>1.7662669097022118E-3</v>
      </c>
      <c r="W70" s="2"/>
      <c r="X70" s="7">
        <f t="shared" si="35"/>
        <v>694.30000000000018</v>
      </c>
      <c r="Y70" s="2"/>
      <c r="Z70" s="6">
        <f t="shared" si="36"/>
        <v>0.3416830708661418</v>
      </c>
    </row>
    <row r="71" spans="1:26" s="24" customFormat="1" hidden="1" outlineLevel="2" x14ac:dyDescent="0.25">
      <c r="A71" s="28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396.62</v>
      </c>
      <c r="E71" s="2"/>
      <c r="F71" s="6">
        <f t="shared" si="29"/>
        <v>2.606755586332036E-3</v>
      </c>
      <c r="G71" s="2"/>
      <c r="H71" s="7">
        <v>450</v>
      </c>
      <c r="I71" s="2"/>
      <c r="J71" s="6">
        <f t="shared" si="30"/>
        <v>8.1528090050493065E-4</v>
      </c>
      <c r="K71" s="2"/>
      <c r="L71" s="7">
        <f t="shared" si="31"/>
        <v>-53.379999999999995</v>
      </c>
      <c r="M71" s="2"/>
      <c r="N71" s="6">
        <f t="shared" si="32"/>
        <v>-0.11862222222222221</v>
      </c>
      <c r="O71" s="11"/>
      <c r="P71" s="7">
        <v>601.62</v>
      </c>
      <c r="Q71" s="2"/>
      <c r="R71" s="6">
        <f t="shared" si="33"/>
        <v>1.3560329061460777E-3</v>
      </c>
      <c r="S71" s="2"/>
      <c r="T71" s="7">
        <v>1800</v>
      </c>
      <c r="U71" s="2"/>
      <c r="V71" s="6">
        <f t="shared" si="34"/>
        <v>1.5646065144999909E-3</v>
      </c>
      <c r="W71" s="2"/>
      <c r="X71" s="7">
        <f t="shared" si="35"/>
        <v>-1198.3800000000001</v>
      </c>
      <c r="Y71" s="2"/>
      <c r="Z71" s="6">
        <f t="shared" si="36"/>
        <v>-0.66576666666666673</v>
      </c>
    </row>
    <row r="72" spans="1:26" s="27" customFormat="1" outlineLevel="1" collapsed="1" x14ac:dyDescent="0.25">
      <c r="A72" s="29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11898.099999999999</v>
      </c>
      <c r="E72" s="1"/>
      <c r="F72" s="5">
        <f t="shared" ref="F72:F76" si="37">IF(D$12=0,0,D72/D$12)</f>
        <v>7.8199381376978447E-2</v>
      </c>
      <c r="G72" s="1"/>
      <c r="H72" s="1">
        <f>SUM(OSRRefH22_13x_0)</f>
        <v>19075</v>
      </c>
      <c r="I72" s="1"/>
      <c r="J72" s="5">
        <f t="shared" ref="J72:J76" si="38">IF(H$12=0,0,H72/H$12)</f>
        <v>3.4558851504736782E-2</v>
      </c>
      <c r="K72" s="1"/>
      <c r="L72" s="1">
        <f t="shared" ref="L72:L76" si="39">+D72-H72</f>
        <v>-7176.9000000000015</v>
      </c>
      <c r="M72" s="1"/>
      <c r="N72" s="5">
        <f t="shared" ref="N72:N76" si="40">IF(H72=0,0,L72/H72)</f>
        <v>-0.37624639580602892</v>
      </c>
      <c r="O72" s="14"/>
      <c r="P72" s="1">
        <f>SUM(OSRRefP22_13x_0)</f>
        <v>43664.350000000006</v>
      </c>
      <c r="Q72" s="1"/>
      <c r="R72" s="5">
        <f t="shared" ref="R72:R76" si="41">IF(P$12=0,0,P72/P$12)</f>
        <v>9.8418096847643854E-2</v>
      </c>
      <c r="S72" s="1"/>
      <c r="T72" s="1">
        <f>SUM(OSRRefT22_13x_0)</f>
        <v>76300</v>
      </c>
      <c r="U72" s="1"/>
      <c r="V72" s="5">
        <f t="shared" ref="V72:V76" si="42">IF(T$12=0,0,T72/T$12)</f>
        <v>6.6321931697971834E-2</v>
      </c>
      <c r="W72" s="1"/>
      <c r="X72" s="1">
        <f t="shared" ref="X72:X76" si="43">+P72-T72</f>
        <v>-32635.649999999994</v>
      </c>
      <c r="Y72" s="1"/>
      <c r="Z72" s="5">
        <f t="shared" ref="Z72:Z76" si="44">IF(T72=0,0,X72/T72)</f>
        <v>-0.42772804718217555</v>
      </c>
    </row>
    <row r="73" spans="1:26" s="24" customFormat="1" hidden="1" outlineLevel="2" x14ac:dyDescent="0.25">
      <c r="A73" s="28"/>
      <c r="B73" s="11" t="str">
        <f>CONCATENATE("          ", "6282", " - ", "JANITORIAL/EXTERMINATOR EXPENS")</f>
        <v xml:space="preserve">          6282 - JANITORIAL/EXTERMINATOR EXPENS</v>
      </c>
      <c r="C73" s="11"/>
      <c r="D73" s="7">
        <v>1625.9</v>
      </c>
      <c r="E73" s="2"/>
      <c r="F73" s="6">
        <f t="shared" si="37"/>
        <v>1.068610737687776E-2</v>
      </c>
      <c r="G73" s="2"/>
      <c r="H73" s="7">
        <v>1750</v>
      </c>
      <c r="I73" s="2"/>
      <c r="J73" s="6">
        <f t="shared" si="38"/>
        <v>3.1705368352969525E-3</v>
      </c>
      <c r="K73" s="2"/>
      <c r="L73" s="7">
        <f t="shared" si="39"/>
        <v>-124.09999999999991</v>
      </c>
      <c r="M73" s="2"/>
      <c r="N73" s="6">
        <f t="shared" si="40"/>
        <v>-7.0914285714285666E-2</v>
      </c>
      <c r="O73" s="11"/>
      <c r="P73" s="7">
        <v>3758.01</v>
      </c>
      <c r="Q73" s="2"/>
      <c r="R73" s="6">
        <f t="shared" si="41"/>
        <v>8.4704385187095218E-3</v>
      </c>
      <c r="S73" s="2"/>
      <c r="T73" s="7">
        <v>7000</v>
      </c>
      <c r="U73" s="2"/>
      <c r="V73" s="6">
        <f t="shared" si="42"/>
        <v>6.0845808897221866E-3</v>
      </c>
      <c r="W73" s="2"/>
      <c r="X73" s="7">
        <f t="shared" si="43"/>
        <v>-3241.99</v>
      </c>
      <c r="Y73" s="2"/>
      <c r="Z73" s="6">
        <f t="shared" si="44"/>
        <v>-0.46314142857142854</v>
      </c>
    </row>
    <row r="74" spans="1:26" s="24" customFormat="1" hidden="1" outlineLevel="2" x14ac:dyDescent="0.25">
      <c r="A74" s="28"/>
      <c r="B74" s="11" t="str">
        <f>CONCATENATE("          ", "6284", " - ", "TRASH REMOVAL EXPENSE")</f>
        <v xml:space="preserve">          6284 - TRASH REMOVAL EXPENSE</v>
      </c>
      <c r="C74" s="11"/>
      <c r="D74" s="7"/>
      <c r="E74" s="2"/>
      <c r="F74" s="6">
        <f t="shared" si="37"/>
        <v>0</v>
      </c>
      <c r="G74" s="2"/>
      <c r="H74" s="7">
        <v>500</v>
      </c>
      <c r="I74" s="2"/>
      <c r="J74" s="6">
        <f t="shared" si="38"/>
        <v>9.0586766722770069E-4</v>
      </c>
      <c r="K74" s="2"/>
      <c r="L74" s="7">
        <f t="shared" si="39"/>
        <v>-500</v>
      </c>
      <c r="M74" s="2"/>
      <c r="N74" s="6">
        <f t="shared" si="40"/>
        <v>-1</v>
      </c>
      <c r="O74" s="11"/>
      <c r="P74" s="7"/>
      <c r="Q74" s="2"/>
      <c r="R74" s="6">
        <f t="shared" si="41"/>
        <v>0</v>
      </c>
      <c r="S74" s="2"/>
      <c r="T74" s="7">
        <v>2000</v>
      </c>
      <c r="U74" s="2"/>
      <c r="V74" s="6">
        <f t="shared" si="42"/>
        <v>1.7384516827777677E-3</v>
      </c>
      <c r="W74" s="2"/>
      <c r="X74" s="7">
        <f t="shared" si="43"/>
        <v>-2000</v>
      </c>
      <c r="Y74" s="2"/>
      <c r="Z74" s="6">
        <f t="shared" si="44"/>
        <v>-1</v>
      </c>
    </row>
    <row r="75" spans="1:26" s="24" customFormat="1" hidden="1" outlineLevel="2" x14ac:dyDescent="0.25">
      <c r="A75" s="28"/>
      <c r="B75" s="11" t="str">
        <f>CONCATENATE("          ", "6285", " - ", "JANITORIAL SERVICES")</f>
        <v xml:space="preserve">          6285 - JANITORIAL SERVICES</v>
      </c>
      <c r="C75" s="11"/>
      <c r="D75" s="7">
        <v>8351.15</v>
      </c>
      <c r="E75" s="2"/>
      <c r="F75" s="6">
        <f t="shared" si="37"/>
        <v>5.4887315099583431E-2</v>
      </c>
      <c r="G75" s="2"/>
      <c r="H75" s="7">
        <v>12325</v>
      </c>
      <c r="I75" s="2"/>
      <c r="J75" s="6">
        <f t="shared" si="38"/>
        <v>2.2329637997162824E-2</v>
      </c>
      <c r="K75" s="2"/>
      <c r="L75" s="7">
        <f t="shared" si="39"/>
        <v>-3973.8500000000004</v>
      </c>
      <c r="M75" s="2"/>
      <c r="N75" s="6">
        <f t="shared" si="40"/>
        <v>-0.32242190669371201</v>
      </c>
      <c r="O75" s="11"/>
      <c r="P75" s="7">
        <v>32599.68</v>
      </c>
      <c r="Q75" s="2"/>
      <c r="R75" s="6">
        <f t="shared" si="41"/>
        <v>7.3478672267930201E-2</v>
      </c>
      <c r="S75" s="2"/>
      <c r="T75" s="7">
        <v>49300</v>
      </c>
      <c r="U75" s="2"/>
      <c r="V75" s="6">
        <f t="shared" si="42"/>
        <v>4.2852833980471974E-2</v>
      </c>
      <c r="W75" s="2"/>
      <c r="X75" s="7">
        <f t="shared" si="43"/>
        <v>-16700.32</v>
      </c>
      <c r="Y75" s="2"/>
      <c r="Z75" s="6">
        <f t="shared" si="44"/>
        <v>-0.33874888438133871</v>
      </c>
    </row>
    <row r="76" spans="1:26" s="24" customFormat="1" hidden="1" outlineLevel="2" x14ac:dyDescent="0.25">
      <c r="A76" s="28"/>
      <c r="B76" s="11" t="str">
        <f>CONCATENATE("          ", "6286", " - ", "LAUNDRY EXPENSE")</f>
        <v xml:space="preserve">          6286 - LAUNDRY EXPENSE</v>
      </c>
      <c r="C76" s="11"/>
      <c r="D76" s="7">
        <v>1921.05</v>
      </c>
      <c r="E76" s="2"/>
      <c r="F76" s="6">
        <f t="shared" si="37"/>
        <v>1.2625958900517265E-2</v>
      </c>
      <c r="G76" s="2"/>
      <c r="H76" s="7">
        <v>4500</v>
      </c>
      <c r="I76" s="2"/>
      <c r="J76" s="6">
        <f t="shared" si="38"/>
        <v>8.1528090050493069E-3</v>
      </c>
      <c r="K76" s="2"/>
      <c r="L76" s="7">
        <f t="shared" si="39"/>
        <v>-2578.9499999999998</v>
      </c>
      <c r="M76" s="2"/>
      <c r="N76" s="6">
        <f t="shared" si="40"/>
        <v>-0.57309999999999994</v>
      </c>
      <c r="O76" s="11"/>
      <c r="P76" s="7">
        <v>7306.66</v>
      </c>
      <c r="Q76" s="2"/>
      <c r="R76" s="6">
        <f t="shared" si="41"/>
        <v>1.6468986061004123E-2</v>
      </c>
      <c r="S76" s="2"/>
      <c r="T76" s="7">
        <v>18000</v>
      </c>
      <c r="U76" s="2"/>
      <c r="V76" s="6">
        <f t="shared" si="42"/>
        <v>1.5646065144999909E-2</v>
      </c>
      <c r="W76" s="2"/>
      <c r="X76" s="7">
        <f t="shared" si="43"/>
        <v>-10693.34</v>
      </c>
      <c r="Y76" s="2"/>
      <c r="Z76" s="6">
        <f t="shared" si="44"/>
        <v>-0.59407444444444446</v>
      </c>
    </row>
    <row r="77" spans="1:26" s="27" customFormat="1" outlineLevel="1" collapsed="1" x14ac:dyDescent="0.25">
      <c r="A77" s="29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19578.689999999999</v>
      </c>
      <c r="E77" s="1"/>
      <c r="F77" s="5">
        <f t="shared" ref="F77:F87" si="45">IF(D$12=0,0,D77/D$12)</f>
        <v>0.128679490521313</v>
      </c>
      <c r="G77" s="1"/>
      <c r="H77" s="1">
        <f>SUM(OSRRefH22_14x_0)</f>
        <v>27448</v>
      </c>
      <c r="I77" s="1"/>
      <c r="J77" s="5">
        <f t="shared" ref="J77:J87" si="46">IF(H$12=0,0,H77/H$12)</f>
        <v>4.9728511460131859E-2</v>
      </c>
      <c r="K77" s="1"/>
      <c r="L77" s="1">
        <f t="shared" ref="L77:L87" si="47">+D77-H77</f>
        <v>-7869.3100000000013</v>
      </c>
      <c r="M77" s="1"/>
      <c r="N77" s="5">
        <f t="shared" ref="N77:N87" si="48">IF(H77=0,0,L77/H77)</f>
        <v>-0.28669884873214813</v>
      </c>
      <c r="O77" s="14"/>
      <c r="P77" s="1">
        <f>SUM(OSRRefP22_14x_0)</f>
        <v>54612.909999999996</v>
      </c>
      <c r="Q77" s="1"/>
      <c r="R77" s="5">
        <f t="shared" ref="R77:R87" si="49">IF(P$12=0,0,P77/P$12)</f>
        <v>0.12309581307202917</v>
      </c>
      <c r="S77" s="1"/>
      <c r="T77" s="1">
        <f>SUM(OSRRefT22_14x_0)</f>
        <v>96934</v>
      </c>
      <c r="U77" s="1"/>
      <c r="V77" s="5">
        <f t="shared" ref="V77:V87" si="50">IF(T$12=0,0,T77/T$12)</f>
        <v>8.4257537709190061E-2</v>
      </c>
      <c r="W77" s="1"/>
      <c r="X77" s="1">
        <f t="shared" ref="X77:X87" si="51">+P77-T77</f>
        <v>-42321.090000000004</v>
      </c>
      <c r="Y77" s="1"/>
      <c r="Z77" s="5">
        <f t="shared" ref="Z77:Z87" si="52">IF(T77=0,0,X77/T77)</f>
        <v>-0.43659696288196098</v>
      </c>
    </row>
    <row r="78" spans="1:26" s="24" customFormat="1" hidden="1" outlineLevel="2" x14ac:dyDescent="0.25">
      <c r="A78" s="28"/>
      <c r="B78" s="11" t="str">
        <f>CONCATENATE("          ", "6234", " - ", "EXPENDABLE SUPPLIES &amp; EQUIPMEN")</f>
        <v xml:space="preserve">          6234 - EXPENDABLE SUPPLIES &amp; EQUIPMEN</v>
      </c>
      <c r="C78" s="11"/>
      <c r="D78" s="7"/>
      <c r="E78" s="2"/>
      <c r="F78" s="6">
        <f t="shared" si="45"/>
        <v>0</v>
      </c>
      <c r="G78" s="2"/>
      <c r="H78" s="7">
        <v>100</v>
      </c>
      <c r="I78" s="2"/>
      <c r="J78" s="6">
        <f t="shared" si="46"/>
        <v>1.8117353344554015E-4</v>
      </c>
      <c r="K78" s="2"/>
      <c r="L78" s="7">
        <f t="shared" si="47"/>
        <v>-100</v>
      </c>
      <c r="M78" s="2"/>
      <c r="N78" s="6">
        <f t="shared" si="48"/>
        <v>-1</v>
      </c>
      <c r="O78" s="11"/>
      <c r="P78" s="7"/>
      <c r="Q78" s="2"/>
      <c r="R78" s="6">
        <f t="shared" si="49"/>
        <v>0</v>
      </c>
      <c r="S78" s="2"/>
      <c r="T78" s="7">
        <v>400</v>
      </c>
      <c r="U78" s="2"/>
      <c r="V78" s="6">
        <f t="shared" si="50"/>
        <v>3.4769033655555355E-4</v>
      </c>
      <c r="W78" s="2"/>
      <c r="X78" s="7">
        <f t="shared" si="51"/>
        <v>-400</v>
      </c>
      <c r="Y78" s="2"/>
      <c r="Z78" s="6">
        <f t="shared" si="52"/>
        <v>-1</v>
      </c>
    </row>
    <row r="79" spans="1:26" s="24" customFormat="1" hidden="1" outlineLevel="2" x14ac:dyDescent="0.25">
      <c r="A79" s="28"/>
      <c r="B79" s="11" t="str">
        <f>CONCATENATE("          ", "6235", " - ", "COVID-19 EXPENSES")</f>
        <v xml:space="preserve">          6235 - COVID-19 EXPENSES</v>
      </c>
      <c r="C79" s="11"/>
      <c r="D79" s="7">
        <v>13495.55</v>
      </c>
      <c r="E79" s="2"/>
      <c r="F79" s="6">
        <f t="shared" si="45"/>
        <v>8.8698503235145235E-2</v>
      </c>
      <c r="G79" s="2"/>
      <c r="H79" s="7">
        <v>12200</v>
      </c>
      <c r="I79" s="2"/>
      <c r="J79" s="6">
        <f t="shared" si="46"/>
        <v>2.2103171080355897E-2</v>
      </c>
      <c r="K79" s="2"/>
      <c r="L79" s="7">
        <f t="shared" si="47"/>
        <v>1295.5499999999993</v>
      </c>
      <c r="M79" s="2"/>
      <c r="N79" s="6">
        <f t="shared" si="48"/>
        <v>0.10619262295081962</v>
      </c>
      <c r="O79" s="11"/>
      <c r="P79" s="7">
        <v>31086.649999999998</v>
      </c>
      <c r="Q79" s="2"/>
      <c r="R79" s="6">
        <f t="shared" si="49"/>
        <v>7.0068349359805132E-2</v>
      </c>
      <c r="S79" s="2"/>
      <c r="T79" s="7">
        <v>41800</v>
      </c>
      <c r="U79" s="2"/>
      <c r="V79" s="6">
        <f t="shared" si="50"/>
        <v>3.6333640170055345E-2</v>
      </c>
      <c r="W79" s="2"/>
      <c r="X79" s="7">
        <f t="shared" si="51"/>
        <v>-10713.350000000002</v>
      </c>
      <c r="Y79" s="2"/>
      <c r="Z79" s="6">
        <f t="shared" si="52"/>
        <v>-0.25630023923444983</v>
      </c>
    </row>
    <row r="80" spans="1:26" s="24" customFormat="1" hidden="1" outlineLevel="2" x14ac:dyDescent="0.25">
      <c r="A80" s="28"/>
      <c r="B80" s="11" t="str">
        <f>CONCATENATE("          ", "6237", " - ", "JANITORIAL SUPPLIES")</f>
        <v xml:space="preserve">          6237 - JANITORIAL SUPPLIES</v>
      </c>
      <c r="C80" s="11"/>
      <c r="D80" s="7">
        <v>1798.45</v>
      </c>
      <c r="E80" s="2"/>
      <c r="F80" s="6">
        <f t="shared" si="45"/>
        <v>1.1820179477179291E-2</v>
      </c>
      <c r="G80" s="2"/>
      <c r="H80" s="7">
        <v>9000</v>
      </c>
      <c r="I80" s="2"/>
      <c r="J80" s="6">
        <f t="shared" si="46"/>
        <v>1.6305618010098614E-2</v>
      </c>
      <c r="K80" s="2"/>
      <c r="L80" s="7">
        <f t="shared" si="47"/>
        <v>-7201.55</v>
      </c>
      <c r="M80" s="2"/>
      <c r="N80" s="6">
        <f t="shared" si="48"/>
        <v>-0.80017222222222228</v>
      </c>
      <c r="O80" s="11"/>
      <c r="P80" s="7">
        <v>7892.16</v>
      </c>
      <c r="Q80" s="2"/>
      <c r="R80" s="6">
        <f t="shared" si="49"/>
        <v>1.7788684984824023E-2</v>
      </c>
      <c r="S80" s="2"/>
      <c r="T80" s="7">
        <v>32000</v>
      </c>
      <c r="U80" s="2"/>
      <c r="V80" s="6">
        <f t="shared" si="50"/>
        <v>2.7815226924444283E-2</v>
      </c>
      <c r="W80" s="2"/>
      <c r="X80" s="7">
        <f t="shared" si="51"/>
        <v>-24107.84</v>
      </c>
      <c r="Y80" s="2"/>
      <c r="Z80" s="6">
        <f t="shared" si="52"/>
        <v>-0.75336999999999998</v>
      </c>
    </row>
    <row r="81" spans="1:26" s="24" customFormat="1" hidden="1" outlineLevel="2" x14ac:dyDescent="0.25">
      <c r="A81" s="28"/>
      <c r="B81" s="11" t="str">
        <f>CONCATENATE("          ", "6239", " - ", "KITCHEN SUPPLIES")</f>
        <v xml:space="preserve">          6239 - KITCHEN SUPPLIES</v>
      </c>
      <c r="C81" s="11"/>
      <c r="D81" s="7">
        <v>1244.3599999999999</v>
      </c>
      <c r="E81" s="2"/>
      <c r="F81" s="6">
        <f t="shared" si="45"/>
        <v>8.1784639741014874E-3</v>
      </c>
      <c r="G81" s="2"/>
      <c r="H81" s="7">
        <v>2300</v>
      </c>
      <c r="I81" s="2"/>
      <c r="J81" s="6">
        <f t="shared" si="46"/>
        <v>4.1669912692474231E-3</v>
      </c>
      <c r="K81" s="2"/>
      <c r="L81" s="7">
        <f t="shared" si="47"/>
        <v>-1055.6400000000001</v>
      </c>
      <c r="M81" s="2"/>
      <c r="N81" s="6">
        <f t="shared" si="48"/>
        <v>-0.45897391304347829</v>
      </c>
      <c r="O81" s="11"/>
      <c r="P81" s="7">
        <v>4171.68</v>
      </c>
      <c r="Q81" s="2"/>
      <c r="R81" s="6">
        <f t="shared" si="49"/>
        <v>9.4028379274483393E-3</v>
      </c>
      <c r="S81" s="2"/>
      <c r="T81" s="7">
        <v>8400</v>
      </c>
      <c r="U81" s="2"/>
      <c r="V81" s="6">
        <f t="shared" si="50"/>
        <v>7.3014970676666237E-3</v>
      </c>
      <c r="W81" s="2"/>
      <c r="X81" s="7">
        <f t="shared" si="51"/>
        <v>-4228.32</v>
      </c>
      <c r="Y81" s="2"/>
      <c r="Z81" s="6">
        <f t="shared" si="52"/>
        <v>-0.50337142857142858</v>
      </c>
    </row>
    <row r="82" spans="1:26" s="24" customFormat="1" hidden="1" outlineLevel="2" x14ac:dyDescent="0.25">
      <c r="A82" s="28"/>
      <c r="B82" s="11" t="str">
        <f>CONCATENATE("          ", "6241", " - ", "OFFICE EXPENSE")</f>
        <v xml:space="preserve">          6241 - OFFICE EXPENSE</v>
      </c>
      <c r="C82" s="11"/>
      <c r="D82" s="7">
        <v>407.69</v>
      </c>
      <c r="E82" s="2"/>
      <c r="F82" s="6">
        <f t="shared" si="45"/>
        <v>2.679512341767202E-3</v>
      </c>
      <c r="G82" s="2"/>
      <c r="H82" s="7">
        <v>1000</v>
      </c>
      <c r="I82" s="2"/>
      <c r="J82" s="6">
        <f t="shared" si="46"/>
        <v>1.8117353344554014E-3</v>
      </c>
      <c r="K82" s="2"/>
      <c r="L82" s="7">
        <f t="shared" si="47"/>
        <v>-592.30999999999995</v>
      </c>
      <c r="M82" s="2"/>
      <c r="N82" s="6">
        <f t="shared" si="48"/>
        <v>-0.59230999999999989</v>
      </c>
      <c r="O82" s="11"/>
      <c r="P82" s="7">
        <v>1354.93</v>
      </c>
      <c r="Q82" s="2"/>
      <c r="R82" s="6">
        <f t="shared" si="49"/>
        <v>3.0539703891567854E-3</v>
      </c>
      <c r="S82" s="2"/>
      <c r="T82" s="7">
        <v>3750</v>
      </c>
      <c r="U82" s="2"/>
      <c r="V82" s="6">
        <f t="shared" si="50"/>
        <v>3.2595969052083141E-3</v>
      </c>
      <c r="W82" s="2"/>
      <c r="X82" s="7">
        <f t="shared" si="51"/>
        <v>-2395.0699999999997</v>
      </c>
      <c r="Y82" s="2"/>
      <c r="Z82" s="6">
        <f t="shared" si="52"/>
        <v>-0.63868533333333322</v>
      </c>
    </row>
    <row r="83" spans="1:26" s="24" customFormat="1" hidden="1" outlineLevel="2" x14ac:dyDescent="0.25">
      <c r="A83" s="28"/>
      <c r="B83" s="11" t="str">
        <f>CONCATENATE("          ", "6243", " - ", "PAPER SUPPLIES")</f>
        <v xml:space="preserve">          6243 - PAPER SUPPLIES</v>
      </c>
      <c r="C83" s="11"/>
      <c r="D83" s="7">
        <v>2632.64</v>
      </c>
      <c r="E83" s="2"/>
      <c r="F83" s="6">
        <f t="shared" si="45"/>
        <v>1.7302831493119789E-2</v>
      </c>
      <c r="G83" s="2"/>
      <c r="H83" s="7">
        <v>500</v>
      </c>
      <c r="I83" s="2"/>
      <c r="J83" s="6">
        <f t="shared" si="46"/>
        <v>9.0586766722770069E-4</v>
      </c>
      <c r="K83" s="2"/>
      <c r="L83" s="7">
        <f t="shared" si="47"/>
        <v>2132.64</v>
      </c>
      <c r="M83" s="2"/>
      <c r="N83" s="6">
        <f t="shared" si="48"/>
        <v>4.2652799999999997</v>
      </c>
      <c r="O83" s="11"/>
      <c r="P83" s="7">
        <v>6292.81</v>
      </c>
      <c r="Q83" s="2"/>
      <c r="R83" s="6">
        <f t="shared" si="49"/>
        <v>1.4183799461662013E-2</v>
      </c>
      <c r="S83" s="2"/>
      <c r="T83" s="7">
        <v>2000</v>
      </c>
      <c r="U83" s="2"/>
      <c r="V83" s="6">
        <f t="shared" si="50"/>
        <v>1.7384516827777677E-3</v>
      </c>
      <c r="W83" s="2"/>
      <c r="X83" s="7">
        <f t="shared" si="51"/>
        <v>4292.8100000000004</v>
      </c>
      <c r="Y83" s="2"/>
      <c r="Z83" s="6">
        <f t="shared" si="52"/>
        <v>2.1464050000000001</v>
      </c>
    </row>
    <row r="84" spans="1:26" s="24" customFormat="1" hidden="1" outlineLevel="2" x14ac:dyDescent="0.25">
      <c r="A84" s="28"/>
      <c r="B84" s="11" t="str">
        <f>CONCATENATE("          ", "6244", " - ", "SAFETY SUPPLY EXPENSE")</f>
        <v xml:space="preserve">          6244 - SAFETY SUPPLY EXPENSE</v>
      </c>
      <c r="C84" s="11"/>
      <c r="D84" s="7"/>
      <c r="E84" s="2"/>
      <c r="F84" s="6">
        <f t="shared" si="45"/>
        <v>0</v>
      </c>
      <c r="G84" s="2"/>
      <c r="H84" s="7">
        <v>180</v>
      </c>
      <c r="I84" s="2"/>
      <c r="J84" s="6">
        <f t="shared" si="46"/>
        <v>3.2611236020197224E-4</v>
      </c>
      <c r="K84" s="2"/>
      <c r="L84" s="7">
        <f t="shared" si="47"/>
        <v>-180</v>
      </c>
      <c r="M84" s="2"/>
      <c r="N84" s="6">
        <f t="shared" si="48"/>
        <v>-1</v>
      </c>
      <c r="O84" s="11"/>
      <c r="P84" s="7"/>
      <c r="Q84" s="2"/>
      <c r="R84" s="6">
        <f t="shared" si="49"/>
        <v>0</v>
      </c>
      <c r="S84" s="2"/>
      <c r="T84" s="7">
        <v>580</v>
      </c>
      <c r="U84" s="2"/>
      <c r="V84" s="6">
        <f t="shared" si="50"/>
        <v>5.0415098800555256E-4</v>
      </c>
      <c r="W84" s="2"/>
      <c r="X84" s="7">
        <f t="shared" si="51"/>
        <v>-580</v>
      </c>
      <c r="Y84" s="2"/>
      <c r="Z84" s="6">
        <f t="shared" si="52"/>
        <v>-1</v>
      </c>
    </row>
    <row r="85" spans="1:26" s="24" customFormat="1" hidden="1" outlineLevel="2" x14ac:dyDescent="0.25">
      <c r="A85" s="28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45"/>
        <v>0</v>
      </c>
      <c r="G85" s="2"/>
      <c r="H85" s="7">
        <v>150</v>
      </c>
      <c r="I85" s="2"/>
      <c r="J85" s="6">
        <f t="shared" si="46"/>
        <v>2.717603001683102E-4</v>
      </c>
      <c r="K85" s="2"/>
      <c r="L85" s="7">
        <f t="shared" si="47"/>
        <v>-150</v>
      </c>
      <c r="M85" s="2"/>
      <c r="N85" s="6">
        <f t="shared" si="48"/>
        <v>-1</v>
      </c>
      <c r="O85" s="11"/>
      <c r="P85" s="7"/>
      <c r="Q85" s="2"/>
      <c r="R85" s="6">
        <f t="shared" si="49"/>
        <v>0</v>
      </c>
      <c r="S85" s="2"/>
      <c r="T85" s="7">
        <v>1600</v>
      </c>
      <c r="U85" s="2"/>
      <c r="V85" s="6">
        <f t="shared" si="50"/>
        <v>1.3907613462222142E-3</v>
      </c>
      <c r="W85" s="2"/>
      <c r="X85" s="7">
        <f t="shared" si="51"/>
        <v>-1600</v>
      </c>
      <c r="Y85" s="2"/>
      <c r="Z85" s="6">
        <f t="shared" si="52"/>
        <v>-1</v>
      </c>
    </row>
    <row r="86" spans="1:26" s="24" customFormat="1" hidden="1" outlineLevel="2" x14ac:dyDescent="0.25">
      <c r="A86" s="28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45"/>
        <v>0</v>
      </c>
      <c r="G86" s="2"/>
      <c r="H86" s="7">
        <v>18</v>
      </c>
      <c r="I86" s="2"/>
      <c r="J86" s="6">
        <f t="shared" si="46"/>
        <v>3.2611236020197225E-5</v>
      </c>
      <c r="K86" s="2"/>
      <c r="L86" s="7">
        <f t="shared" si="47"/>
        <v>-18</v>
      </c>
      <c r="M86" s="2"/>
      <c r="N86" s="6">
        <f t="shared" si="48"/>
        <v>-1</v>
      </c>
      <c r="O86" s="11"/>
      <c r="P86" s="7"/>
      <c r="Q86" s="2"/>
      <c r="R86" s="6">
        <f t="shared" si="49"/>
        <v>0</v>
      </c>
      <c r="S86" s="2"/>
      <c r="T86" s="7">
        <v>54</v>
      </c>
      <c r="U86" s="2"/>
      <c r="V86" s="6">
        <f t="shared" si="50"/>
        <v>4.6938195434999723E-5</v>
      </c>
      <c r="W86" s="2"/>
      <c r="X86" s="7">
        <f t="shared" si="51"/>
        <v>-54</v>
      </c>
      <c r="Y86" s="2"/>
      <c r="Z86" s="6">
        <f t="shared" si="52"/>
        <v>-1</v>
      </c>
    </row>
    <row r="87" spans="1:26" s="24" customFormat="1" hidden="1" outlineLevel="2" x14ac:dyDescent="0.25">
      <c r="A87" s="28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45"/>
        <v>0</v>
      </c>
      <c r="G87" s="2"/>
      <c r="H87" s="7">
        <v>2000</v>
      </c>
      <c r="I87" s="2"/>
      <c r="J87" s="6">
        <f t="shared" si="46"/>
        <v>3.6234706689108028E-3</v>
      </c>
      <c r="K87" s="2"/>
      <c r="L87" s="7">
        <f t="shared" si="47"/>
        <v>-2000</v>
      </c>
      <c r="M87" s="2"/>
      <c r="N87" s="6">
        <f t="shared" si="48"/>
        <v>-1</v>
      </c>
      <c r="O87" s="11"/>
      <c r="P87" s="7">
        <v>3814.68</v>
      </c>
      <c r="Q87" s="2"/>
      <c r="R87" s="6">
        <f t="shared" si="49"/>
        <v>8.5981709491328735E-3</v>
      </c>
      <c r="S87" s="2"/>
      <c r="T87" s="7">
        <v>6350</v>
      </c>
      <c r="U87" s="2"/>
      <c r="V87" s="6">
        <f t="shared" si="50"/>
        <v>5.519584092819412E-3</v>
      </c>
      <c r="W87" s="2"/>
      <c r="X87" s="7">
        <f t="shared" si="51"/>
        <v>-2535.3200000000002</v>
      </c>
      <c r="Y87" s="2"/>
      <c r="Z87" s="6">
        <f t="shared" si="52"/>
        <v>-0.39926299212598426</v>
      </c>
    </row>
    <row r="88" spans="1:26" s="27" customFormat="1" outlineLevel="1" collapsed="1" x14ac:dyDescent="0.25">
      <c r="A88" s="29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SUM(OSRRefD22_15x_0)</f>
        <v>547.32000000000005</v>
      </c>
      <c r="E88" s="1"/>
      <c r="F88" s="5">
        <f t="shared" ref="F88:F90" si="53">IF(D$12=0,0,D88/D$12)</f>
        <v>3.5972201792931523E-3</v>
      </c>
      <c r="G88" s="1"/>
      <c r="H88" s="1">
        <f>SUM(OSRRefH22_15x_0)</f>
        <v>725</v>
      </c>
      <c r="I88" s="1"/>
      <c r="J88" s="5">
        <f t="shared" ref="J88:J90" si="54">IF(H$12=0,0,H88/H$12)</f>
        <v>1.3135081174801661E-3</v>
      </c>
      <c r="K88" s="1"/>
      <c r="L88" s="1">
        <f t="shared" ref="L88:L90" si="55">+D88-H88</f>
        <v>-177.67999999999995</v>
      </c>
      <c r="M88" s="1"/>
      <c r="N88" s="5">
        <f t="shared" ref="N88:N90" si="56">IF(H88=0,0,L88/H88)</f>
        <v>-0.24507586206896545</v>
      </c>
      <c r="O88" s="14"/>
      <c r="P88" s="1">
        <f>SUM(OSRRefP22_15x_0)</f>
        <v>2787.32</v>
      </c>
      <c r="Q88" s="1"/>
      <c r="R88" s="5">
        <f t="shared" ref="R88:R90" si="57">IF(P$12=0,0,P88/P$12)</f>
        <v>6.2825332268858841E-3</v>
      </c>
      <c r="S88" s="1"/>
      <c r="T88" s="1">
        <f>SUM(OSRRefT22_15x_0)</f>
        <v>2900</v>
      </c>
      <c r="U88" s="1"/>
      <c r="V88" s="5">
        <f t="shared" ref="V88:V90" si="58">IF(T$12=0,0,T88/T$12)</f>
        <v>2.5207549400277631E-3</v>
      </c>
      <c r="W88" s="1"/>
      <c r="X88" s="1">
        <f t="shared" ref="X88:X90" si="59">+P88-T88</f>
        <v>-112.67999999999984</v>
      </c>
      <c r="Y88" s="1"/>
      <c r="Z88" s="5">
        <f t="shared" ref="Z88:Z90" si="60">IF(T88=0,0,X88/T88)</f>
        <v>-3.8855172413793049E-2</v>
      </c>
    </row>
    <row r="89" spans="1:26" s="24" customFormat="1" hidden="1" outlineLevel="2" x14ac:dyDescent="0.25">
      <c r="A89" s="28"/>
      <c r="B89" s="11" t="str">
        <f>CONCATENATE("          ", "6303", " - ", "DATA PHONE LINES")</f>
        <v xml:space="preserve">          6303 - DATA PHONE LINES</v>
      </c>
      <c r="C89" s="11"/>
      <c r="D89" s="7"/>
      <c r="E89" s="2"/>
      <c r="F89" s="6">
        <f t="shared" si="53"/>
        <v>0</v>
      </c>
      <c r="G89" s="2"/>
      <c r="H89" s="7">
        <v>500</v>
      </c>
      <c r="I89" s="2"/>
      <c r="J89" s="6">
        <f t="shared" si="54"/>
        <v>9.0586766722770069E-4</v>
      </c>
      <c r="K89" s="2"/>
      <c r="L89" s="7">
        <f t="shared" si="55"/>
        <v>-500</v>
      </c>
      <c r="M89" s="2"/>
      <c r="N89" s="6">
        <f t="shared" si="56"/>
        <v>-1</v>
      </c>
      <c r="O89" s="11"/>
      <c r="P89" s="7"/>
      <c r="Q89" s="2"/>
      <c r="R89" s="6">
        <f t="shared" si="57"/>
        <v>0</v>
      </c>
      <c r="S89" s="2"/>
      <c r="T89" s="7">
        <v>2000</v>
      </c>
      <c r="U89" s="2"/>
      <c r="V89" s="6">
        <f t="shared" si="58"/>
        <v>1.7384516827777677E-3</v>
      </c>
      <c r="W89" s="2"/>
      <c r="X89" s="7">
        <f t="shared" si="59"/>
        <v>-2000</v>
      </c>
      <c r="Y89" s="2"/>
      <c r="Z89" s="6">
        <f t="shared" si="60"/>
        <v>-1</v>
      </c>
    </row>
    <row r="90" spans="1:26" s="24" customFormat="1" hidden="1" outlineLevel="2" x14ac:dyDescent="0.25">
      <c r="A90" s="28"/>
      <c r="B90" s="11" t="str">
        <f>CONCATENATE("          ", "6309", " - ", "TELEPHONE")</f>
        <v xml:space="preserve">          6309 - TELEPHONE</v>
      </c>
      <c r="C90" s="11"/>
      <c r="D90" s="7">
        <v>547.32000000000005</v>
      </c>
      <c r="E90" s="2"/>
      <c r="F90" s="6">
        <f t="shared" si="53"/>
        <v>3.5972201792931523E-3</v>
      </c>
      <c r="G90" s="2"/>
      <c r="H90" s="7">
        <v>225</v>
      </c>
      <c r="I90" s="2"/>
      <c r="J90" s="6">
        <f t="shared" si="54"/>
        <v>4.0764045025246532E-4</v>
      </c>
      <c r="K90" s="2"/>
      <c r="L90" s="7">
        <f t="shared" si="55"/>
        <v>322.32000000000005</v>
      </c>
      <c r="M90" s="2"/>
      <c r="N90" s="6">
        <f t="shared" si="56"/>
        <v>1.4325333333333337</v>
      </c>
      <c r="O90" s="11"/>
      <c r="P90" s="7">
        <v>2787.32</v>
      </c>
      <c r="Q90" s="2"/>
      <c r="R90" s="6">
        <f t="shared" si="57"/>
        <v>6.2825332268858841E-3</v>
      </c>
      <c r="S90" s="2"/>
      <c r="T90" s="7">
        <v>900</v>
      </c>
      <c r="U90" s="2"/>
      <c r="V90" s="6">
        <f t="shared" si="58"/>
        <v>7.8230325724999543E-4</v>
      </c>
      <c r="W90" s="2"/>
      <c r="X90" s="7">
        <f t="shared" si="59"/>
        <v>1887.3200000000002</v>
      </c>
      <c r="Y90" s="2"/>
      <c r="Z90" s="6">
        <f t="shared" si="60"/>
        <v>2.0970222222222223</v>
      </c>
    </row>
    <row r="91" spans="1:26" s="27" customFormat="1" outlineLevel="1" collapsed="1" x14ac:dyDescent="0.25">
      <c r="A91" s="29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SUM(OSRRefD22_16x_0)</f>
        <v>385</v>
      </c>
      <c r="E91" s="1"/>
      <c r="F91" s="5">
        <f t="shared" ref="F91:F94" si="61">IF(D$12=0,0,D91/D$12)</f>
        <v>2.5303839966159896E-3</v>
      </c>
      <c r="G91" s="1"/>
      <c r="H91" s="1">
        <f>SUM(OSRRefH22_16x_0)</f>
        <v>750</v>
      </c>
      <c r="I91" s="1"/>
      <c r="J91" s="5">
        <f t="shared" ref="J91:J94" si="62">IF(H$12=0,0,H91/H$12)</f>
        <v>1.3588015008415512E-3</v>
      </c>
      <c r="K91" s="1"/>
      <c r="L91" s="1">
        <f t="shared" ref="L91:L94" si="63">+D91-H91</f>
        <v>-365</v>
      </c>
      <c r="M91" s="1"/>
      <c r="N91" s="5">
        <f t="shared" ref="N91:N94" si="64">IF(H91=0,0,L91/H91)</f>
        <v>-0.48666666666666669</v>
      </c>
      <c r="O91" s="14"/>
      <c r="P91" s="1">
        <f>SUM(OSRRefP22_16x_0)</f>
        <v>735</v>
      </c>
      <c r="Q91" s="1"/>
      <c r="R91" s="5">
        <f t="shared" ref="R91:R94" si="65">IF(P$12=0,0,P91/P$12)</f>
        <v>1.6566673082965447E-3</v>
      </c>
      <c r="S91" s="1"/>
      <c r="T91" s="1">
        <f>SUM(OSRRefT22_16x_0)</f>
        <v>2650</v>
      </c>
      <c r="U91" s="1"/>
      <c r="V91" s="5">
        <f t="shared" ref="V91:V94" si="66">IF(T$12=0,0,T91/T$12)</f>
        <v>2.3034484796805423E-3</v>
      </c>
      <c r="W91" s="1"/>
      <c r="X91" s="1">
        <f t="shared" ref="X91:X94" si="67">+P91-T91</f>
        <v>-1915</v>
      </c>
      <c r="Y91" s="1"/>
      <c r="Z91" s="5">
        <f t="shared" ref="Z91:Z94" si="68">IF(T91=0,0,X91/T91)</f>
        <v>-0.72264150943396221</v>
      </c>
    </row>
    <row r="92" spans="1:26" s="24" customFormat="1" hidden="1" outlineLevel="2" x14ac:dyDescent="0.25">
      <c r="A92" s="28"/>
      <c r="B92" s="11" t="str">
        <f>CONCATENATE("          ", "6376", " - ", "TRAINING")</f>
        <v xml:space="preserve">          6376 - TRAINING</v>
      </c>
      <c r="C92" s="11"/>
      <c r="D92" s="7">
        <v>385</v>
      </c>
      <c r="E92" s="2"/>
      <c r="F92" s="6">
        <f t="shared" si="61"/>
        <v>2.5303839966159896E-3</v>
      </c>
      <c r="G92" s="2"/>
      <c r="H92" s="7">
        <v>750</v>
      </c>
      <c r="I92" s="2"/>
      <c r="J92" s="6">
        <f t="shared" si="62"/>
        <v>1.3588015008415512E-3</v>
      </c>
      <c r="K92" s="2"/>
      <c r="L92" s="7">
        <f t="shared" si="63"/>
        <v>-365</v>
      </c>
      <c r="M92" s="2"/>
      <c r="N92" s="6">
        <f t="shared" si="64"/>
        <v>-0.48666666666666669</v>
      </c>
      <c r="O92" s="11"/>
      <c r="P92" s="7">
        <v>735</v>
      </c>
      <c r="Q92" s="2"/>
      <c r="R92" s="6">
        <f t="shared" si="65"/>
        <v>1.6566673082965447E-3</v>
      </c>
      <c r="S92" s="2"/>
      <c r="T92" s="7">
        <v>2650</v>
      </c>
      <c r="U92" s="2"/>
      <c r="V92" s="6">
        <f t="shared" si="66"/>
        <v>2.3034484796805423E-3</v>
      </c>
      <c r="W92" s="2"/>
      <c r="X92" s="7">
        <f t="shared" si="67"/>
        <v>-1915</v>
      </c>
      <c r="Y92" s="2"/>
      <c r="Z92" s="6">
        <f t="shared" si="68"/>
        <v>-0.72264150943396221</v>
      </c>
    </row>
    <row r="93" spans="1:26" s="27" customFormat="1" outlineLevel="1" collapsed="1" x14ac:dyDescent="0.25">
      <c r="A93" s="29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SUM(OSRRefD22_17x_0)</f>
        <v>0</v>
      </c>
      <c r="E93" s="1"/>
      <c r="F93" s="5">
        <f t="shared" si="61"/>
        <v>0</v>
      </c>
      <c r="G93" s="1"/>
      <c r="H93" s="1">
        <f>SUM(OSRRefH22_17x_0)</f>
        <v>300</v>
      </c>
      <c r="I93" s="1"/>
      <c r="J93" s="5">
        <f t="shared" si="62"/>
        <v>5.435206003366204E-4</v>
      </c>
      <c r="K93" s="1"/>
      <c r="L93" s="1">
        <f t="shared" si="63"/>
        <v>-300</v>
      </c>
      <c r="M93" s="1"/>
      <c r="N93" s="5">
        <f t="shared" si="64"/>
        <v>-1</v>
      </c>
      <c r="O93" s="14"/>
      <c r="P93" s="1">
        <f>SUM(OSRRefP22_17x_0)</f>
        <v>0</v>
      </c>
      <c r="Q93" s="1"/>
      <c r="R93" s="5">
        <f t="shared" si="65"/>
        <v>0</v>
      </c>
      <c r="S93" s="1"/>
      <c r="T93" s="1">
        <f>SUM(OSRRefT22_17x_0)</f>
        <v>1200</v>
      </c>
      <c r="U93" s="1"/>
      <c r="V93" s="5">
        <f t="shared" si="66"/>
        <v>1.0430710096666605E-3</v>
      </c>
      <c r="W93" s="1"/>
      <c r="X93" s="1">
        <f t="shared" si="67"/>
        <v>-1200</v>
      </c>
      <c r="Y93" s="1"/>
      <c r="Z93" s="5">
        <f t="shared" si="68"/>
        <v>-1</v>
      </c>
    </row>
    <row r="94" spans="1:26" s="24" customFormat="1" hidden="1" outlineLevel="2" x14ac:dyDescent="0.25">
      <c r="A94" s="28"/>
      <c r="B94" s="11" t="str">
        <f>CONCATENATE("          ", "6292", " - ", "TRAVEL/CONFERENCE")</f>
        <v xml:space="preserve">          6292 - TRAVEL/CONFERENCE</v>
      </c>
      <c r="C94" s="11"/>
      <c r="D94" s="7"/>
      <c r="E94" s="2"/>
      <c r="F94" s="6">
        <f t="shared" si="61"/>
        <v>0</v>
      </c>
      <c r="G94" s="2"/>
      <c r="H94" s="7">
        <v>300</v>
      </c>
      <c r="I94" s="2"/>
      <c r="J94" s="6">
        <f t="shared" si="62"/>
        <v>5.435206003366204E-4</v>
      </c>
      <c r="K94" s="2"/>
      <c r="L94" s="7">
        <f t="shared" si="63"/>
        <v>-300</v>
      </c>
      <c r="M94" s="2"/>
      <c r="N94" s="6">
        <f t="shared" si="64"/>
        <v>-1</v>
      </c>
      <c r="O94" s="11"/>
      <c r="P94" s="7"/>
      <c r="Q94" s="2"/>
      <c r="R94" s="6">
        <f t="shared" si="65"/>
        <v>0</v>
      </c>
      <c r="S94" s="2"/>
      <c r="T94" s="7">
        <v>1200</v>
      </c>
      <c r="U94" s="2"/>
      <c r="V94" s="6">
        <f t="shared" si="66"/>
        <v>1.0430710096666605E-3</v>
      </c>
      <c r="W94" s="2"/>
      <c r="X94" s="7">
        <f t="shared" si="67"/>
        <v>-1200</v>
      </c>
      <c r="Y94" s="2"/>
      <c r="Z94" s="6">
        <f t="shared" si="68"/>
        <v>-1</v>
      </c>
    </row>
    <row r="95" spans="1:26" s="63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5" t="s">
        <v>0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6" t="s">
        <v>3</v>
      </c>
      <c r="C98" s="26"/>
      <c r="D98" s="20">
        <f>+D23-D25+D96</f>
        <v>-209343.61999999997</v>
      </c>
      <c r="E98" s="13"/>
      <c r="F98" s="19">
        <f>IF(D$12=0,0,D98/D$12)</f>
        <v>-1.3758954437445687</v>
      </c>
      <c r="G98" s="13"/>
      <c r="H98" s="20">
        <f>+H23-H25+H96</f>
        <v>-26056.455130157585</v>
      </c>
      <c r="I98" s="13"/>
      <c r="J98" s="19">
        <f>IF(H$12=0,0,H98/H$12)</f>
        <v>-4.7207400449958213E-2</v>
      </c>
      <c r="K98" s="15"/>
      <c r="L98" s="20">
        <f>+D98-H98</f>
        <v>-183287.16486984238</v>
      </c>
      <c r="M98" s="15"/>
      <c r="N98" s="19">
        <f>IF(H98=0,0,L98/H98)</f>
        <v>7.034232552136646</v>
      </c>
      <c r="O98" s="25"/>
      <c r="P98" s="20">
        <f>+P23-P25+P96</f>
        <v>-645168.41000000027</v>
      </c>
      <c r="Q98" s="13"/>
      <c r="R98" s="19">
        <f>IF(P$12=0,0,P98/P$12)</f>
        <v>-1.4541896778131456</v>
      </c>
      <c r="S98" s="13"/>
      <c r="T98" s="20">
        <f>+T23-T25+T96</f>
        <v>-566191.32174831745</v>
      </c>
      <c r="U98" s="13"/>
      <c r="V98" s="19">
        <f>IF(T$12=0,0,T98/T$12)</f>
        <v>-0.49214812803376545</v>
      </c>
      <c r="W98" s="15"/>
      <c r="X98" s="20">
        <f>+P98-T98</f>
        <v>-78977.088251682813</v>
      </c>
      <c r="Y98" s="15"/>
      <c r="Z98" s="19">
        <f>IF(T98=0,0,X98/T98)</f>
        <v>0.13948834116321832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42102.83</v>
      </c>
      <c r="E100" s="4"/>
      <c r="F100" s="12">
        <f>IF(D$12=0,0,D100/D$12)</f>
        <v>0.27671773310193143</v>
      </c>
      <c r="G100" s="4"/>
      <c r="H100" s="4">
        <v>101826</v>
      </c>
      <c r="I100" s="4"/>
      <c r="J100" s="12">
        <f>IF(H$12=0,0,H100/H$12)</f>
        <v>0.1844817621662557</v>
      </c>
      <c r="K100" s="4"/>
      <c r="L100" s="4">
        <f>+D100-H100</f>
        <v>-59723.17</v>
      </c>
      <c r="M100" s="4"/>
      <c r="N100" s="12">
        <f>IF(H100=0,0,L100/H100)</f>
        <v>-0.58652181171802875</v>
      </c>
      <c r="O100" s="10"/>
      <c r="P100" s="4">
        <v>96106.69</v>
      </c>
      <c r="Q100" s="4"/>
      <c r="R100" s="12">
        <f>IF(P$12=0,0,P100/P$12)</f>
        <v>0.21662151215182374</v>
      </c>
      <c r="S100" s="4"/>
      <c r="T100" s="4">
        <v>188351</v>
      </c>
      <c r="U100" s="4"/>
      <c r="V100" s="12">
        <f>IF(T$12=0,0,T100/T$12)</f>
        <v>0.16371955645143765</v>
      </c>
      <c r="W100" s="4"/>
      <c r="X100" s="4">
        <f>+P100-T100</f>
        <v>-92244.31</v>
      </c>
      <c r="Y100" s="4"/>
      <c r="Z100" s="12">
        <f>IF(T100=0,0,X100/T100)</f>
        <v>-0.4897468556046955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4</v>
      </c>
      <c r="C102" s="26"/>
      <c r="D102" s="34">
        <f>+D98-D100</f>
        <v>-251446.44999999995</v>
      </c>
      <c r="E102" s="13"/>
      <c r="F102" s="35">
        <f>IF(D$12=0,0,D102/D$12)</f>
        <v>-1.6526131768465</v>
      </c>
      <c r="G102" s="13"/>
      <c r="H102" s="34">
        <f>+H98-H100</f>
        <v>-127882.45513015758</v>
      </c>
      <c r="I102" s="13"/>
      <c r="J102" s="35">
        <f>IF(H$12=0,0,H102/H$12)</f>
        <v>-0.23168916261621392</v>
      </c>
      <c r="K102" s="15"/>
      <c r="L102" s="34">
        <f>D102-H102</f>
        <v>-123563.99486984237</v>
      </c>
      <c r="M102" s="15"/>
      <c r="N102" s="35">
        <f>IF(H102=0,0,L102/H102)</f>
        <v>0.96623101850898996</v>
      </c>
      <c r="O102" s="25"/>
      <c r="P102" s="34">
        <f>+P98-P100</f>
        <v>-741275.10000000033</v>
      </c>
      <c r="Q102" s="13"/>
      <c r="R102" s="35">
        <f>IF(P$12=0,0,P102/P$12)</f>
        <v>-1.6708111899649694</v>
      </c>
      <c r="S102" s="13"/>
      <c r="T102" s="34">
        <f>+T98-T100</f>
        <v>-754542.32174831745</v>
      </c>
      <c r="U102" s="13"/>
      <c r="V102" s="35">
        <f>IF(T$12=0,0,T102/T$12)</f>
        <v>-0.65586768448520316</v>
      </c>
      <c r="W102" s="15"/>
      <c r="X102" s="34">
        <f>P102-T102</f>
        <v>13267.221748317126</v>
      </c>
      <c r="Y102" s="15"/>
      <c r="Z102" s="35">
        <f>IF(T102=0,0,X102/T102)</f>
        <v>-1.7583137971076586E-2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6" t="s">
        <v>5</v>
      </c>
      <c r="C105" s="26"/>
      <c r="D105" s="30">
        <f>SUM(D102:D104)</f>
        <v>-251446.44999999995</v>
      </c>
      <c r="E105" s="13"/>
      <c r="F105" s="32">
        <f>IF(D$12=0,0,D105/D$12)</f>
        <v>-1.6526131768465</v>
      </c>
      <c r="G105" s="13"/>
      <c r="H105" s="30">
        <f>SUM(H102:H104)</f>
        <v>-127882.45513015758</v>
      </c>
      <c r="I105" s="13"/>
      <c r="J105" s="32">
        <f>IF(H$12=0,0,H105/H$12)</f>
        <v>-0.23168916261621392</v>
      </c>
      <c r="K105" s="15"/>
      <c r="L105" s="30">
        <f>+D105-H105</f>
        <v>-123563.99486984237</v>
      </c>
      <c r="M105" s="15"/>
      <c r="N105" s="32">
        <f>IF(H105=0,0,L105/H105)</f>
        <v>0.96623101850898996</v>
      </c>
      <c r="O105" s="25"/>
      <c r="P105" s="30">
        <f>SUM(P102:P104)</f>
        <v>-741275.10000000033</v>
      </c>
      <c r="Q105" s="13"/>
      <c r="R105" s="32">
        <f>IF(P$12=0,0,P105/P$12)</f>
        <v>-1.6708111899649694</v>
      </c>
      <c r="S105" s="13"/>
      <c r="T105" s="30">
        <f>SUM(T102:T104)</f>
        <v>-754542.32174831745</v>
      </c>
      <c r="U105" s="13"/>
      <c r="V105" s="32">
        <f>IF(T$12=0,0,T105/T$12)</f>
        <v>-0.65586768448520316</v>
      </c>
      <c r="W105" s="15"/>
      <c r="X105" s="30">
        <f>+P105-T105</f>
        <v>13267.221748317126</v>
      </c>
      <c r="Y105" s="15"/>
      <c r="Z105" s="32">
        <f>IF(T105=0,0,X105/T105)</f>
        <v>-1.7583137971076586E-2</v>
      </c>
    </row>
    <row r="106" spans="1:26" ht="15.75" thickTop="1" x14ac:dyDescent="0.25">
      <c r="A106" s="9"/>
      <c r="C106" s="9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60">
        <v>44151.567925115742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58" t="s">
        <v>314</v>
      </c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53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","430", " - ", "Res Hall Management")</f>
        <v>Department 430 - Res Hall Management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18225.39</v>
      </c>
      <c r="E18" s="21"/>
      <c r="F18" s="31">
        <f t="shared" ref="F18:F28" si="0">IF(D$12=0,0,D18/D$12)</f>
        <v>0</v>
      </c>
      <c r="G18" s="21"/>
      <c r="H18" s="21">
        <f>SUM(OSRRefH22x_0)</f>
        <v>16506.915925000001</v>
      </c>
      <c r="I18" s="21"/>
      <c r="J18" s="31">
        <f t="shared" ref="J18:J28" si="1">IF(H$12=0,0,H18/H$12)</f>
        <v>0</v>
      </c>
      <c r="K18" s="4"/>
      <c r="L18" s="21">
        <f t="shared" ref="L18:L28" si="2">+D18-H18</f>
        <v>1718.4740749999983</v>
      </c>
      <c r="M18" s="4"/>
      <c r="N18" s="31">
        <f t="shared" ref="N18:N28" si="3">IF(H18=0,0,L18/H18)</f>
        <v>0.10410630809582912</v>
      </c>
      <c r="O18" s="10"/>
      <c r="P18" s="21">
        <f>SUM(OSRRefP22x_0)</f>
        <v>65455.35</v>
      </c>
      <c r="Q18" s="21"/>
      <c r="R18" s="31">
        <f t="shared" ref="R18:R28" si="4">IF(P$12=0,0,P18/P$12)</f>
        <v>0</v>
      </c>
      <c r="S18" s="21"/>
      <c r="T18" s="21">
        <f>SUM(OSRRefT22x_0)</f>
        <v>60616.89733</v>
      </c>
      <c r="U18" s="21"/>
      <c r="V18" s="31">
        <f t="shared" ref="V18:V28" si="5">IF(T$12=0,0,T18/T$12)</f>
        <v>0</v>
      </c>
      <c r="W18" s="4"/>
      <c r="X18" s="21">
        <f t="shared" ref="X18:X28" si="6">+P18-T18</f>
        <v>4838.4526699999988</v>
      </c>
      <c r="Y18" s="4"/>
      <c r="Z18" s="31">
        <f t="shared" ref="Z18:Z28" si="7">IF(T18=0,0,X18/T18)</f>
        <v>7.9820196729293719E-2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6976.08</v>
      </c>
      <c r="E19" s="1"/>
      <c r="F19" s="5">
        <f t="shared" si="0"/>
        <v>0</v>
      </c>
      <c r="G19" s="1"/>
      <c r="H19" s="1">
        <f>SUM(OSRRefH22_0x_0)</f>
        <v>4869.2909250000002</v>
      </c>
      <c r="I19" s="1"/>
      <c r="J19" s="5">
        <f t="shared" si="1"/>
        <v>0</v>
      </c>
      <c r="K19" s="1"/>
      <c r="L19" s="1">
        <f t="shared" si="2"/>
        <v>2106.7890749999997</v>
      </c>
      <c r="M19" s="1"/>
      <c r="N19" s="5">
        <f t="shared" si="3"/>
        <v>0.43266855635659102</v>
      </c>
      <c r="O19" s="14"/>
      <c r="P19" s="1">
        <f>SUM(OSRRefP22_0x_0)</f>
        <v>23480.39</v>
      </c>
      <c r="Q19" s="1"/>
      <c r="R19" s="5">
        <f t="shared" si="4"/>
        <v>0</v>
      </c>
      <c r="S19" s="1"/>
      <c r="T19" s="1">
        <f>SUM(OSRRefT22_0x_0)</f>
        <v>18321.447330000003</v>
      </c>
      <c r="U19" s="1"/>
      <c r="V19" s="5">
        <f t="shared" si="5"/>
        <v>0</v>
      </c>
      <c r="W19" s="1"/>
      <c r="X19" s="1">
        <f t="shared" si="6"/>
        <v>5158.9426699999967</v>
      </c>
      <c r="Y19" s="1"/>
      <c r="Z19" s="5">
        <f t="shared" si="7"/>
        <v>0.28157942858327645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1228.6099999999999</v>
      </c>
      <c r="E20" s="2"/>
      <c r="F20" s="6">
        <f t="shared" si="0"/>
        <v>0</v>
      </c>
      <c r="G20" s="2"/>
      <c r="H20" s="7">
        <v>856.94467499999996</v>
      </c>
      <c r="I20" s="2"/>
      <c r="J20" s="6">
        <f t="shared" si="1"/>
        <v>0</v>
      </c>
      <c r="K20" s="2"/>
      <c r="L20" s="7">
        <f t="shared" si="2"/>
        <v>371.66532499999994</v>
      </c>
      <c r="M20" s="2"/>
      <c r="N20" s="6">
        <f t="shared" si="3"/>
        <v>0.43370982496623828</v>
      </c>
      <c r="O20" s="11"/>
      <c r="P20" s="7">
        <v>3284.87</v>
      </c>
      <c r="Q20" s="2"/>
      <c r="R20" s="6">
        <f t="shared" si="4"/>
        <v>0</v>
      </c>
      <c r="S20" s="2"/>
      <c r="T20" s="7">
        <v>3085.0008300000004</v>
      </c>
      <c r="U20" s="2"/>
      <c r="V20" s="6">
        <f t="shared" si="5"/>
        <v>0</v>
      </c>
      <c r="W20" s="2"/>
      <c r="X20" s="7">
        <f t="shared" si="6"/>
        <v>199.86916999999949</v>
      </c>
      <c r="Y20" s="2"/>
      <c r="Z20" s="6">
        <f t="shared" si="7"/>
        <v>6.4787395859468688E-2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384.36</v>
      </c>
      <c r="E21" s="2"/>
      <c r="F21" s="6">
        <f t="shared" si="0"/>
        <v>0</v>
      </c>
      <c r="G21" s="2"/>
      <c r="H21" s="7">
        <v>480.37275</v>
      </c>
      <c r="I21" s="2"/>
      <c r="J21" s="6">
        <f t="shared" si="1"/>
        <v>0</v>
      </c>
      <c r="K21" s="2"/>
      <c r="L21" s="7">
        <f t="shared" si="2"/>
        <v>-96.012749999999983</v>
      </c>
      <c r="M21" s="2"/>
      <c r="N21" s="6">
        <f t="shared" si="3"/>
        <v>-0.19987134990483948</v>
      </c>
      <c r="O21" s="11"/>
      <c r="P21" s="7">
        <v>1537.44</v>
      </c>
      <c r="Q21" s="2"/>
      <c r="R21" s="6">
        <f t="shared" si="4"/>
        <v>0</v>
      </c>
      <c r="S21" s="2"/>
      <c r="T21" s="7">
        <v>1729.3418999999999</v>
      </c>
      <c r="U21" s="2"/>
      <c r="V21" s="6">
        <f t="shared" si="5"/>
        <v>0</v>
      </c>
      <c r="W21" s="2"/>
      <c r="X21" s="7">
        <f t="shared" si="6"/>
        <v>-191.90189999999984</v>
      </c>
      <c r="Y21" s="2"/>
      <c r="Z21" s="6">
        <f t="shared" si="7"/>
        <v>-0.11096816656093272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2737.9</v>
      </c>
      <c r="E22" s="2"/>
      <c r="F22" s="6">
        <f t="shared" si="0"/>
        <v>0</v>
      </c>
      <c r="G22" s="2"/>
      <c r="H22" s="7">
        <v>1980</v>
      </c>
      <c r="I22" s="2"/>
      <c r="J22" s="6">
        <f t="shared" si="1"/>
        <v>0</v>
      </c>
      <c r="K22" s="2"/>
      <c r="L22" s="7">
        <f t="shared" si="2"/>
        <v>757.90000000000009</v>
      </c>
      <c r="M22" s="2"/>
      <c r="N22" s="6">
        <f t="shared" si="3"/>
        <v>0.38277777777777783</v>
      </c>
      <c r="O22" s="11"/>
      <c r="P22" s="7">
        <v>10951.6</v>
      </c>
      <c r="Q22" s="2"/>
      <c r="R22" s="6">
        <f t="shared" si="4"/>
        <v>0</v>
      </c>
      <c r="S22" s="2"/>
      <c r="T22" s="7">
        <v>7920</v>
      </c>
      <c r="U22" s="2"/>
      <c r="V22" s="6">
        <f t="shared" si="5"/>
        <v>0</v>
      </c>
      <c r="W22" s="2"/>
      <c r="X22" s="7">
        <f t="shared" si="6"/>
        <v>3031.6000000000004</v>
      </c>
      <c r="Y22" s="2"/>
      <c r="Z22" s="6">
        <f t="shared" si="7"/>
        <v>0.38277777777777783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23.29</v>
      </c>
      <c r="E23" s="2"/>
      <c r="F23" s="6">
        <f t="shared" si="0"/>
        <v>0</v>
      </c>
      <c r="G23" s="2"/>
      <c r="H23" s="7">
        <v>29.113499999999998</v>
      </c>
      <c r="I23" s="2"/>
      <c r="J23" s="6">
        <f t="shared" si="1"/>
        <v>0</v>
      </c>
      <c r="K23" s="2"/>
      <c r="L23" s="7">
        <f t="shared" si="2"/>
        <v>-5.8234999999999992</v>
      </c>
      <c r="M23" s="2"/>
      <c r="N23" s="6">
        <f t="shared" si="3"/>
        <v>-0.20002747866110221</v>
      </c>
      <c r="O23" s="11"/>
      <c r="P23" s="7">
        <v>93.16</v>
      </c>
      <c r="Q23" s="2"/>
      <c r="R23" s="6">
        <f t="shared" si="4"/>
        <v>0</v>
      </c>
      <c r="S23" s="2"/>
      <c r="T23" s="7">
        <v>104.8086</v>
      </c>
      <c r="U23" s="2"/>
      <c r="V23" s="6">
        <f t="shared" si="5"/>
        <v>0</v>
      </c>
      <c r="W23" s="2"/>
      <c r="X23" s="7">
        <f t="shared" si="6"/>
        <v>-11.648600000000002</v>
      </c>
      <c r="Y23" s="2"/>
      <c r="Z23" s="6">
        <f t="shared" si="7"/>
        <v>-0.11114164295678028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692.57</v>
      </c>
      <c r="E24" s="2"/>
      <c r="F24" s="6">
        <f t="shared" si="0"/>
        <v>0</v>
      </c>
      <c r="G24" s="2"/>
      <c r="H24" s="7">
        <v>962.98500000000001</v>
      </c>
      <c r="I24" s="2"/>
      <c r="J24" s="6">
        <f t="shared" si="1"/>
        <v>0</v>
      </c>
      <c r="K24" s="2"/>
      <c r="L24" s="7">
        <f t="shared" si="2"/>
        <v>-270.41499999999996</v>
      </c>
      <c r="M24" s="2"/>
      <c r="N24" s="6">
        <f t="shared" si="3"/>
        <v>-0.2808091507136663</v>
      </c>
      <c r="O24" s="11"/>
      <c r="P24" s="7">
        <v>3116.57</v>
      </c>
      <c r="Q24" s="2"/>
      <c r="R24" s="6">
        <f t="shared" si="4"/>
        <v>0</v>
      </c>
      <c r="S24" s="2"/>
      <c r="T24" s="7">
        <v>3466.7460000000001</v>
      </c>
      <c r="U24" s="2"/>
      <c r="V24" s="6">
        <f t="shared" si="5"/>
        <v>0</v>
      </c>
      <c r="W24" s="2"/>
      <c r="X24" s="7">
        <f t="shared" si="6"/>
        <v>-350.17599999999993</v>
      </c>
      <c r="Y24" s="2"/>
      <c r="Z24" s="6">
        <f t="shared" si="7"/>
        <v>-0.10100999611739653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>
        <v>1241.46</v>
      </c>
      <c r="E26" s="2"/>
      <c r="F26" s="6">
        <f t="shared" si="0"/>
        <v>0</v>
      </c>
      <c r="G26" s="2"/>
      <c r="H26" s="7">
        <v>335.92500000000001</v>
      </c>
      <c r="I26" s="2"/>
      <c r="J26" s="6">
        <f t="shared" si="1"/>
        <v>0</v>
      </c>
      <c r="K26" s="2"/>
      <c r="L26" s="7">
        <f t="shared" si="2"/>
        <v>905.53500000000008</v>
      </c>
      <c r="M26" s="2"/>
      <c r="N26" s="6">
        <f t="shared" si="3"/>
        <v>2.6956463496316143</v>
      </c>
      <c r="O26" s="11"/>
      <c r="P26" s="7">
        <v>2517.08</v>
      </c>
      <c r="Q26" s="2"/>
      <c r="R26" s="6">
        <f t="shared" si="4"/>
        <v>0</v>
      </c>
      <c r="S26" s="2"/>
      <c r="T26" s="7">
        <v>1209.33</v>
      </c>
      <c r="U26" s="2"/>
      <c r="V26" s="6">
        <f t="shared" si="5"/>
        <v>0</v>
      </c>
      <c r="W26" s="2"/>
      <c r="X26" s="7">
        <f t="shared" si="6"/>
        <v>1307.75</v>
      </c>
      <c r="Y26" s="2"/>
      <c r="Z26" s="6">
        <f t="shared" si="7"/>
        <v>1.081383906791364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619.89</v>
      </c>
      <c r="E27" s="2"/>
      <c r="F27" s="6">
        <f t="shared" si="0"/>
        <v>0</v>
      </c>
      <c r="G27" s="2"/>
      <c r="H27" s="7">
        <v>223.95</v>
      </c>
      <c r="I27" s="2"/>
      <c r="J27" s="6">
        <f t="shared" si="1"/>
        <v>0</v>
      </c>
      <c r="K27" s="2"/>
      <c r="L27" s="7">
        <f t="shared" si="2"/>
        <v>395.94</v>
      </c>
      <c r="M27" s="2"/>
      <c r="N27" s="6">
        <f t="shared" si="3"/>
        <v>1.7679839249832552</v>
      </c>
      <c r="O27" s="11"/>
      <c r="P27" s="7">
        <v>1859.67</v>
      </c>
      <c r="Q27" s="2"/>
      <c r="R27" s="6">
        <f t="shared" si="4"/>
        <v>0</v>
      </c>
      <c r="S27" s="2"/>
      <c r="T27" s="7">
        <v>806.22</v>
      </c>
      <c r="U27" s="2"/>
      <c r="V27" s="6">
        <f t="shared" si="5"/>
        <v>0</v>
      </c>
      <c r="W27" s="2"/>
      <c r="X27" s="7">
        <f t="shared" si="6"/>
        <v>1053.45</v>
      </c>
      <c r="Y27" s="2"/>
      <c r="Z27" s="6">
        <f t="shared" si="7"/>
        <v>1.3066532708193794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>
        <v>48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48</v>
      </c>
      <c r="M28" s="2"/>
      <c r="N28" s="6">
        <f t="shared" si="3"/>
        <v>0</v>
      </c>
      <c r="O28" s="11"/>
      <c r="P28" s="7">
        <v>120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120</v>
      </c>
      <c r="Y28" s="2"/>
      <c r="Z28" s="6">
        <f t="shared" si="7"/>
        <v>0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11199.31</v>
      </c>
      <c r="E29" s="1"/>
      <c r="F29" s="5">
        <f t="shared" ref="F29:F39" si="8">IF(D$12=0,0,D29/D$12)</f>
        <v>0</v>
      </c>
      <c r="G29" s="1"/>
      <c r="H29" s="1">
        <f>SUM(OSRRefH22_1x_0)</f>
        <v>10637.625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561.68499999999949</v>
      </c>
      <c r="M29" s="1"/>
      <c r="N29" s="5">
        <f t="shared" ref="N29:N39" si="11">IF(H29=0,0,L29/H29)</f>
        <v>5.2801729709404069E-2</v>
      </c>
      <c r="O29" s="14"/>
      <c r="P29" s="1">
        <f>SUM(OSRRefP22_1x_0)</f>
        <v>36734.11</v>
      </c>
      <c r="Q29" s="1"/>
      <c r="R29" s="5">
        <f t="shared" ref="R29:R39" si="12">IF(P$12=0,0,P29/P$12)</f>
        <v>0</v>
      </c>
      <c r="S29" s="1"/>
      <c r="T29" s="1">
        <f>SUM(OSRRefT22_1x_0)</f>
        <v>38295.449999999997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-1561.3399999999965</v>
      </c>
      <c r="Y29" s="1"/>
      <c r="Z29" s="5">
        <f t="shared" ref="Z29:Z39" si="15">IF(T29=0,0,X29/T29)</f>
        <v>-4.0770900981709227E-2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7">
        <v>11199.31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11199.31</v>
      </c>
      <c r="M30" s="2"/>
      <c r="N30" s="6">
        <f t="shared" si="11"/>
        <v>0</v>
      </c>
      <c r="O30" s="11"/>
      <c r="P30" s="7">
        <v>36734.11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36734.11</v>
      </c>
      <c r="Y30" s="2"/>
      <c r="Z30" s="6">
        <f t="shared" si="15"/>
        <v>0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10637.625</v>
      </c>
      <c r="I31" s="2"/>
      <c r="J31" s="6">
        <f t="shared" si="9"/>
        <v>0</v>
      </c>
      <c r="K31" s="2"/>
      <c r="L31" s="7">
        <f t="shared" si="10"/>
        <v>-10637.625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38295.449999999997</v>
      </c>
      <c r="U31" s="2"/>
      <c r="V31" s="6">
        <f t="shared" si="13"/>
        <v>0</v>
      </c>
      <c r="W31" s="2"/>
      <c r="X31" s="7">
        <f t="shared" si="14"/>
        <v>-38295.449999999997</v>
      </c>
      <c r="Y31" s="2"/>
      <c r="Z31" s="6">
        <f t="shared" si="15"/>
        <v>-1</v>
      </c>
    </row>
    <row r="32" spans="1:26" s="24" customFormat="1" hidden="1" outlineLevel="2" x14ac:dyDescent="0.25">
      <c r="A32" s="28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8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8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9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5" si="16">IF(D$12=0,0,D40/D$12)</f>
        <v>0</v>
      </c>
      <c r="G40" s="1"/>
      <c r="H40" s="1">
        <f>SUM(OSRRefH22_2x_0)</f>
        <v>0</v>
      </c>
      <c r="I40" s="1"/>
      <c r="J40" s="5">
        <f t="shared" ref="J40:J45" si="17">IF(H$12=0,0,H40/H$12)</f>
        <v>0</v>
      </c>
      <c r="K40" s="1"/>
      <c r="L40" s="1">
        <f t="shared" ref="L40:L45" si="18">+D40-H40</f>
        <v>0</v>
      </c>
      <c r="M40" s="1"/>
      <c r="N40" s="5">
        <f t="shared" ref="N40:N45" si="19">IF(H40=0,0,L40/H40)</f>
        <v>0</v>
      </c>
      <c r="O40" s="14"/>
      <c r="P40" s="1">
        <f>SUM(OSRRefP22_2x_0)</f>
        <v>1.65</v>
      </c>
      <c r="Q40" s="1"/>
      <c r="R40" s="5">
        <f t="shared" ref="R40:R45" si="20">IF(P$12=0,0,P40/P$12)</f>
        <v>0</v>
      </c>
      <c r="S40" s="1"/>
      <c r="T40" s="1">
        <f>SUM(OSRRefT22_2x_0)</f>
        <v>0</v>
      </c>
      <c r="U40" s="1"/>
      <c r="V40" s="5">
        <f t="shared" ref="V40:V45" si="21">IF(T$12=0,0,T40/T$12)</f>
        <v>0</v>
      </c>
      <c r="W40" s="1"/>
      <c r="X40" s="1">
        <f t="shared" ref="X40:X45" si="22">+P40-T40</f>
        <v>1.65</v>
      </c>
      <c r="Y40" s="1"/>
      <c r="Z40" s="5">
        <f t="shared" ref="Z40:Z45" si="23">IF(T40=0,0,X40/T40)</f>
        <v>0</v>
      </c>
    </row>
    <row r="41" spans="1:26" s="24" customFormat="1" hidden="1" outlineLevel="2" x14ac:dyDescent="0.25">
      <c r="A41" s="28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1.65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1.65</v>
      </c>
      <c r="Y41" s="2"/>
      <c r="Z41" s="6">
        <f t="shared" si="23"/>
        <v>0</v>
      </c>
    </row>
    <row r="42" spans="1:26" s="27" customFormat="1" outlineLevel="1" collapsed="1" x14ac:dyDescent="0.25">
      <c r="A42" s="29"/>
      <c r="B42" s="14" t="str">
        <f>CONCATENATE("     ","Supplies                                          ")</f>
        <v xml:space="preserve">     Supplies               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400</v>
      </c>
      <c r="I42" s="1"/>
      <c r="J42" s="5">
        <f t="shared" si="17"/>
        <v>0</v>
      </c>
      <c r="K42" s="1"/>
      <c r="L42" s="1">
        <f t="shared" si="18"/>
        <v>-400</v>
      </c>
      <c r="M42" s="1"/>
      <c r="N42" s="5">
        <f t="shared" si="19"/>
        <v>-1</v>
      </c>
      <c r="O42" s="14"/>
      <c r="P42" s="1">
        <f>SUM(OSRRefP22_3x_0)</f>
        <v>4939.2</v>
      </c>
      <c r="Q42" s="1"/>
      <c r="R42" s="5">
        <f t="shared" si="20"/>
        <v>0</v>
      </c>
      <c r="S42" s="1"/>
      <c r="T42" s="1">
        <f>SUM(OSRRefT22_3x_0)</f>
        <v>1600</v>
      </c>
      <c r="U42" s="1"/>
      <c r="V42" s="5">
        <f t="shared" si="21"/>
        <v>0</v>
      </c>
      <c r="W42" s="1"/>
      <c r="X42" s="1">
        <f t="shared" si="22"/>
        <v>3339.2</v>
      </c>
      <c r="Y42" s="1"/>
      <c r="Z42" s="5">
        <f t="shared" si="23"/>
        <v>2.0869999999999997</v>
      </c>
    </row>
    <row r="43" spans="1:26" s="24" customFormat="1" hidden="1" outlineLevel="2" x14ac:dyDescent="0.25">
      <c r="A43" s="28"/>
      <c r="B43" s="11" t="str">
        <f>CONCATENATE("          ", "6234", " - ", "EXPENDABLE SUPPLIES &amp; EQUIPMEN")</f>
        <v xml:space="preserve">          6234 - EXPENDABLE SUPPLIES &amp; EQUIPMEN</v>
      </c>
      <c r="C43" s="11"/>
      <c r="D43" s="7"/>
      <c r="E43" s="2"/>
      <c r="F43" s="6">
        <f t="shared" si="16"/>
        <v>0</v>
      </c>
      <c r="G43" s="2"/>
      <c r="H43" s="7">
        <v>100</v>
      </c>
      <c r="I43" s="2"/>
      <c r="J43" s="6">
        <f t="shared" si="17"/>
        <v>0</v>
      </c>
      <c r="K43" s="2"/>
      <c r="L43" s="7">
        <f t="shared" si="18"/>
        <v>-100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400</v>
      </c>
      <c r="U43" s="2"/>
      <c r="V43" s="6">
        <f t="shared" si="21"/>
        <v>0</v>
      </c>
      <c r="W43" s="2"/>
      <c r="X43" s="7">
        <f t="shared" si="22"/>
        <v>-400</v>
      </c>
      <c r="Y43" s="2"/>
      <c r="Z43" s="6">
        <f t="shared" si="23"/>
        <v>-1</v>
      </c>
    </row>
    <row r="44" spans="1:26" s="24" customFormat="1" hidden="1" outlineLevel="2" x14ac:dyDescent="0.25">
      <c r="A44" s="28"/>
      <c r="B44" s="11" t="str">
        <f>CONCATENATE("          ", "6235", " - ", "COVID-19 EXPENSES")</f>
        <v xml:space="preserve">          6235 - COVID-19 EXPENSES</v>
      </c>
      <c r="C44" s="11"/>
      <c r="D44" s="7"/>
      <c r="E44" s="2"/>
      <c r="F44" s="6">
        <f t="shared" si="16"/>
        <v>0</v>
      </c>
      <c r="G44" s="2"/>
      <c r="H44" s="7">
        <v>200</v>
      </c>
      <c r="I44" s="2"/>
      <c r="J44" s="6">
        <f t="shared" si="17"/>
        <v>0</v>
      </c>
      <c r="K44" s="2"/>
      <c r="L44" s="7">
        <f t="shared" si="18"/>
        <v>-200</v>
      </c>
      <c r="M44" s="2"/>
      <c r="N44" s="6">
        <f t="shared" si="19"/>
        <v>-1</v>
      </c>
      <c r="O44" s="11"/>
      <c r="P44" s="7">
        <v>4939.2</v>
      </c>
      <c r="Q44" s="2"/>
      <c r="R44" s="6">
        <f t="shared" si="20"/>
        <v>0</v>
      </c>
      <c r="S44" s="2"/>
      <c r="T44" s="7">
        <v>800</v>
      </c>
      <c r="U44" s="2"/>
      <c r="V44" s="6">
        <f t="shared" si="21"/>
        <v>0</v>
      </c>
      <c r="W44" s="2"/>
      <c r="X44" s="7">
        <f t="shared" si="22"/>
        <v>4139.2</v>
      </c>
      <c r="Y44" s="2"/>
      <c r="Z44" s="6">
        <f t="shared" si="23"/>
        <v>5.1739999999999995</v>
      </c>
    </row>
    <row r="45" spans="1:26" s="24" customFormat="1" hidden="1" outlineLevel="2" x14ac:dyDescent="0.25">
      <c r="A45" s="28"/>
      <c r="B45" s="11" t="str">
        <f>CONCATENATE("          ", "6241", " - ", "OFFICE EXPENSE")</f>
        <v xml:space="preserve">          6241 - OFFICE EXPENSE</v>
      </c>
      <c r="C45" s="11"/>
      <c r="D45" s="7"/>
      <c r="E45" s="2"/>
      <c r="F45" s="6">
        <f t="shared" si="16"/>
        <v>0</v>
      </c>
      <c r="G45" s="2"/>
      <c r="H45" s="7">
        <v>100</v>
      </c>
      <c r="I45" s="2"/>
      <c r="J45" s="6">
        <f t="shared" si="17"/>
        <v>0</v>
      </c>
      <c r="K45" s="2"/>
      <c r="L45" s="7">
        <f t="shared" si="18"/>
        <v>-100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400</v>
      </c>
      <c r="U45" s="2"/>
      <c r="V45" s="6">
        <f t="shared" si="21"/>
        <v>0</v>
      </c>
      <c r="W45" s="2"/>
      <c r="X45" s="7">
        <f t="shared" si="22"/>
        <v>-400</v>
      </c>
      <c r="Y45" s="2"/>
      <c r="Z45" s="6">
        <f t="shared" si="23"/>
        <v>-1</v>
      </c>
    </row>
    <row r="46" spans="1:26" s="27" customFormat="1" outlineLevel="1" collapsed="1" x14ac:dyDescent="0.25">
      <c r="A46" s="29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SUM(OSRRefD22_4x_0)</f>
        <v>50</v>
      </c>
      <c r="E46" s="1"/>
      <c r="F46" s="5">
        <f t="shared" ref="F46:F48" si="24">IF(D$12=0,0,D46/D$12)</f>
        <v>0</v>
      </c>
      <c r="G46" s="1"/>
      <c r="H46" s="1">
        <f>SUM(OSRRefH22_4x_0)</f>
        <v>100</v>
      </c>
      <c r="I46" s="1"/>
      <c r="J46" s="5">
        <f t="shared" ref="J46:J48" si="25">IF(H$12=0,0,H46/H$12)</f>
        <v>0</v>
      </c>
      <c r="K46" s="1"/>
      <c r="L46" s="1">
        <f t="shared" ref="L46:L48" si="26">+D46-H46</f>
        <v>-50</v>
      </c>
      <c r="M46" s="1"/>
      <c r="N46" s="5">
        <f t="shared" ref="N46:N48" si="27">IF(H46=0,0,L46/H46)</f>
        <v>-0.5</v>
      </c>
      <c r="O46" s="14"/>
      <c r="P46" s="1">
        <f>SUM(OSRRefP22_4x_0)</f>
        <v>300</v>
      </c>
      <c r="Q46" s="1"/>
      <c r="R46" s="5">
        <f t="shared" ref="R46:R48" si="28">IF(P$12=0,0,P46/P$12)</f>
        <v>0</v>
      </c>
      <c r="S46" s="1"/>
      <c r="T46" s="1">
        <f>SUM(OSRRefT22_4x_0)</f>
        <v>400</v>
      </c>
      <c r="U46" s="1"/>
      <c r="V46" s="5">
        <f t="shared" ref="V46:V48" si="29">IF(T$12=0,0,T46/T$12)</f>
        <v>0</v>
      </c>
      <c r="W46" s="1"/>
      <c r="X46" s="1">
        <f t="shared" ref="X46:X48" si="30">+P46-T46</f>
        <v>-100</v>
      </c>
      <c r="Y46" s="1"/>
      <c r="Z46" s="5">
        <f t="shared" ref="Z46:Z48" si="31">IF(T46=0,0,X46/T46)</f>
        <v>-0.25</v>
      </c>
    </row>
    <row r="47" spans="1:26" s="24" customFormat="1" hidden="1" outlineLevel="2" x14ac:dyDescent="0.25">
      <c r="A47" s="28"/>
      <c r="B47" s="11" t="str">
        <f>CONCATENATE("          ", "6303", " - ", "DATA PHONE LINES")</f>
        <v xml:space="preserve">          6303 - DATA PHONE LINES</v>
      </c>
      <c r="C47" s="11"/>
      <c r="D47" s="7"/>
      <c r="E47" s="2"/>
      <c r="F47" s="6">
        <f t="shared" si="24"/>
        <v>0</v>
      </c>
      <c r="G47" s="2"/>
      <c r="H47" s="7">
        <v>50</v>
      </c>
      <c r="I47" s="2"/>
      <c r="J47" s="6">
        <f t="shared" si="25"/>
        <v>0</v>
      </c>
      <c r="K47" s="2"/>
      <c r="L47" s="7">
        <f t="shared" si="26"/>
        <v>-50</v>
      </c>
      <c r="M47" s="2"/>
      <c r="N47" s="6">
        <f t="shared" si="27"/>
        <v>-1</v>
      </c>
      <c r="O47" s="11"/>
      <c r="P47" s="7"/>
      <c r="Q47" s="2"/>
      <c r="R47" s="6">
        <f t="shared" si="28"/>
        <v>0</v>
      </c>
      <c r="S47" s="2"/>
      <c r="T47" s="7">
        <v>200</v>
      </c>
      <c r="U47" s="2"/>
      <c r="V47" s="6">
        <f t="shared" si="29"/>
        <v>0</v>
      </c>
      <c r="W47" s="2"/>
      <c r="X47" s="7">
        <f t="shared" si="30"/>
        <v>-200</v>
      </c>
      <c r="Y47" s="2"/>
      <c r="Z47" s="6">
        <f t="shared" si="31"/>
        <v>-1</v>
      </c>
    </row>
    <row r="48" spans="1:26" s="24" customFormat="1" hidden="1" outlineLevel="2" x14ac:dyDescent="0.25">
      <c r="A48" s="28"/>
      <c r="B48" s="11" t="str">
        <f>CONCATENATE("          ", "6309", " - ", "TELEPHONE")</f>
        <v xml:space="preserve">          6309 - TELEPHONE</v>
      </c>
      <c r="C48" s="11"/>
      <c r="D48" s="7">
        <v>50</v>
      </c>
      <c r="E48" s="2"/>
      <c r="F48" s="6">
        <f t="shared" si="24"/>
        <v>0</v>
      </c>
      <c r="G48" s="2"/>
      <c r="H48" s="7">
        <v>50</v>
      </c>
      <c r="I48" s="2"/>
      <c r="J48" s="6">
        <f t="shared" si="25"/>
        <v>0</v>
      </c>
      <c r="K48" s="2"/>
      <c r="L48" s="7">
        <f t="shared" si="26"/>
        <v>0</v>
      </c>
      <c r="M48" s="2"/>
      <c r="N48" s="6">
        <f t="shared" si="27"/>
        <v>0</v>
      </c>
      <c r="O48" s="11"/>
      <c r="P48" s="7">
        <v>300</v>
      </c>
      <c r="Q48" s="2"/>
      <c r="R48" s="6">
        <f t="shared" si="28"/>
        <v>0</v>
      </c>
      <c r="S48" s="2"/>
      <c r="T48" s="7">
        <v>200</v>
      </c>
      <c r="U48" s="2"/>
      <c r="V48" s="6">
        <f t="shared" si="29"/>
        <v>0</v>
      </c>
      <c r="W48" s="2"/>
      <c r="X48" s="7">
        <f t="shared" si="30"/>
        <v>100</v>
      </c>
      <c r="Y48" s="2"/>
      <c r="Z48" s="6">
        <f t="shared" si="31"/>
        <v>0.5</v>
      </c>
    </row>
    <row r="49" spans="1:26" s="27" customFormat="1" outlineLevel="1" collapsed="1" x14ac:dyDescent="0.25">
      <c r="A49" s="29"/>
      <c r="B49" s="14" t="str">
        <f>CONCATENATE("     ","Training                                          ")</f>
        <v xml:space="preserve">     Training                                          </v>
      </c>
      <c r="C49" s="14"/>
      <c r="D49" s="1">
        <f>SUM(OSRRefD22_5x_0)</f>
        <v>0</v>
      </c>
      <c r="E49" s="1"/>
      <c r="F49" s="5">
        <f t="shared" ref="F49:F52" si="32">IF(D$12=0,0,D49/D$12)</f>
        <v>0</v>
      </c>
      <c r="G49" s="1"/>
      <c r="H49" s="1">
        <f>SUM(OSRRefH22_5x_0)</f>
        <v>200</v>
      </c>
      <c r="I49" s="1"/>
      <c r="J49" s="5">
        <f t="shared" ref="J49:J52" si="33">IF(H$12=0,0,H49/H$12)</f>
        <v>0</v>
      </c>
      <c r="K49" s="1"/>
      <c r="L49" s="1">
        <f t="shared" ref="L49:L52" si="34">+D49-H49</f>
        <v>-200</v>
      </c>
      <c r="M49" s="1"/>
      <c r="N49" s="5">
        <f t="shared" ref="N49:N52" si="35">IF(H49=0,0,L49/H49)</f>
        <v>-1</v>
      </c>
      <c r="O49" s="14"/>
      <c r="P49" s="1">
        <f>SUM(OSRRefP22_5x_0)</f>
        <v>0</v>
      </c>
      <c r="Q49" s="1"/>
      <c r="R49" s="5">
        <f t="shared" ref="R49:R52" si="36">IF(P$12=0,0,P49/P$12)</f>
        <v>0</v>
      </c>
      <c r="S49" s="1"/>
      <c r="T49" s="1">
        <f>SUM(OSRRefT22_5x_0)</f>
        <v>800</v>
      </c>
      <c r="U49" s="1"/>
      <c r="V49" s="5">
        <f t="shared" ref="V49:V52" si="37">IF(T$12=0,0,T49/T$12)</f>
        <v>0</v>
      </c>
      <c r="W49" s="1"/>
      <c r="X49" s="1">
        <f t="shared" ref="X49:X52" si="38">+P49-T49</f>
        <v>-800</v>
      </c>
      <c r="Y49" s="1"/>
      <c r="Z49" s="5">
        <f t="shared" ref="Z49:Z52" si="39">IF(T49=0,0,X49/T49)</f>
        <v>-1</v>
      </c>
    </row>
    <row r="50" spans="1:26" s="24" customFormat="1" hidden="1" outlineLevel="2" x14ac:dyDescent="0.25">
      <c r="A50" s="28"/>
      <c r="B50" s="11" t="str">
        <f>CONCATENATE("          ", "6376", " - ", "TRAINING")</f>
        <v xml:space="preserve">          6376 - TRAINING</v>
      </c>
      <c r="C50" s="11"/>
      <c r="D50" s="7"/>
      <c r="E50" s="2"/>
      <c r="F50" s="6">
        <f t="shared" si="32"/>
        <v>0</v>
      </c>
      <c r="G50" s="2"/>
      <c r="H50" s="7">
        <v>200</v>
      </c>
      <c r="I50" s="2"/>
      <c r="J50" s="6">
        <f t="shared" si="33"/>
        <v>0</v>
      </c>
      <c r="K50" s="2"/>
      <c r="L50" s="7">
        <f t="shared" si="34"/>
        <v>-200</v>
      </c>
      <c r="M50" s="2"/>
      <c r="N50" s="6">
        <f t="shared" si="35"/>
        <v>-1</v>
      </c>
      <c r="O50" s="11"/>
      <c r="P50" s="7"/>
      <c r="Q50" s="2"/>
      <c r="R50" s="6">
        <f t="shared" si="36"/>
        <v>0</v>
      </c>
      <c r="S50" s="2"/>
      <c r="T50" s="7">
        <v>800</v>
      </c>
      <c r="U50" s="2"/>
      <c r="V50" s="6">
        <f t="shared" si="37"/>
        <v>0</v>
      </c>
      <c r="W50" s="2"/>
      <c r="X50" s="7">
        <f t="shared" si="38"/>
        <v>-800</v>
      </c>
      <c r="Y50" s="2"/>
      <c r="Z50" s="6">
        <f t="shared" si="39"/>
        <v>-1</v>
      </c>
    </row>
    <row r="51" spans="1:26" s="27" customFormat="1" outlineLevel="1" collapsed="1" x14ac:dyDescent="0.25">
      <c r="A51" s="29"/>
      <c r="B51" s="14" t="str">
        <f>CONCATENATE("     ","Travel                                            ")</f>
        <v xml:space="preserve">     Travel                                            </v>
      </c>
      <c r="C51" s="14"/>
      <c r="D51" s="1">
        <f>SUM(OSRRefD22_6x_0)</f>
        <v>0</v>
      </c>
      <c r="E51" s="1"/>
      <c r="F51" s="5">
        <f t="shared" si="32"/>
        <v>0</v>
      </c>
      <c r="G51" s="1"/>
      <c r="H51" s="1">
        <f>SUM(OSRRefH22_6x_0)</f>
        <v>300</v>
      </c>
      <c r="I51" s="1"/>
      <c r="J51" s="5">
        <f t="shared" si="33"/>
        <v>0</v>
      </c>
      <c r="K51" s="1"/>
      <c r="L51" s="1">
        <f t="shared" si="34"/>
        <v>-300</v>
      </c>
      <c r="M51" s="1"/>
      <c r="N51" s="5">
        <f t="shared" si="35"/>
        <v>-1</v>
      </c>
      <c r="O51" s="14"/>
      <c r="P51" s="1">
        <f>SUM(OSRRefP22_6x_0)</f>
        <v>0</v>
      </c>
      <c r="Q51" s="1"/>
      <c r="R51" s="5">
        <f t="shared" si="36"/>
        <v>0</v>
      </c>
      <c r="S51" s="1"/>
      <c r="T51" s="1">
        <f>SUM(OSRRefT22_6x_0)</f>
        <v>1200</v>
      </c>
      <c r="U51" s="1"/>
      <c r="V51" s="5">
        <f t="shared" si="37"/>
        <v>0</v>
      </c>
      <c r="W51" s="1"/>
      <c r="X51" s="1">
        <f t="shared" si="38"/>
        <v>-1200</v>
      </c>
      <c r="Y51" s="1"/>
      <c r="Z51" s="5">
        <f t="shared" si="39"/>
        <v>-1</v>
      </c>
    </row>
    <row r="52" spans="1:26" s="24" customFormat="1" hidden="1" outlineLevel="2" x14ac:dyDescent="0.25">
      <c r="A52" s="28"/>
      <c r="B52" s="11" t="str">
        <f>CONCATENATE("          ", "6292", " - ", "TRAVEL/CONFERENCE")</f>
        <v xml:space="preserve">          6292 - TRAVEL/CONFERENCE</v>
      </c>
      <c r="C52" s="11"/>
      <c r="D52" s="7"/>
      <c r="E52" s="2"/>
      <c r="F52" s="6">
        <f t="shared" si="32"/>
        <v>0</v>
      </c>
      <c r="G52" s="2"/>
      <c r="H52" s="7">
        <v>300</v>
      </c>
      <c r="I52" s="2"/>
      <c r="J52" s="6">
        <f t="shared" si="33"/>
        <v>0</v>
      </c>
      <c r="K52" s="2"/>
      <c r="L52" s="7">
        <f t="shared" si="34"/>
        <v>-300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1200</v>
      </c>
      <c r="U52" s="2"/>
      <c r="V52" s="6">
        <f t="shared" si="37"/>
        <v>0</v>
      </c>
      <c r="W52" s="2"/>
      <c r="X52" s="7">
        <f t="shared" si="38"/>
        <v>-1200</v>
      </c>
      <c r="Y52" s="2"/>
      <c r="Z52" s="6">
        <f t="shared" si="39"/>
        <v>-1</v>
      </c>
    </row>
    <row r="53" spans="1:26" s="63" customFormat="1" x14ac:dyDescent="0.25">
      <c r="A53" s="36"/>
      <c r="B53" s="36"/>
      <c r="C53" s="36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5" t="s">
        <v>0</v>
      </c>
      <c r="C54" s="10"/>
      <c r="D54" s="4">
        <f>SUM(0)</f>
        <v>0</v>
      </c>
      <c r="E54" s="4"/>
      <c r="F54" s="12">
        <f>IF(D$12=0,0,D54/D$12)</f>
        <v>0</v>
      </c>
      <c r="G54" s="4"/>
      <c r="H54" s="4">
        <f>SUM(0)</f>
        <v>0</v>
      </c>
      <c r="I54" s="4"/>
      <c r="J54" s="12">
        <f>IF(H$12=0,0,H54/H$12)</f>
        <v>0</v>
      </c>
      <c r="K54" s="4"/>
      <c r="L54" s="4">
        <f>+D54-H54</f>
        <v>0</v>
      </c>
      <c r="M54" s="4"/>
      <c r="N54" s="12">
        <f>IF(H54=0,0,L54/H54)</f>
        <v>0</v>
      </c>
      <c r="O54" s="10"/>
      <c r="P54" s="4">
        <f>SUM(0)</f>
        <v>0</v>
      </c>
      <c r="Q54" s="4"/>
      <c r="R54" s="12">
        <f>IF(P$12=0,0,P54/P$12)</f>
        <v>0</v>
      </c>
      <c r="S54" s="4"/>
      <c r="T54" s="4">
        <f>SUM(0)</f>
        <v>0</v>
      </c>
      <c r="U54" s="4"/>
      <c r="V54" s="12">
        <f>IF(T$12=0,0,T54/T$12)</f>
        <v>0</v>
      </c>
      <c r="W54" s="4"/>
      <c r="X54" s="4">
        <f>+P54-T54</f>
        <v>0</v>
      </c>
      <c r="Y54" s="4"/>
      <c r="Z54" s="12">
        <f>IF(T54=0,0,X54/T54)</f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6" t="s">
        <v>3</v>
      </c>
      <c r="C56" s="26"/>
      <c r="D56" s="20">
        <f>+D16-D18+D54</f>
        <v>-18225.39</v>
      </c>
      <c r="E56" s="13"/>
      <c r="F56" s="19">
        <f>IF(D$12=0,0,D56/D$12)</f>
        <v>0</v>
      </c>
      <c r="G56" s="13"/>
      <c r="H56" s="20">
        <f>+H16-H18+H54</f>
        <v>-16506.915925000001</v>
      </c>
      <c r="I56" s="13"/>
      <c r="J56" s="19">
        <f>IF(H$12=0,0,H56/H$12)</f>
        <v>0</v>
      </c>
      <c r="K56" s="15"/>
      <c r="L56" s="20">
        <f>+D56-H56</f>
        <v>-1718.4740749999983</v>
      </c>
      <c r="M56" s="15"/>
      <c r="N56" s="19">
        <f>IF(H56=0,0,L56/H56)</f>
        <v>0.10410630809582912</v>
      </c>
      <c r="O56" s="25"/>
      <c r="P56" s="20">
        <f>+P16-P18+P54</f>
        <v>-65455.35</v>
      </c>
      <c r="Q56" s="13"/>
      <c r="R56" s="19">
        <f>IF(P$12=0,0,P56/P$12)</f>
        <v>0</v>
      </c>
      <c r="S56" s="13"/>
      <c r="T56" s="20">
        <f>+T16-T18+T54</f>
        <v>-60616.89733</v>
      </c>
      <c r="U56" s="13"/>
      <c r="V56" s="19">
        <f>IF(T$12=0,0,T56/T$12)</f>
        <v>0</v>
      </c>
      <c r="W56" s="15"/>
      <c r="X56" s="20">
        <f>+P56-T56</f>
        <v>-4838.4526699999988</v>
      </c>
      <c r="Y56" s="15"/>
      <c r="Z56" s="19">
        <f>IF(T56=0,0,X56/T56)</f>
        <v>7.9820196729293719E-2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2"/>
      <c r="B58" s="10" t="s">
        <v>14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6" t="s">
        <v>4</v>
      </c>
      <c r="C60" s="26"/>
      <c r="D60" s="34">
        <f>+D56-D58</f>
        <v>-18225.39</v>
      </c>
      <c r="E60" s="13"/>
      <c r="F60" s="35">
        <f>IF(D$12=0,0,D60/D$12)</f>
        <v>0</v>
      </c>
      <c r="G60" s="13"/>
      <c r="H60" s="34">
        <f>+H56-H58</f>
        <v>-16506.915925000001</v>
      </c>
      <c r="I60" s="13"/>
      <c r="J60" s="35">
        <f>IF(H$12=0,0,H60/H$12)</f>
        <v>0</v>
      </c>
      <c r="K60" s="15"/>
      <c r="L60" s="34">
        <f>D60-H60</f>
        <v>-1718.4740749999983</v>
      </c>
      <c r="M60" s="15"/>
      <c r="N60" s="35">
        <f>IF(H60=0,0,L60/H60)</f>
        <v>0.10410630809582912</v>
      </c>
      <c r="O60" s="25"/>
      <c r="P60" s="34">
        <f>+P56-P58</f>
        <v>-65455.35</v>
      </c>
      <c r="Q60" s="13"/>
      <c r="R60" s="35">
        <f>IF(P$12=0,0,P60/P$12)</f>
        <v>0</v>
      </c>
      <c r="S60" s="13"/>
      <c r="T60" s="34">
        <f>+T56-T58</f>
        <v>-60616.89733</v>
      </c>
      <c r="U60" s="13"/>
      <c r="V60" s="35">
        <f>IF(T$12=0,0,T60/T$12)</f>
        <v>0</v>
      </c>
      <c r="W60" s="15"/>
      <c r="X60" s="34">
        <f>P60-T60</f>
        <v>-4838.4526699999988</v>
      </c>
      <c r="Y60" s="15"/>
      <c r="Z60" s="35">
        <f>IF(T60=0,0,X60/T60)</f>
        <v>7.9820196729293719E-2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6" t="s">
        <v>5</v>
      </c>
      <c r="C63" s="26"/>
      <c r="D63" s="30">
        <f>SUM(D60:D62)</f>
        <v>-18225.39</v>
      </c>
      <c r="E63" s="13"/>
      <c r="F63" s="32">
        <f>IF(D$12=0,0,D63/D$12)</f>
        <v>0</v>
      </c>
      <c r="G63" s="13"/>
      <c r="H63" s="30">
        <f>SUM(H60:H62)</f>
        <v>-16506.915925000001</v>
      </c>
      <c r="I63" s="13"/>
      <c r="J63" s="32">
        <f>IF(H$12=0,0,H63/H$12)</f>
        <v>0</v>
      </c>
      <c r="K63" s="15"/>
      <c r="L63" s="30">
        <f>+D63-H63</f>
        <v>-1718.4740749999983</v>
      </c>
      <c r="M63" s="15"/>
      <c r="N63" s="32">
        <f>IF(H63=0,0,L63/H63)</f>
        <v>0.10410630809582912</v>
      </c>
      <c r="O63" s="25"/>
      <c r="P63" s="30">
        <f>SUM(P60:P62)</f>
        <v>-65455.35</v>
      </c>
      <c r="Q63" s="13"/>
      <c r="R63" s="32">
        <f>IF(P$12=0,0,P63/P$12)</f>
        <v>0</v>
      </c>
      <c r="S63" s="13"/>
      <c r="T63" s="30">
        <f>SUM(T60:T62)</f>
        <v>-60616.89733</v>
      </c>
      <c r="U63" s="13"/>
      <c r="V63" s="32">
        <f>IF(T$12=0,0,T63/T$12)</f>
        <v>0</v>
      </c>
      <c r="W63" s="15"/>
      <c r="X63" s="30">
        <f>+P63-T63</f>
        <v>-4838.4526699999988</v>
      </c>
      <c r="Y63" s="15"/>
      <c r="Z63" s="32">
        <f>IF(T63=0,0,X63/T63)</f>
        <v>7.9820196729293719E-2</v>
      </c>
    </row>
    <row r="64" spans="1:26" ht="15.75" thickTop="1" x14ac:dyDescent="0.25">
      <c r="A64" s="9"/>
      <c r="C64" s="9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1:24" x14ac:dyDescent="0.25">
      <c r="A65" s="9"/>
      <c r="B65" s="60">
        <v>44151.568809178243</v>
      </c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25">
      <c r="A66" s="9"/>
      <c r="B66" s="58" t="s">
        <v>314</v>
      </c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4" x14ac:dyDescent="0.25">
      <c r="A67" s="9"/>
      <c r="B67" s="53"/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4" x14ac:dyDescent="0.25"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","433", " - ", "Hillside Dining Hall")</f>
        <v>Department 433 - Hillside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-24093.05</v>
      </c>
      <c r="E12" s="4"/>
      <c r="F12" s="12"/>
      <c r="G12" s="4"/>
      <c r="H12" s="4">
        <f>SUM(OSRRefH13x_0)</f>
        <v>231595</v>
      </c>
      <c r="I12" s="4"/>
      <c r="J12" s="12"/>
      <c r="K12" s="4"/>
      <c r="L12" s="4">
        <f t="shared" ref="L12:L16" si="0">+D12-H12</f>
        <v>-255688.05</v>
      </c>
      <c r="M12" s="4"/>
      <c r="N12" s="12">
        <f t="shared" ref="N12:N16" si="1">IF(H12=0,0,L12/H12)</f>
        <v>-1.1040309592175996</v>
      </c>
      <c r="O12" s="10"/>
      <c r="P12" s="4">
        <f>SUM(OSRRefP13x_0)</f>
        <v>23802.12</v>
      </c>
      <c r="Q12" s="4"/>
      <c r="R12" s="12"/>
      <c r="S12" s="4"/>
      <c r="T12" s="4">
        <f>SUM(OSRRefT13x_0)</f>
        <v>463190</v>
      </c>
      <c r="U12" s="4"/>
      <c r="V12" s="12"/>
      <c r="W12" s="4"/>
      <c r="X12" s="4">
        <f t="shared" ref="X12:X16" si="2">+P12-T12</f>
        <v>-439387.88</v>
      </c>
      <c r="Y12" s="4"/>
      <c r="Z12" s="12">
        <f t="shared" ref="Z12:Z16" si="3">IF(T12=0,0,X12/T12)</f>
        <v>-0.94861262117057799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--217.65</f>
        <v>217.65</v>
      </c>
      <c r="Q13" s="2"/>
      <c r="R13" s="22"/>
      <c r="S13" s="2"/>
      <c r="T13" s="2"/>
      <c r="U13" s="2"/>
      <c r="V13" s="22"/>
      <c r="W13" s="2"/>
      <c r="X13" s="2">
        <f t="shared" si="2"/>
        <v>217.65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231595</v>
      </c>
      <c r="I14" s="2"/>
      <c r="J14" s="22"/>
      <c r="K14" s="2"/>
      <c r="L14" s="2">
        <f t="shared" si="0"/>
        <v>-231595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463190</v>
      </c>
      <c r="U14" s="2"/>
      <c r="V14" s="22"/>
      <c r="W14" s="2"/>
      <c r="X14" s="2">
        <f t="shared" si="2"/>
        <v>-463190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-12094.25</f>
        <v>-12094.25</v>
      </c>
      <c r="E15" s="2"/>
      <c r="F15" s="22"/>
      <c r="G15" s="2"/>
      <c r="H15" s="2"/>
      <c r="I15" s="2"/>
      <c r="J15" s="22"/>
      <c r="K15" s="2"/>
      <c r="L15" s="2">
        <f t="shared" si="0"/>
        <v>-12094.25</v>
      </c>
      <c r="M15" s="2"/>
      <c r="N15" s="22">
        <f t="shared" si="1"/>
        <v>0</v>
      </c>
      <c r="O15" s="11"/>
      <c r="P15" s="2">
        <f>--16096</f>
        <v>16096</v>
      </c>
      <c r="Q15" s="2"/>
      <c r="R15" s="22"/>
      <c r="S15" s="2"/>
      <c r="T15" s="2"/>
      <c r="U15" s="2"/>
      <c r="V15" s="22"/>
      <c r="W15" s="2"/>
      <c r="X15" s="2">
        <f t="shared" si="2"/>
        <v>16096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-11998.8</f>
        <v>-11998.8</v>
      </c>
      <c r="E16" s="2"/>
      <c r="F16" s="22"/>
      <c r="G16" s="2"/>
      <c r="H16" s="2"/>
      <c r="I16" s="2"/>
      <c r="J16" s="22"/>
      <c r="K16" s="2"/>
      <c r="L16" s="2">
        <f t="shared" si="0"/>
        <v>-11998.8</v>
      </c>
      <c r="M16" s="2"/>
      <c r="N16" s="22">
        <f t="shared" si="1"/>
        <v>0</v>
      </c>
      <c r="O16" s="11"/>
      <c r="P16" s="2">
        <f>--7488.47</f>
        <v>7488.47</v>
      </c>
      <c r="Q16" s="2"/>
      <c r="R16" s="22"/>
      <c r="S16" s="2"/>
      <c r="T16" s="2"/>
      <c r="U16" s="2"/>
      <c r="V16" s="22"/>
      <c r="W16" s="2"/>
      <c r="X16" s="2">
        <f t="shared" si="2"/>
        <v>7488.47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206</v>
      </c>
      <c r="E18" s="4"/>
      <c r="F18" s="12">
        <f t="shared" ref="F18:F21" si="5">IF(D$12=0,0,D18/D$12)</f>
        <v>-8.5501835591591767E-3</v>
      </c>
      <c r="G18" s="4"/>
      <c r="H18" s="4">
        <f>SUM(OSRRefH16x_0)</f>
        <v>63688.999999999993</v>
      </c>
      <c r="I18" s="4"/>
      <c r="J18" s="12">
        <f t="shared" ref="J18:J21" si="6">IF(H$12=0,0,H18/H$12)</f>
        <v>0.27500161920594135</v>
      </c>
      <c r="K18" s="4"/>
      <c r="L18" s="4">
        <f t="shared" ref="L18:L21" si="7">+D18-H18</f>
        <v>-63482.999999999993</v>
      </c>
      <c r="M18" s="4"/>
      <c r="N18" s="12">
        <f t="shared" ref="N18:N21" si="8">IF(H18=0,0,L18/H18)</f>
        <v>-0.99676553250953859</v>
      </c>
      <c r="O18" s="10"/>
      <c r="P18" s="4">
        <f>SUM(OSRRefP16x_0)</f>
        <v>25322.92</v>
      </c>
      <c r="Q18" s="4"/>
      <c r="R18" s="12">
        <f t="shared" ref="R18:R21" si="9">IF(P$12=0,0,P18/P$12)</f>
        <v>1.0638934683129067</v>
      </c>
      <c r="S18" s="4"/>
      <c r="T18" s="4">
        <f>SUM(OSRRefT16x_0)</f>
        <v>132009</v>
      </c>
      <c r="U18" s="4"/>
      <c r="V18" s="12">
        <f t="shared" ref="V18:V21" si="10">IF(T$12=0,0,T18/T$12)</f>
        <v>0.28499967615881172</v>
      </c>
      <c r="W18" s="4"/>
      <c r="X18" s="4">
        <f t="shared" ref="X18:X21" si="11">+P18-T18</f>
        <v>-106686.08</v>
      </c>
      <c r="Y18" s="4"/>
      <c r="Z18" s="12">
        <f t="shared" ref="Z18:Z21" si="12">IF(T18=0,0,X18/T18)</f>
        <v>-0.80817277609859939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5"/>
        <v>0</v>
      </c>
      <c r="G19" s="2"/>
      <c r="H19" s="2">
        <v>63688.999999999993</v>
      </c>
      <c r="I19" s="2"/>
      <c r="J19" s="22">
        <f t="shared" si="6"/>
        <v>0.27500161920594135</v>
      </c>
      <c r="K19" s="2"/>
      <c r="L19" s="2">
        <f t="shared" si="7"/>
        <v>-63688.999999999993</v>
      </c>
      <c r="M19" s="2"/>
      <c r="N19" s="22">
        <f t="shared" si="8"/>
        <v>-1</v>
      </c>
      <c r="O19" s="11"/>
      <c r="P19" s="2"/>
      <c r="Q19" s="2"/>
      <c r="R19" s="22">
        <f t="shared" si="9"/>
        <v>0</v>
      </c>
      <c r="S19" s="2"/>
      <c r="T19" s="2">
        <v>132009</v>
      </c>
      <c r="U19" s="2"/>
      <c r="V19" s="22">
        <f t="shared" si="10"/>
        <v>0.28499967615881172</v>
      </c>
      <c r="W19" s="2"/>
      <c r="X19" s="2">
        <f t="shared" si="11"/>
        <v>-132009</v>
      </c>
      <c r="Y19" s="2"/>
      <c r="Z19" s="22">
        <f t="shared" si="12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206</v>
      </c>
      <c r="E20" s="2"/>
      <c r="F20" s="22">
        <f t="shared" si="5"/>
        <v>-8.5501835591591767E-3</v>
      </c>
      <c r="G20" s="2"/>
      <c r="H20" s="2"/>
      <c r="I20" s="2"/>
      <c r="J20" s="22">
        <f t="shared" si="6"/>
        <v>0</v>
      </c>
      <c r="K20" s="2"/>
      <c r="L20" s="2">
        <f t="shared" si="7"/>
        <v>206</v>
      </c>
      <c r="M20" s="2"/>
      <c r="N20" s="22">
        <f t="shared" si="8"/>
        <v>0</v>
      </c>
      <c r="O20" s="11"/>
      <c r="P20" s="2">
        <v>14410.92</v>
      </c>
      <c r="Q20" s="2"/>
      <c r="R20" s="22">
        <f t="shared" si="9"/>
        <v>0.60544690977106241</v>
      </c>
      <c r="S20" s="2"/>
      <c r="T20" s="2"/>
      <c r="U20" s="2"/>
      <c r="V20" s="22">
        <f t="shared" si="10"/>
        <v>0</v>
      </c>
      <c r="W20" s="2"/>
      <c r="X20" s="2">
        <f t="shared" si="11"/>
        <v>14410.92</v>
      </c>
      <c r="Y20" s="2"/>
      <c r="Z20" s="22">
        <f t="shared" si="12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0</v>
      </c>
      <c r="M21" s="2"/>
      <c r="N21" s="22">
        <f t="shared" si="8"/>
        <v>0</v>
      </c>
      <c r="O21" s="11"/>
      <c r="P21" s="2">
        <v>10912</v>
      </c>
      <c r="Q21" s="2"/>
      <c r="R21" s="22">
        <f t="shared" si="9"/>
        <v>0.45844655854184418</v>
      </c>
      <c r="S21" s="2"/>
      <c r="T21" s="2"/>
      <c r="U21" s="2"/>
      <c r="V21" s="22">
        <f t="shared" si="10"/>
        <v>0</v>
      </c>
      <c r="W21" s="2"/>
      <c r="X21" s="2">
        <f t="shared" si="11"/>
        <v>10912</v>
      </c>
      <c r="Y21" s="2"/>
      <c r="Z21" s="22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0">
        <f>D12-D18</f>
        <v>-24299.05</v>
      </c>
      <c r="E23" s="13"/>
      <c r="F23" s="19">
        <f>IF(D$12=0,0,D23/D$12)</f>
        <v>1.0085501835591593</v>
      </c>
      <c r="G23" s="13"/>
      <c r="H23" s="20">
        <f>H12-H18</f>
        <v>167906</v>
      </c>
      <c r="I23" s="13"/>
      <c r="J23" s="19">
        <f>IF(H$12=0,0,H23/H$12)</f>
        <v>0.72499838079405854</v>
      </c>
      <c r="K23" s="15"/>
      <c r="L23" s="20">
        <f>+D23-H23</f>
        <v>-192205.05</v>
      </c>
      <c r="M23" s="15"/>
      <c r="N23" s="19">
        <f>IF(H23=0,0,L23/H23)</f>
        <v>-1.1447181756458971</v>
      </c>
      <c r="O23" s="25"/>
      <c r="P23" s="20">
        <f>P12-P18</f>
        <v>-1520.7999999999993</v>
      </c>
      <c r="Q23" s="13"/>
      <c r="R23" s="19">
        <f>IF(P$12=0,0,P23/P$12)</f>
        <v>-6.3893468312906557E-2</v>
      </c>
      <c r="S23" s="13"/>
      <c r="T23" s="20">
        <f>T12-T18</f>
        <v>331181</v>
      </c>
      <c r="U23" s="13"/>
      <c r="V23" s="19">
        <f>IF(T$12=0,0,T23/T$12)</f>
        <v>0.71500032384118828</v>
      </c>
      <c r="W23" s="15"/>
      <c r="X23" s="20">
        <f>+P23-T23</f>
        <v>-332701.8</v>
      </c>
      <c r="Y23" s="15"/>
      <c r="Z23" s="19">
        <f>IF(T23=0,0,X23/T23)</f>
        <v>-1.0045920508724835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1">
        <f>SUM(OSRRefD22x_0)</f>
        <v>55891.359999999993</v>
      </c>
      <c r="E25" s="21"/>
      <c r="F25" s="31">
        <f t="shared" ref="F25:F36" si="13">IF(D$12=0,0,D25/D$12)</f>
        <v>-2.319812560053625</v>
      </c>
      <c r="G25" s="21"/>
      <c r="H25" s="21">
        <f>SUM(OSRRefH22x_0)</f>
        <v>153778.45341346151</v>
      </c>
      <c r="I25" s="21"/>
      <c r="J25" s="31">
        <f t="shared" ref="J25:J36" si="14">IF(H$12=0,0,H25/H$12)</f>
        <v>0.6639972944729442</v>
      </c>
      <c r="K25" s="4"/>
      <c r="L25" s="21">
        <f t="shared" ref="L25:L36" si="15">+D25-H25</f>
        <v>-97887.093413461524</v>
      </c>
      <c r="M25" s="4"/>
      <c r="N25" s="31">
        <f t="shared" ref="N25:N36" si="16">IF(H25=0,0,L25/H25)</f>
        <v>-0.6365462211424</v>
      </c>
      <c r="O25" s="10"/>
      <c r="P25" s="21">
        <f>SUM(OSRRefP22x_0)</f>
        <v>221306.29000000004</v>
      </c>
      <c r="Q25" s="21"/>
      <c r="R25" s="31">
        <f t="shared" ref="R25:R36" si="17">IF(P$12=0,0,P25/P$12)</f>
        <v>9.2977554100223028</v>
      </c>
      <c r="S25" s="21"/>
      <c r="T25" s="21">
        <f>SUM(OSRRefT22x_0)</f>
        <v>480963.11140846153</v>
      </c>
      <c r="U25" s="21"/>
      <c r="V25" s="31">
        <f t="shared" ref="V25:V36" si="18">IF(T$12=0,0,T25/T$12)</f>
        <v>1.0383711034531435</v>
      </c>
      <c r="W25" s="4"/>
      <c r="X25" s="21">
        <f t="shared" ref="X25:X36" si="19">+P25-T25</f>
        <v>-259656.82140846149</v>
      </c>
      <c r="Y25" s="4"/>
      <c r="Z25" s="31">
        <f t="shared" ref="Z25:Z36" si="20">IF(T25=0,0,X25/T25)</f>
        <v>-0.53986847483599631</v>
      </c>
    </row>
    <row r="26" spans="1:26" s="27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23269.629999999997</v>
      </c>
      <c r="E26" s="1"/>
      <c r="F26" s="5">
        <f t="shared" si="13"/>
        <v>-0.96582333909571427</v>
      </c>
      <c r="G26" s="1"/>
      <c r="H26" s="1">
        <f>SUM(OSRRefH22_0x_0)</f>
        <v>36406.42649038462</v>
      </c>
      <c r="I26" s="1"/>
      <c r="J26" s="5">
        <f t="shared" si="14"/>
        <v>0.15719867220960995</v>
      </c>
      <c r="K26" s="1"/>
      <c r="L26" s="1">
        <f t="shared" si="15"/>
        <v>-13136.796490384622</v>
      </c>
      <c r="M26" s="1"/>
      <c r="N26" s="5">
        <f t="shared" si="16"/>
        <v>-0.36083729596076147</v>
      </c>
      <c r="O26" s="14"/>
      <c r="P26" s="1">
        <f>SUM(OSRRefP22_0x_0)</f>
        <v>83689.260000000009</v>
      </c>
      <c r="Q26" s="1"/>
      <c r="R26" s="5">
        <f t="shared" si="17"/>
        <v>3.5160422685038144</v>
      </c>
      <c r="S26" s="1"/>
      <c r="T26" s="1">
        <f>SUM(OSRRefT22_0x_0)</f>
        <v>129355.8144853847</v>
      </c>
      <c r="U26" s="1"/>
      <c r="V26" s="5">
        <f t="shared" si="18"/>
        <v>0.27927160449358729</v>
      </c>
      <c r="W26" s="1"/>
      <c r="X26" s="1">
        <f t="shared" si="19"/>
        <v>-45666.554485384695</v>
      </c>
      <c r="Y26" s="1"/>
      <c r="Z26" s="5">
        <f t="shared" si="20"/>
        <v>-0.35303055117436827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7">
        <v>3012.34</v>
      </c>
      <c r="E27" s="2"/>
      <c r="F27" s="6">
        <f t="shared" si="13"/>
        <v>-0.12502941719707553</v>
      </c>
      <c r="G27" s="2"/>
      <c r="H27" s="7">
        <v>4425.8623557692299</v>
      </c>
      <c r="I27" s="2"/>
      <c r="J27" s="6">
        <f t="shared" si="14"/>
        <v>1.911035365948846E-2</v>
      </c>
      <c r="K27" s="2"/>
      <c r="L27" s="7">
        <f t="shared" si="15"/>
        <v>-1413.5223557692298</v>
      </c>
      <c r="M27" s="2"/>
      <c r="N27" s="6">
        <f t="shared" si="16"/>
        <v>-0.3193778391970698</v>
      </c>
      <c r="O27" s="11"/>
      <c r="P27" s="7">
        <v>8915.56</v>
      </c>
      <c r="Q27" s="2"/>
      <c r="R27" s="6">
        <f t="shared" si="17"/>
        <v>0.37456999628604509</v>
      </c>
      <c r="S27" s="2"/>
      <c r="T27" s="7">
        <v>14456.38160076922</v>
      </c>
      <c r="U27" s="2"/>
      <c r="V27" s="6">
        <f t="shared" si="18"/>
        <v>3.121047863893698E-2</v>
      </c>
      <c r="W27" s="2"/>
      <c r="X27" s="7">
        <f t="shared" si="19"/>
        <v>-5540.8216007692208</v>
      </c>
      <c r="Y27" s="2"/>
      <c r="Z27" s="6">
        <f t="shared" si="20"/>
        <v>-0.38327859306608197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7">
        <v>1070.6099999999999</v>
      </c>
      <c r="E28" s="2"/>
      <c r="F28" s="6">
        <f t="shared" si="13"/>
        <v>-4.4436466117822357E-2</v>
      </c>
      <c r="G28" s="2"/>
      <c r="H28" s="7">
        <v>3081.5812499999997</v>
      </c>
      <c r="I28" s="2"/>
      <c r="J28" s="6">
        <f t="shared" si="14"/>
        <v>1.3305905783803621E-2</v>
      </c>
      <c r="K28" s="2"/>
      <c r="L28" s="7">
        <f t="shared" si="15"/>
        <v>-2010.9712499999998</v>
      </c>
      <c r="M28" s="2"/>
      <c r="N28" s="6">
        <f t="shared" si="16"/>
        <v>-0.65257771476900051</v>
      </c>
      <c r="O28" s="11"/>
      <c r="P28" s="7">
        <v>4374.1899999999996</v>
      </c>
      <c r="Q28" s="2"/>
      <c r="R28" s="6">
        <f t="shared" si="17"/>
        <v>0.18377312609128935</v>
      </c>
      <c r="S28" s="2"/>
      <c r="T28" s="7">
        <v>9214.8441000000003</v>
      </c>
      <c r="U28" s="2"/>
      <c r="V28" s="6">
        <f t="shared" si="18"/>
        <v>1.9894307087804142E-2</v>
      </c>
      <c r="W28" s="2"/>
      <c r="X28" s="7">
        <f t="shared" si="19"/>
        <v>-4840.6541000000007</v>
      </c>
      <c r="Y28" s="2"/>
      <c r="Z28" s="6">
        <f t="shared" si="20"/>
        <v>-0.52531047161177702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7">
        <v>12526.51</v>
      </c>
      <c r="E29" s="2"/>
      <c r="F29" s="6">
        <f t="shared" si="13"/>
        <v>-0.51992213522156805</v>
      </c>
      <c r="G29" s="2"/>
      <c r="H29" s="7">
        <v>21932.307692307699</v>
      </c>
      <c r="I29" s="2"/>
      <c r="J29" s="6">
        <f t="shared" si="14"/>
        <v>9.4701127797697265E-2</v>
      </c>
      <c r="K29" s="2"/>
      <c r="L29" s="7">
        <f t="shared" si="15"/>
        <v>-9405.7976923076985</v>
      </c>
      <c r="M29" s="2"/>
      <c r="N29" s="6">
        <f t="shared" si="16"/>
        <v>-0.42885581509539861</v>
      </c>
      <c r="O29" s="11"/>
      <c r="P29" s="7">
        <v>47406.11</v>
      </c>
      <c r="Q29" s="2"/>
      <c r="R29" s="6">
        <f t="shared" si="17"/>
        <v>1.9916759515538953</v>
      </c>
      <c r="S29" s="2"/>
      <c r="T29" s="7">
        <v>81332.30769230779</v>
      </c>
      <c r="U29" s="2"/>
      <c r="V29" s="6">
        <f t="shared" si="18"/>
        <v>0.17559167445823051</v>
      </c>
      <c r="W29" s="2"/>
      <c r="X29" s="7">
        <f t="shared" si="19"/>
        <v>-33926.197692307789</v>
      </c>
      <c r="Y29" s="2"/>
      <c r="Z29" s="6">
        <f t="shared" si="20"/>
        <v>-0.41713064162221536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7">
        <v>64.89</v>
      </c>
      <c r="E30" s="2"/>
      <c r="F30" s="6">
        <f t="shared" si="13"/>
        <v>-2.6933078211351406E-3</v>
      </c>
      <c r="G30" s="2"/>
      <c r="H30" s="7">
        <v>186.76249999999999</v>
      </c>
      <c r="I30" s="2"/>
      <c r="J30" s="6">
        <f t="shared" si="14"/>
        <v>8.0641853235173468E-4</v>
      </c>
      <c r="K30" s="2"/>
      <c r="L30" s="7">
        <f t="shared" si="15"/>
        <v>-121.87249999999999</v>
      </c>
      <c r="M30" s="2"/>
      <c r="N30" s="6">
        <f t="shared" si="16"/>
        <v>-0.65255337661468438</v>
      </c>
      <c r="O30" s="11"/>
      <c r="P30" s="7">
        <v>265.10000000000002</v>
      </c>
      <c r="Q30" s="2"/>
      <c r="R30" s="6">
        <f t="shared" si="17"/>
        <v>1.1137663367800853E-2</v>
      </c>
      <c r="S30" s="2"/>
      <c r="T30" s="7">
        <v>558.47540000000004</v>
      </c>
      <c r="U30" s="2"/>
      <c r="V30" s="6">
        <f t="shared" si="18"/>
        <v>1.2057155810790388E-3</v>
      </c>
      <c r="W30" s="2"/>
      <c r="X30" s="7">
        <f t="shared" si="19"/>
        <v>-293.37540000000001</v>
      </c>
      <c r="Y30" s="2"/>
      <c r="Z30" s="6">
        <f t="shared" si="20"/>
        <v>-0.52531481243399436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7">
        <v>950.04</v>
      </c>
      <c r="E31" s="2"/>
      <c r="F31" s="6">
        <f t="shared" si="13"/>
        <v>-3.9432118390988272E-2</v>
      </c>
      <c r="G31" s="2"/>
      <c r="H31" s="7">
        <v>1557.60884615385</v>
      </c>
      <c r="I31" s="2"/>
      <c r="J31" s="6">
        <f t="shared" si="14"/>
        <v>6.7255719948783434E-3</v>
      </c>
      <c r="K31" s="2"/>
      <c r="L31" s="7">
        <f t="shared" si="15"/>
        <v>-607.56884615385002</v>
      </c>
      <c r="M31" s="2"/>
      <c r="N31" s="6">
        <f t="shared" si="16"/>
        <v>-0.39006509731509226</v>
      </c>
      <c r="O31" s="11"/>
      <c r="P31" s="7">
        <v>4275.17</v>
      </c>
      <c r="Q31" s="2"/>
      <c r="R31" s="6">
        <f t="shared" si="17"/>
        <v>0.17961299245613416</v>
      </c>
      <c r="S31" s="2"/>
      <c r="T31" s="7">
        <v>5607.3918461538597</v>
      </c>
      <c r="U31" s="2"/>
      <c r="V31" s="6">
        <f t="shared" si="18"/>
        <v>1.2106029590781019E-2</v>
      </c>
      <c r="W31" s="2"/>
      <c r="X31" s="7">
        <f t="shared" si="19"/>
        <v>-1332.2218461538596</v>
      </c>
      <c r="Y31" s="2"/>
      <c r="Z31" s="6">
        <f t="shared" si="20"/>
        <v>-0.23758315500416433</v>
      </c>
    </row>
    <row r="32" spans="1:26" s="24" customFormat="1" hidden="1" outlineLevel="2" x14ac:dyDescent="0.25">
      <c r="A32" s="28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8"/>
      <c r="B33" s="11" t="str">
        <f>CONCATENATE("          ", "6117", " - ", "RETIREMENT STAFF HOURLY")</f>
        <v xml:space="preserve">          6117 - RETIREMENT STAFF HOURLY</v>
      </c>
      <c r="C33" s="11"/>
      <c r="D33" s="7">
        <v>385.64</v>
      </c>
      <c r="E33" s="2"/>
      <c r="F33" s="6">
        <f t="shared" si="13"/>
        <v>-1.6006275668709442E-2</v>
      </c>
      <c r="G33" s="2"/>
      <c r="H33" s="7"/>
      <c r="I33" s="2"/>
      <c r="J33" s="6">
        <f t="shared" si="14"/>
        <v>0</v>
      </c>
      <c r="K33" s="2"/>
      <c r="L33" s="7">
        <f t="shared" si="15"/>
        <v>385.64</v>
      </c>
      <c r="M33" s="2"/>
      <c r="N33" s="6">
        <f t="shared" si="16"/>
        <v>0</v>
      </c>
      <c r="O33" s="11"/>
      <c r="P33" s="7">
        <v>1633.21</v>
      </c>
      <c r="Q33" s="2"/>
      <c r="R33" s="6">
        <f t="shared" si="17"/>
        <v>6.8616156880143456E-2</v>
      </c>
      <c r="S33" s="2"/>
      <c r="T33" s="7"/>
      <c r="U33" s="2"/>
      <c r="V33" s="6">
        <f t="shared" si="18"/>
        <v>0</v>
      </c>
      <c r="W33" s="2"/>
      <c r="X33" s="7">
        <f t="shared" si="19"/>
        <v>1633.21</v>
      </c>
      <c r="Y33" s="2"/>
      <c r="Z33" s="6">
        <f t="shared" si="20"/>
        <v>0</v>
      </c>
    </row>
    <row r="34" spans="1:26" s="24" customFormat="1" hidden="1" outlineLevel="2" x14ac:dyDescent="0.25">
      <c r="A34" s="28"/>
      <c r="B34" s="11" t="str">
        <f>CONCATENATE("          ", "6118", " - ", "VACATION")</f>
        <v xml:space="preserve">          6118 - VACATION</v>
      </c>
      <c r="C34" s="11"/>
      <c r="D34" s="7">
        <v>2578.59</v>
      </c>
      <c r="E34" s="2"/>
      <c r="F34" s="6">
        <f t="shared" si="13"/>
        <v>-0.10702630011559351</v>
      </c>
      <c r="G34" s="2"/>
      <c r="H34" s="7">
        <v>1575.35192307692</v>
      </c>
      <c r="I34" s="2"/>
      <c r="J34" s="6">
        <f t="shared" si="14"/>
        <v>6.802184516405449E-3</v>
      </c>
      <c r="K34" s="2"/>
      <c r="L34" s="7">
        <f t="shared" si="15"/>
        <v>1003.2380769230801</v>
      </c>
      <c r="M34" s="2"/>
      <c r="N34" s="6">
        <f t="shared" si="16"/>
        <v>0.63683426047660008</v>
      </c>
      <c r="O34" s="11"/>
      <c r="P34" s="7">
        <v>8183.77</v>
      </c>
      <c r="Q34" s="2"/>
      <c r="R34" s="6">
        <f t="shared" si="17"/>
        <v>0.3438252559015752</v>
      </c>
      <c r="S34" s="2"/>
      <c r="T34" s="7">
        <v>5671.2669230769197</v>
      </c>
      <c r="U34" s="2"/>
      <c r="V34" s="6">
        <f t="shared" si="18"/>
        <v>1.2243932129529825E-2</v>
      </c>
      <c r="W34" s="2"/>
      <c r="X34" s="7">
        <f t="shared" si="19"/>
        <v>2512.5030769230807</v>
      </c>
      <c r="Y34" s="2"/>
      <c r="Z34" s="6">
        <f t="shared" si="20"/>
        <v>0.44302324524692516</v>
      </c>
    </row>
    <row r="35" spans="1:26" s="24" customFormat="1" hidden="1" outlineLevel="2" x14ac:dyDescent="0.25">
      <c r="A35" s="28"/>
      <c r="B35" s="11" t="str">
        <f>CONCATENATE("          ", "6119", " - ", "SICK LEAVE")</f>
        <v xml:space="preserve">          6119 - SICK LEAVE</v>
      </c>
      <c r="C35" s="11"/>
      <c r="D35" s="7">
        <v>1686.01</v>
      </c>
      <c r="E35" s="2"/>
      <c r="F35" s="6">
        <f t="shared" si="13"/>
        <v>-6.9979101857174583E-2</v>
      </c>
      <c r="G35" s="2"/>
      <c r="H35" s="7">
        <v>1896.9519230769201</v>
      </c>
      <c r="I35" s="2"/>
      <c r="J35" s="6">
        <f t="shared" si="14"/>
        <v>8.1908155317555222E-3</v>
      </c>
      <c r="K35" s="2"/>
      <c r="L35" s="7">
        <f t="shared" si="15"/>
        <v>-210.94192307692015</v>
      </c>
      <c r="M35" s="2"/>
      <c r="N35" s="6">
        <f t="shared" si="16"/>
        <v>-0.11120045822498507</v>
      </c>
      <c r="O35" s="11"/>
      <c r="P35" s="7">
        <v>5330.35</v>
      </c>
      <c r="Q35" s="2"/>
      <c r="R35" s="6">
        <f t="shared" si="17"/>
        <v>0.22394433773126093</v>
      </c>
      <c r="S35" s="2"/>
      <c r="T35" s="7">
        <v>5515.1469230769198</v>
      </c>
      <c r="U35" s="2"/>
      <c r="V35" s="6">
        <f t="shared" si="18"/>
        <v>1.1906878220766684E-2</v>
      </c>
      <c r="W35" s="2"/>
      <c r="X35" s="7">
        <f t="shared" si="19"/>
        <v>-184.79692307691948</v>
      </c>
      <c r="Y35" s="2"/>
      <c r="Z35" s="6">
        <f t="shared" si="20"/>
        <v>-3.350716230308886E-2</v>
      </c>
    </row>
    <row r="36" spans="1:26" s="24" customFormat="1" hidden="1" outlineLevel="2" x14ac:dyDescent="0.25">
      <c r="A36" s="28"/>
      <c r="B36" s="11" t="str">
        <f>CONCATENATE("          ", "6156", " - ", "EMPLOYEE MEALS")</f>
        <v xml:space="preserve">          6156 - EMPLOYEE MEALS</v>
      </c>
      <c r="C36" s="11"/>
      <c r="D36" s="7">
        <v>995</v>
      </c>
      <c r="E36" s="2"/>
      <c r="F36" s="6">
        <f t="shared" si="13"/>
        <v>-4.1298216705647484E-2</v>
      </c>
      <c r="G36" s="2"/>
      <c r="H36" s="7">
        <v>1750</v>
      </c>
      <c r="I36" s="2"/>
      <c r="J36" s="6">
        <f t="shared" si="14"/>
        <v>7.5562943932295599E-3</v>
      </c>
      <c r="K36" s="2"/>
      <c r="L36" s="7">
        <f t="shared" si="15"/>
        <v>-755</v>
      </c>
      <c r="M36" s="2"/>
      <c r="N36" s="6">
        <f t="shared" si="16"/>
        <v>-0.43142857142857144</v>
      </c>
      <c r="O36" s="11"/>
      <c r="P36" s="7">
        <v>3305.8</v>
      </c>
      <c r="Q36" s="2"/>
      <c r="R36" s="6">
        <f t="shared" si="17"/>
        <v>0.13888678823566977</v>
      </c>
      <c r="S36" s="2"/>
      <c r="T36" s="7">
        <v>7000</v>
      </c>
      <c r="U36" s="2"/>
      <c r="V36" s="6">
        <f t="shared" si="18"/>
        <v>1.511258878645912E-2</v>
      </c>
      <c r="W36" s="2"/>
      <c r="X36" s="7">
        <f t="shared" si="19"/>
        <v>-3694.2</v>
      </c>
      <c r="Y36" s="2"/>
      <c r="Z36" s="6">
        <f t="shared" si="20"/>
        <v>-0.52774285714285707</v>
      </c>
    </row>
    <row r="37" spans="1:26" s="27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25913.300000000003</v>
      </c>
      <c r="E37" s="1"/>
      <c r="F37" s="5">
        <f t="shared" ref="F37:F47" si="21">IF(D$12=0,0,D37/D$12)</f>
        <v>-1.0755508331240753</v>
      </c>
      <c r="G37" s="1"/>
      <c r="H37" s="1">
        <f>SUM(OSRRefH22_1x_0)</f>
        <v>69197.026923076904</v>
      </c>
      <c r="I37" s="1"/>
      <c r="J37" s="5">
        <f t="shared" ref="J37:J47" si="22">IF(H$12=0,0,H37/H$12)</f>
        <v>0.29878463232400054</v>
      </c>
      <c r="K37" s="1"/>
      <c r="L37" s="1">
        <f t="shared" ref="L37:L47" si="23">+D37-H37</f>
        <v>-43283.726923076902</v>
      </c>
      <c r="M37" s="1"/>
      <c r="N37" s="5">
        <f t="shared" ref="N37:N47" si="24">IF(H37=0,0,L37/H37)</f>
        <v>-0.62551425758787871</v>
      </c>
      <c r="O37" s="14"/>
      <c r="P37" s="1">
        <f>SUM(OSRRefP22_1x_0)</f>
        <v>94786.459999999992</v>
      </c>
      <c r="Q37" s="1"/>
      <c r="R37" s="5">
        <f t="shared" ref="R37:R47" si="25">IF(P$12=0,0,P37/P$12)</f>
        <v>3.9822696465692968</v>
      </c>
      <c r="S37" s="1"/>
      <c r="T37" s="1">
        <f>SUM(OSRRefT22_1x_0)</f>
        <v>205313.29692307679</v>
      </c>
      <c r="U37" s="1"/>
      <c r="V37" s="5">
        <f t="shared" ref="V37:V47" si="26">IF(T$12=0,0,T37/T$12)</f>
        <v>0.44325934697009173</v>
      </c>
      <c r="W37" s="1"/>
      <c r="X37" s="1">
        <f t="shared" ref="X37:X47" si="27">+P37-T37</f>
        <v>-110526.8369230768</v>
      </c>
      <c r="Y37" s="1"/>
      <c r="Z37" s="5">
        <f t="shared" ref="Z37:Z47" si="28">IF(T37=0,0,X37/T37)</f>
        <v>-0.53833258040022158</v>
      </c>
    </row>
    <row r="38" spans="1:26" s="24" customFormat="1" hidden="1" outlineLevel="2" x14ac:dyDescent="0.25">
      <c r="A38" s="28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8"/>
      <c r="B39" s="11" t="str">
        <f>CONCATENATE("          ", "6002", " - ", "STAFF SALARIES")</f>
        <v xml:space="preserve">          6002 - STAFF SALARIES</v>
      </c>
      <c r="C39" s="11"/>
      <c r="D39" s="7">
        <v>11354.63</v>
      </c>
      <c r="E39" s="2"/>
      <c r="F39" s="6">
        <f t="shared" si="21"/>
        <v>-0.47128238226376484</v>
      </c>
      <c r="G39" s="2"/>
      <c r="H39" s="7">
        <v>17025.026923076901</v>
      </c>
      <c r="I39" s="2"/>
      <c r="J39" s="6">
        <f t="shared" si="22"/>
        <v>7.3512065990530451E-2</v>
      </c>
      <c r="K39" s="2"/>
      <c r="L39" s="7">
        <f t="shared" si="23"/>
        <v>-5670.3969230769017</v>
      </c>
      <c r="M39" s="2"/>
      <c r="N39" s="6">
        <f t="shared" si="24"/>
        <v>-0.33306243500800886</v>
      </c>
      <c r="O39" s="11"/>
      <c r="P39" s="7">
        <v>40072.89</v>
      </c>
      <c r="Q39" s="2"/>
      <c r="R39" s="6">
        <f t="shared" si="25"/>
        <v>1.6835849075628557</v>
      </c>
      <c r="S39" s="2"/>
      <c r="T39" s="7">
        <v>61290.096923076802</v>
      </c>
      <c r="U39" s="2"/>
      <c r="V39" s="6">
        <f t="shared" si="26"/>
        <v>0.13232171878295473</v>
      </c>
      <c r="W39" s="2"/>
      <c r="X39" s="7">
        <f t="shared" si="27"/>
        <v>-21217.206923076803</v>
      </c>
      <c r="Y39" s="2"/>
      <c r="Z39" s="6">
        <f t="shared" si="28"/>
        <v>-0.34617675592364988</v>
      </c>
    </row>
    <row r="40" spans="1:26" s="24" customFormat="1" hidden="1" outlineLevel="2" x14ac:dyDescent="0.25">
      <c r="A40" s="28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8"/>
      <c r="B41" s="11" t="str">
        <f>CONCATENATE("          ", "6004", " - ", "STAFF HOURLY")</f>
        <v xml:space="preserve">          6004 - STAFF HOURLY</v>
      </c>
      <c r="C41" s="11"/>
      <c r="D41" s="7">
        <v>17760.670000000002</v>
      </c>
      <c r="E41" s="2"/>
      <c r="F41" s="6">
        <f t="shared" si="21"/>
        <v>-0.737169847736173</v>
      </c>
      <c r="G41" s="2"/>
      <c r="H41" s="7">
        <v>38172</v>
      </c>
      <c r="I41" s="2"/>
      <c r="J41" s="6">
        <f t="shared" si="22"/>
        <v>0.16482221118763357</v>
      </c>
      <c r="K41" s="2"/>
      <c r="L41" s="7">
        <f t="shared" si="23"/>
        <v>-20411.329999999998</v>
      </c>
      <c r="M41" s="2"/>
      <c r="N41" s="6">
        <f t="shared" si="24"/>
        <v>-0.53471995179712872</v>
      </c>
      <c r="O41" s="11"/>
      <c r="P41" s="7">
        <v>54713.57</v>
      </c>
      <c r="Q41" s="2"/>
      <c r="R41" s="6">
        <f t="shared" si="25"/>
        <v>2.2986847390064415</v>
      </c>
      <c r="S41" s="2"/>
      <c r="T41" s="7">
        <v>118123.2</v>
      </c>
      <c r="U41" s="2"/>
      <c r="V41" s="6">
        <f t="shared" si="26"/>
        <v>0.25502104967723827</v>
      </c>
      <c r="W41" s="2"/>
      <c r="X41" s="7">
        <f t="shared" si="27"/>
        <v>-63409.63</v>
      </c>
      <c r="Y41" s="2"/>
      <c r="Z41" s="6">
        <f t="shared" si="28"/>
        <v>-0.53680928048004117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8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8"/>
      <c r="B44" s="11" t="str">
        <f>CONCATENATE("          ", "6007", " - ", "STUDENT HOURLY")</f>
        <v xml:space="preserve">          6007 - STUDENT HOURLY</v>
      </c>
      <c r="C44" s="11"/>
      <c r="D44" s="7">
        <v>-3202</v>
      </c>
      <c r="E44" s="2"/>
      <c r="F44" s="6">
        <f t="shared" si="21"/>
        <v>0.13290139687586255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-3202</v>
      </c>
      <c r="M44" s="2"/>
      <c r="N44" s="6">
        <f t="shared" si="24"/>
        <v>0</v>
      </c>
      <c r="O44" s="11"/>
      <c r="P44" s="7">
        <v>0</v>
      </c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8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14000</v>
      </c>
      <c r="I45" s="2"/>
      <c r="J45" s="6">
        <f t="shared" si="22"/>
        <v>6.0450355145836479E-2</v>
      </c>
      <c r="K45" s="2"/>
      <c r="L45" s="7">
        <f t="shared" si="23"/>
        <v>-14000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25900</v>
      </c>
      <c r="U45" s="2"/>
      <c r="V45" s="6">
        <f t="shared" si="26"/>
        <v>5.5916578509898743E-2</v>
      </c>
      <c r="W45" s="2"/>
      <c r="X45" s="7">
        <f t="shared" si="27"/>
        <v>-25900</v>
      </c>
      <c r="Y45" s="2"/>
      <c r="Z45" s="6">
        <f t="shared" si="28"/>
        <v>-1</v>
      </c>
    </row>
    <row r="46" spans="1:26" s="24" customFormat="1" hidden="1" outlineLevel="2" x14ac:dyDescent="0.25">
      <c r="A46" s="28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8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7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8" si="29">IF(D$12=0,0,D48/D$12)</f>
        <v>0</v>
      </c>
      <c r="G48" s="1"/>
      <c r="H48" s="1">
        <f>SUM(OSRRefH22_2x_0)</f>
        <v>500</v>
      </c>
      <c r="I48" s="1"/>
      <c r="J48" s="5">
        <f t="shared" ref="J48:J68" si="30">IF(H$12=0,0,H48/H$12)</f>
        <v>2.1589412552084457E-3</v>
      </c>
      <c r="K48" s="1"/>
      <c r="L48" s="1">
        <f t="shared" ref="L48:L68" si="31">+D48-H48</f>
        <v>-500</v>
      </c>
      <c r="M48" s="1"/>
      <c r="N48" s="5">
        <f t="shared" ref="N48:N68" si="32">IF(H48=0,0,L48/H48)</f>
        <v>-1</v>
      </c>
      <c r="O48" s="14"/>
      <c r="P48" s="1">
        <f>SUM(OSRRefP22_2x_0)</f>
        <v>204.75</v>
      </c>
      <c r="Q48" s="1"/>
      <c r="R48" s="5">
        <f t="shared" ref="R48:R68" si="33">IF(P$12=0,0,P48/P$12)</f>
        <v>8.6021749323169534E-3</v>
      </c>
      <c r="S48" s="1"/>
      <c r="T48" s="1">
        <f>SUM(OSRRefT22_2x_0)</f>
        <v>2000</v>
      </c>
      <c r="U48" s="1"/>
      <c r="V48" s="5">
        <f t="shared" ref="V48:V68" si="34">IF(T$12=0,0,T48/T$12)</f>
        <v>4.3178825104168914E-3</v>
      </c>
      <c r="W48" s="1"/>
      <c r="X48" s="1">
        <f t="shared" ref="X48:X68" si="35">+P48-T48</f>
        <v>-1795.25</v>
      </c>
      <c r="Y48" s="1"/>
      <c r="Z48" s="5">
        <f t="shared" ref="Z48:Z68" si="36">IF(T48=0,0,X48/T48)</f>
        <v>-0.89762500000000001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500</v>
      </c>
      <c r="I49" s="2"/>
      <c r="J49" s="6">
        <f t="shared" si="30"/>
        <v>2.1589412552084457E-3</v>
      </c>
      <c r="K49" s="2"/>
      <c r="L49" s="7">
        <f t="shared" si="31"/>
        <v>-500</v>
      </c>
      <c r="M49" s="2"/>
      <c r="N49" s="6">
        <f t="shared" si="32"/>
        <v>-1</v>
      </c>
      <c r="O49" s="11"/>
      <c r="P49" s="7">
        <v>204.75</v>
      </c>
      <c r="Q49" s="2"/>
      <c r="R49" s="6">
        <f t="shared" si="33"/>
        <v>8.6021749323169534E-3</v>
      </c>
      <c r="S49" s="2"/>
      <c r="T49" s="7">
        <v>2000</v>
      </c>
      <c r="U49" s="2"/>
      <c r="V49" s="6">
        <f t="shared" si="34"/>
        <v>4.3178825104168914E-3</v>
      </c>
      <c r="W49" s="2"/>
      <c r="X49" s="7">
        <f t="shared" si="35"/>
        <v>-1795.25</v>
      </c>
      <c r="Y49" s="2"/>
      <c r="Z49" s="6">
        <f t="shared" si="36"/>
        <v>-0.89762500000000001</v>
      </c>
    </row>
    <row r="50" spans="1:26" s="27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15</v>
      </c>
      <c r="I50" s="1"/>
      <c r="J50" s="5">
        <f t="shared" si="30"/>
        <v>6.4768237656253374E-5</v>
      </c>
      <c r="K50" s="1"/>
      <c r="L50" s="1">
        <f t="shared" si="31"/>
        <v>-15</v>
      </c>
      <c r="M50" s="1"/>
      <c r="N50" s="5">
        <f t="shared" si="32"/>
        <v>-1</v>
      </c>
      <c r="O50" s="14"/>
      <c r="P50" s="1">
        <f>SUM(OSRRefP22_3x_0)</f>
        <v>0</v>
      </c>
      <c r="Q50" s="1"/>
      <c r="R50" s="5">
        <f t="shared" si="33"/>
        <v>0</v>
      </c>
      <c r="S50" s="1"/>
      <c r="T50" s="1">
        <f>SUM(OSRRefT22_3x_0)</f>
        <v>60</v>
      </c>
      <c r="U50" s="1"/>
      <c r="V50" s="5">
        <f t="shared" si="34"/>
        <v>1.2953647531250675E-4</v>
      </c>
      <c r="W50" s="1"/>
      <c r="X50" s="1">
        <f t="shared" si="35"/>
        <v>-60</v>
      </c>
      <c r="Y50" s="1"/>
      <c r="Z50" s="5">
        <f t="shared" si="36"/>
        <v>-1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15</v>
      </c>
      <c r="I51" s="2"/>
      <c r="J51" s="6">
        <f t="shared" si="30"/>
        <v>6.4768237656253374E-5</v>
      </c>
      <c r="K51" s="2"/>
      <c r="L51" s="7">
        <f t="shared" si="31"/>
        <v>-15</v>
      </c>
      <c r="M51" s="2"/>
      <c r="N51" s="6">
        <f t="shared" si="32"/>
        <v>-1</v>
      </c>
      <c r="O51" s="11"/>
      <c r="P51" s="7"/>
      <c r="Q51" s="2"/>
      <c r="R51" s="6">
        <f t="shared" si="33"/>
        <v>0</v>
      </c>
      <c r="S51" s="2"/>
      <c r="T51" s="7">
        <v>60</v>
      </c>
      <c r="U51" s="2"/>
      <c r="V51" s="6">
        <f t="shared" si="34"/>
        <v>1.2953647531250675E-4</v>
      </c>
      <c r="W51" s="2"/>
      <c r="X51" s="7">
        <f t="shared" si="35"/>
        <v>-60</v>
      </c>
      <c r="Y51" s="2"/>
      <c r="Z51" s="6">
        <f t="shared" si="36"/>
        <v>-1</v>
      </c>
    </row>
    <row r="52" spans="1:26" s="27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250</v>
      </c>
      <c r="I52" s="1"/>
      <c r="J52" s="5">
        <f t="shared" si="30"/>
        <v>1.0794706276042228E-3</v>
      </c>
      <c r="K52" s="1"/>
      <c r="L52" s="1">
        <f t="shared" si="31"/>
        <v>-250</v>
      </c>
      <c r="M52" s="1"/>
      <c r="N52" s="5">
        <f t="shared" si="32"/>
        <v>-1</v>
      </c>
      <c r="O52" s="14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1000</v>
      </c>
      <c r="U52" s="1"/>
      <c r="V52" s="5">
        <f t="shared" si="34"/>
        <v>2.1589412552084457E-3</v>
      </c>
      <c r="W52" s="1"/>
      <c r="X52" s="1">
        <f t="shared" si="35"/>
        <v>-1000</v>
      </c>
      <c r="Y52" s="1"/>
      <c r="Z52" s="5">
        <f t="shared" si="36"/>
        <v>-1</v>
      </c>
    </row>
    <row r="53" spans="1:26" s="24" customFormat="1" hidden="1" outlineLevel="2" x14ac:dyDescent="0.25">
      <c r="A53" s="28"/>
      <c r="B53" s="11" t="str">
        <f>CONCATENATE("          ", "6381", " - ", "BANK/CREDIT CARD FEES")</f>
        <v xml:space="preserve">          6381 - BANK/CREDIT CARD FEES</v>
      </c>
      <c r="C53" s="11"/>
      <c r="D53" s="7"/>
      <c r="E53" s="2"/>
      <c r="F53" s="6">
        <f t="shared" si="29"/>
        <v>0</v>
      </c>
      <c r="G53" s="2"/>
      <c r="H53" s="7">
        <v>250</v>
      </c>
      <c r="I53" s="2"/>
      <c r="J53" s="6">
        <f t="shared" si="30"/>
        <v>1.0794706276042228E-3</v>
      </c>
      <c r="K53" s="2"/>
      <c r="L53" s="7">
        <f t="shared" si="31"/>
        <v>-250</v>
      </c>
      <c r="M53" s="2"/>
      <c r="N53" s="6">
        <f t="shared" si="32"/>
        <v>-1</v>
      </c>
      <c r="O53" s="11"/>
      <c r="P53" s="7"/>
      <c r="Q53" s="2"/>
      <c r="R53" s="6">
        <f t="shared" si="33"/>
        <v>0</v>
      </c>
      <c r="S53" s="2"/>
      <c r="T53" s="7">
        <v>1000</v>
      </c>
      <c r="U53" s="2"/>
      <c r="V53" s="6">
        <f t="shared" si="34"/>
        <v>2.1589412552084457E-3</v>
      </c>
      <c r="W53" s="2"/>
      <c r="X53" s="7">
        <f t="shared" si="35"/>
        <v>-1000</v>
      </c>
      <c r="Y53" s="2"/>
      <c r="Z53" s="6">
        <f t="shared" si="36"/>
        <v>-1</v>
      </c>
    </row>
    <row r="54" spans="1:26" s="27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9"/>
        <v>-1.132027700934502E-2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272.74</v>
      </c>
      <c r="M54" s="1"/>
      <c r="N54" s="5">
        <f t="shared" si="32"/>
        <v>0</v>
      </c>
      <c r="O54" s="14"/>
      <c r="P54" s="1">
        <f>SUM(OSRRefP22_5x_0)</f>
        <v>826.74</v>
      </c>
      <c r="Q54" s="1"/>
      <c r="R54" s="5">
        <f t="shared" si="33"/>
        <v>3.4733880847588369E-2</v>
      </c>
      <c r="S54" s="1"/>
      <c r="T54" s="1">
        <f>SUM(OSRRefT22_5x_0)</f>
        <v>0</v>
      </c>
      <c r="U54" s="1"/>
      <c r="V54" s="5">
        <f t="shared" si="34"/>
        <v>0</v>
      </c>
      <c r="W54" s="1"/>
      <c r="X54" s="1">
        <f t="shared" si="35"/>
        <v>826.74</v>
      </c>
      <c r="Y54" s="1"/>
      <c r="Z54" s="5">
        <f t="shared" si="36"/>
        <v>0</v>
      </c>
    </row>
    <row r="55" spans="1:26" s="24" customFormat="1" hidden="1" outlineLevel="2" x14ac:dyDescent="0.25">
      <c r="A55" s="28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9"/>
        <v>-1.132027700934502E-2</v>
      </c>
      <c r="G55" s="2"/>
      <c r="H55" s="7"/>
      <c r="I55" s="2"/>
      <c r="J55" s="6">
        <f t="shared" si="30"/>
        <v>0</v>
      </c>
      <c r="K55" s="2"/>
      <c r="L55" s="7">
        <f t="shared" si="31"/>
        <v>272.74</v>
      </c>
      <c r="M55" s="2"/>
      <c r="N55" s="6">
        <f t="shared" si="32"/>
        <v>0</v>
      </c>
      <c r="O55" s="11"/>
      <c r="P55" s="7">
        <v>826.74</v>
      </c>
      <c r="Q55" s="2"/>
      <c r="R55" s="6">
        <f t="shared" si="33"/>
        <v>3.4733880847588369E-2</v>
      </c>
      <c r="S55" s="2"/>
      <c r="T55" s="7"/>
      <c r="U55" s="2"/>
      <c r="V55" s="6">
        <f t="shared" si="34"/>
        <v>0</v>
      </c>
      <c r="W55" s="2"/>
      <c r="X55" s="7">
        <f t="shared" si="35"/>
        <v>826.74</v>
      </c>
      <c r="Y55" s="2"/>
      <c r="Z55" s="6">
        <f t="shared" si="36"/>
        <v>0</v>
      </c>
    </row>
    <row r="56" spans="1:26" s="27" customFormat="1" outlineLevel="1" collapsed="1" x14ac:dyDescent="0.25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8000</v>
      </c>
      <c r="I56" s="1"/>
      <c r="J56" s="5">
        <f t="shared" si="30"/>
        <v>3.4543060083335131E-2</v>
      </c>
      <c r="K56" s="1"/>
      <c r="L56" s="1">
        <f t="shared" si="31"/>
        <v>-8000</v>
      </c>
      <c r="M56" s="1"/>
      <c r="N56" s="5">
        <f t="shared" si="32"/>
        <v>-1</v>
      </c>
      <c r="O56" s="14"/>
      <c r="P56" s="1">
        <f>SUM(OSRRefP22_6x_0)</f>
        <v>0</v>
      </c>
      <c r="Q56" s="1"/>
      <c r="R56" s="5">
        <f t="shared" si="33"/>
        <v>0</v>
      </c>
      <c r="S56" s="1"/>
      <c r="T56" s="1">
        <f>SUM(OSRRefT22_6x_0)</f>
        <v>21000</v>
      </c>
      <c r="U56" s="1"/>
      <c r="V56" s="5">
        <f t="shared" si="34"/>
        <v>4.5337766359377363E-2</v>
      </c>
      <c r="W56" s="1"/>
      <c r="X56" s="1">
        <f t="shared" si="35"/>
        <v>-21000</v>
      </c>
      <c r="Y56" s="1"/>
      <c r="Z56" s="5">
        <f t="shared" si="36"/>
        <v>-1</v>
      </c>
    </row>
    <row r="57" spans="1:26" s="24" customFormat="1" hidden="1" outlineLevel="2" x14ac:dyDescent="0.25">
      <c r="A57" s="28"/>
      <c r="B57" s="11" t="str">
        <f>CONCATENATE("          ", "6399", " - ", "DONATION-ON CAMPUS")</f>
        <v xml:space="preserve">          6399 - DONATION-ON CAMPUS</v>
      </c>
      <c r="C57" s="11"/>
      <c r="D57" s="7"/>
      <c r="E57" s="2"/>
      <c r="F57" s="6">
        <f t="shared" si="29"/>
        <v>0</v>
      </c>
      <c r="G57" s="2"/>
      <c r="H57" s="7">
        <v>8000</v>
      </c>
      <c r="I57" s="2"/>
      <c r="J57" s="6">
        <f t="shared" si="30"/>
        <v>3.4543060083335131E-2</v>
      </c>
      <c r="K57" s="2"/>
      <c r="L57" s="7">
        <f t="shared" si="31"/>
        <v>-8000</v>
      </c>
      <c r="M57" s="2"/>
      <c r="N57" s="6">
        <f t="shared" si="32"/>
        <v>-1</v>
      </c>
      <c r="O57" s="11"/>
      <c r="P57" s="7"/>
      <c r="Q57" s="2"/>
      <c r="R57" s="6">
        <f t="shared" si="33"/>
        <v>0</v>
      </c>
      <c r="S57" s="2"/>
      <c r="T57" s="7">
        <v>21000</v>
      </c>
      <c r="U57" s="2"/>
      <c r="V57" s="6">
        <f t="shared" si="34"/>
        <v>4.5337766359377363E-2</v>
      </c>
      <c r="W57" s="2"/>
      <c r="X57" s="7">
        <f t="shared" si="35"/>
        <v>-21000</v>
      </c>
      <c r="Y57" s="2"/>
      <c r="Z57" s="6">
        <f t="shared" si="36"/>
        <v>-1</v>
      </c>
    </row>
    <row r="58" spans="1:26" s="27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100</v>
      </c>
      <c r="I58" s="1"/>
      <c r="J58" s="5">
        <f t="shared" si="30"/>
        <v>4.3178825104168918E-4</v>
      </c>
      <c r="K58" s="1"/>
      <c r="L58" s="1">
        <f t="shared" si="31"/>
        <v>-100</v>
      </c>
      <c r="M58" s="1"/>
      <c r="N58" s="5">
        <f t="shared" si="32"/>
        <v>-1</v>
      </c>
      <c r="O58" s="14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400</v>
      </c>
      <c r="U58" s="1"/>
      <c r="V58" s="5">
        <f t="shared" si="34"/>
        <v>8.6357650208337836E-4</v>
      </c>
      <c r="W58" s="1"/>
      <c r="X58" s="1">
        <f t="shared" si="35"/>
        <v>-400</v>
      </c>
      <c r="Y58" s="1"/>
      <c r="Z58" s="5">
        <f t="shared" si="36"/>
        <v>-1</v>
      </c>
    </row>
    <row r="59" spans="1:26" s="24" customFormat="1" hidden="1" outlineLevel="2" x14ac:dyDescent="0.25">
      <c r="A59" s="28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4.3178825104168918E-4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/>
      <c r="Q59" s="2"/>
      <c r="R59" s="6">
        <f t="shared" si="33"/>
        <v>0</v>
      </c>
      <c r="S59" s="2"/>
      <c r="T59" s="7">
        <v>400</v>
      </c>
      <c r="U59" s="2"/>
      <c r="V59" s="6">
        <f t="shared" si="34"/>
        <v>8.6357650208337836E-4</v>
      </c>
      <c r="W59" s="2"/>
      <c r="X59" s="7">
        <f t="shared" si="35"/>
        <v>-400</v>
      </c>
      <c r="Y59" s="2"/>
      <c r="Z59" s="6">
        <f t="shared" si="36"/>
        <v>-1</v>
      </c>
    </row>
    <row r="60" spans="1:26" s="27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368.19</v>
      </c>
      <c r="E60" s="1"/>
      <c r="F60" s="5">
        <f t="shared" si="29"/>
        <v>-1.528200041090688E-2</v>
      </c>
      <c r="G60" s="1"/>
      <c r="H60" s="1">
        <f>SUM(OSRRefH22_8x_0)</f>
        <v>400</v>
      </c>
      <c r="I60" s="1"/>
      <c r="J60" s="5">
        <f t="shared" si="30"/>
        <v>1.7271530041667567E-3</v>
      </c>
      <c r="K60" s="1"/>
      <c r="L60" s="1">
        <f t="shared" si="31"/>
        <v>-31.810000000000002</v>
      </c>
      <c r="M60" s="1"/>
      <c r="N60" s="5">
        <f t="shared" si="32"/>
        <v>-7.9525000000000012E-2</v>
      </c>
      <c r="O60" s="14"/>
      <c r="P60" s="1">
        <f>SUM(OSRRefP22_8x_0)</f>
        <v>971.13</v>
      </c>
      <c r="Q60" s="1"/>
      <c r="R60" s="5">
        <f t="shared" si="33"/>
        <v>4.0800147213777595E-2</v>
      </c>
      <c r="S60" s="1"/>
      <c r="T60" s="1">
        <f>SUM(OSRRefT22_8x_0)</f>
        <v>1600</v>
      </c>
      <c r="U60" s="1"/>
      <c r="V60" s="5">
        <f t="shared" si="34"/>
        <v>3.4543060083335134E-3</v>
      </c>
      <c r="W60" s="1"/>
      <c r="X60" s="1">
        <f t="shared" si="35"/>
        <v>-628.87</v>
      </c>
      <c r="Y60" s="1"/>
      <c r="Z60" s="5">
        <f t="shared" si="36"/>
        <v>-0.39304375000000003</v>
      </c>
    </row>
    <row r="61" spans="1:26" s="24" customFormat="1" hidden="1" outlineLevel="2" x14ac:dyDescent="0.25">
      <c r="A61" s="28"/>
      <c r="B61" s="11" t="str">
        <f>CONCATENATE("          ", "6351", " - ", "EQUIPMENT RENTAL")</f>
        <v xml:space="preserve">          6351 - EQUIPMENT RENTAL</v>
      </c>
      <c r="C61" s="11"/>
      <c r="D61" s="7">
        <v>368.19</v>
      </c>
      <c r="E61" s="2"/>
      <c r="F61" s="6">
        <f t="shared" si="29"/>
        <v>-1.528200041090688E-2</v>
      </c>
      <c r="G61" s="2"/>
      <c r="H61" s="7">
        <v>400</v>
      </c>
      <c r="I61" s="2"/>
      <c r="J61" s="6">
        <f t="shared" si="30"/>
        <v>1.7271530041667567E-3</v>
      </c>
      <c r="K61" s="2"/>
      <c r="L61" s="7">
        <f t="shared" si="31"/>
        <v>-31.810000000000002</v>
      </c>
      <c r="M61" s="2"/>
      <c r="N61" s="6">
        <f t="shared" si="32"/>
        <v>-7.9525000000000012E-2</v>
      </c>
      <c r="O61" s="11"/>
      <c r="P61" s="7">
        <v>971.13</v>
      </c>
      <c r="Q61" s="2"/>
      <c r="R61" s="6">
        <f t="shared" si="33"/>
        <v>4.0800147213777595E-2</v>
      </c>
      <c r="S61" s="2"/>
      <c r="T61" s="7">
        <v>1600</v>
      </c>
      <c r="U61" s="2"/>
      <c r="V61" s="6">
        <f t="shared" si="34"/>
        <v>3.4543060083335134E-3</v>
      </c>
      <c r="W61" s="2"/>
      <c r="X61" s="7">
        <f t="shared" si="35"/>
        <v>-628.87</v>
      </c>
      <c r="Y61" s="2"/>
      <c r="Z61" s="6">
        <f t="shared" si="36"/>
        <v>-0.39304375000000003</v>
      </c>
    </row>
    <row r="62" spans="1:26" s="27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150</v>
      </c>
      <c r="I62" s="1"/>
      <c r="J62" s="5">
        <f t="shared" si="30"/>
        <v>6.4768237656253377E-4</v>
      </c>
      <c r="K62" s="1"/>
      <c r="L62" s="1">
        <f t="shared" si="31"/>
        <v>-150</v>
      </c>
      <c r="M62" s="1"/>
      <c r="N62" s="5">
        <f t="shared" si="32"/>
        <v>-1</v>
      </c>
      <c r="O62" s="14"/>
      <c r="P62" s="1">
        <f>SUM(OSRRefP22_9x_0)</f>
        <v>3500.2</v>
      </c>
      <c r="Q62" s="1"/>
      <c r="R62" s="5">
        <f t="shared" si="33"/>
        <v>0.14705412795162784</v>
      </c>
      <c r="S62" s="1"/>
      <c r="T62" s="1">
        <f>SUM(OSRRefT22_9x_0)</f>
        <v>1950</v>
      </c>
      <c r="U62" s="1"/>
      <c r="V62" s="5">
        <f t="shared" si="34"/>
        <v>4.2099354476564689E-3</v>
      </c>
      <c r="W62" s="1"/>
      <c r="X62" s="1">
        <f t="shared" si="35"/>
        <v>1550.1999999999998</v>
      </c>
      <c r="Y62" s="1"/>
      <c r="Z62" s="5">
        <f t="shared" si="36"/>
        <v>0.79497435897435886</v>
      </c>
    </row>
    <row r="63" spans="1:26" s="24" customFormat="1" hidden="1" outlineLevel="2" x14ac:dyDescent="0.25">
      <c r="A63" s="28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9"/>
        <v>0</v>
      </c>
      <c r="G63" s="2"/>
      <c r="H63" s="7">
        <v>150</v>
      </c>
      <c r="I63" s="2"/>
      <c r="J63" s="6">
        <f t="shared" si="30"/>
        <v>6.4768237656253377E-4</v>
      </c>
      <c r="K63" s="2"/>
      <c r="L63" s="7">
        <f t="shared" si="31"/>
        <v>-150</v>
      </c>
      <c r="M63" s="2"/>
      <c r="N63" s="6">
        <f t="shared" si="32"/>
        <v>-1</v>
      </c>
      <c r="O63" s="11"/>
      <c r="P63" s="7">
        <v>3500.2</v>
      </c>
      <c r="Q63" s="2"/>
      <c r="R63" s="6">
        <f t="shared" si="33"/>
        <v>0.14705412795162784</v>
      </c>
      <c r="S63" s="2"/>
      <c r="T63" s="7">
        <v>1950</v>
      </c>
      <c r="U63" s="2"/>
      <c r="V63" s="6">
        <f t="shared" si="34"/>
        <v>4.2099354476564689E-3</v>
      </c>
      <c r="W63" s="2"/>
      <c r="X63" s="7">
        <f t="shared" si="35"/>
        <v>1550.1999999999998</v>
      </c>
      <c r="Y63" s="2"/>
      <c r="Z63" s="6">
        <f t="shared" si="36"/>
        <v>0.79497435897435886</v>
      </c>
    </row>
    <row r="64" spans="1:26" s="27" customFormat="1" outlineLevel="1" collapsed="1" x14ac:dyDescent="0.25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619.49</v>
      </c>
      <c r="E64" s="1"/>
      <c r="F64" s="5">
        <f t="shared" si="29"/>
        <v>-2.5712394238172419E-2</v>
      </c>
      <c r="G64" s="1"/>
      <c r="H64" s="1">
        <f>SUM(OSRRefH22_10x_0)</f>
        <v>18528</v>
      </c>
      <c r="I64" s="1"/>
      <c r="J64" s="5">
        <f t="shared" si="30"/>
        <v>8.0001727153004173E-2</v>
      </c>
      <c r="K64" s="1"/>
      <c r="L64" s="1">
        <f t="shared" si="31"/>
        <v>-17908.509999999998</v>
      </c>
      <c r="M64" s="1"/>
      <c r="N64" s="5">
        <f t="shared" si="32"/>
        <v>-0.96656465889464582</v>
      </c>
      <c r="O64" s="14"/>
      <c r="P64" s="1">
        <f>SUM(OSRRefP22_10x_0)</f>
        <v>1915.17</v>
      </c>
      <c r="Q64" s="1"/>
      <c r="R64" s="5">
        <f t="shared" si="33"/>
        <v>8.0462160513433259E-2</v>
      </c>
      <c r="S64" s="1"/>
      <c r="T64" s="1">
        <f>SUM(OSRRefT22_10x_0)</f>
        <v>37056</v>
      </c>
      <c r="U64" s="1"/>
      <c r="V64" s="5">
        <f t="shared" si="34"/>
        <v>8.0001727153004173E-2</v>
      </c>
      <c r="W64" s="1"/>
      <c r="X64" s="1">
        <f t="shared" si="35"/>
        <v>-35140.83</v>
      </c>
      <c r="Y64" s="1"/>
      <c r="Z64" s="5">
        <f t="shared" si="36"/>
        <v>-0.94831687176165813</v>
      </c>
    </row>
    <row r="65" spans="1:26" s="24" customFormat="1" hidden="1" outlineLevel="2" x14ac:dyDescent="0.25">
      <c r="A65" s="28"/>
      <c r="B65" s="11" t="str">
        <f>CONCATENATE("          ", "6387", " - ", "COMMISSION DUE HOUSING")</f>
        <v xml:space="preserve">          6387 - COMMISSION DUE HOUSING</v>
      </c>
      <c r="C65" s="11"/>
      <c r="D65" s="7">
        <v>619.49</v>
      </c>
      <c r="E65" s="2"/>
      <c r="F65" s="6">
        <f t="shared" si="29"/>
        <v>-2.5712394238172419E-2</v>
      </c>
      <c r="G65" s="2"/>
      <c r="H65" s="7">
        <v>18528</v>
      </c>
      <c r="I65" s="2"/>
      <c r="J65" s="6">
        <f t="shared" si="30"/>
        <v>8.0001727153004173E-2</v>
      </c>
      <c r="K65" s="2"/>
      <c r="L65" s="7">
        <f t="shared" si="31"/>
        <v>-17908.509999999998</v>
      </c>
      <c r="M65" s="2"/>
      <c r="N65" s="6">
        <f t="shared" si="32"/>
        <v>-0.96656465889464582</v>
      </c>
      <c r="O65" s="11"/>
      <c r="P65" s="7">
        <v>1915.17</v>
      </c>
      <c r="Q65" s="2"/>
      <c r="R65" s="6">
        <f t="shared" si="33"/>
        <v>8.0462160513433259E-2</v>
      </c>
      <c r="S65" s="2"/>
      <c r="T65" s="7">
        <v>37056</v>
      </c>
      <c r="U65" s="2"/>
      <c r="V65" s="6">
        <f t="shared" si="34"/>
        <v>8.0001727153004173E-2</v>
      </c>
      <c r="W65" s="2"/>
      <c r="X65" s="7">
        <f t="shared" si="35"/>
        <v>-35140.83</v>
      </c>
      <c r="Y65" s="2"/>
      <c r="Z65" s="6">
        <f t="shared" si="36"/>
        <v>-0.94831687176165813</v>
      </c>
    </row>
    <row r="66" spans="1:26" s="27" customFormat="1" outlineLevel="1" collapsed="1" x14ac:dyDescent="0.25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0</v>
      </c>
      <c r="E66" s="1"/>
      <c r="F66" s="5">
        <f t="shared" si="29"/>
        <v>0</v>
      </c>
      <c r="G66" s="1"/>
      <c r="H66" s="1">
        <f>SUM(OSRRefH22_11x_0)</f>
        <v>200</v>
      </c>
      <c r="I66" s="1"/>
      <c r="J66" s="5">
        <f t="shared" si="30"/>
        <v>8.6357650208337836E-4</v>
      </c>
      <c r="K66" s="1"/>
      <c r="L66" s="1">
        <f t="shared" si="31"/>
        <v>-200</v>
      </c>
      <c r="M66" s="1"/>
      <c r="N66" s="5">
        <f t="shared" si="32"/>
        <v>-1</v>
      </c>
      <c r="O66" s="14"/>
      <c r="P66" s="1">
        <f>SUM(OSRRefP22_11x_0)</f>
        <v>1157.45</v>
      </c>
      <c r="Q66" s="1"/>
      <c r="R66" s="5">
        <f t="shared" si="33"/>
        <v>4.8628021369525071E-2</v>
      </c>
      <c r="S66" s="1"/>
      <c r="T66" s="1">
        <f>SUM(OSRRefT22_11x_0)</f>
        <v>2600</v>
      </c>
      <c r="U66" s="1"/>
      <c r="V66" s="5">
        <f t="shared" si="34"/>
        <v>5.6132472635419591E-3</v>
      </c>
      <c r="W66" s="1"/>
      <c r="X66" s="1">
        <f t="shared" si="35"/>
        <v>-1442.55</v>
      </c>
      <c r="Y66" s="1"/>
      <c r="Z66" s="5">
        <f t="shared" si="36"/>
        <v>-0.55482692307692305</v>
      </c>
    </row>
    <row r="67" spans="1:26" s="24" customFormat="1" hidden="1" outlineLevel="2" x14ac:dyDescent="0.25">
      <c r="A67" s="28"/>
      <c r="B67" s="11" t="str">
        <f>CONCATENATE("          ", "6373", " - ", "MAINTENANCE CONTRACTS")</f>
        <v xml:space="preserve">          6373 - MAINTENANCE CONTRACTS</v>
      </c>
      <c r="C67" s="11"/>
      <c r="D67" s="7"/>
      <c r="E67" s="2"/>
      <c r="F67" s="6">
        <f t="shared" si="29"/>
        <v>0</v>
      </c>
      <c r="G67" s="2"/>
      <c r="H67" s="7"/>
      <c r="I67" s="2"/>
      <c r="J67" s="6">
        <f t="shared" si="30"/>
        <v>0</v>
      </c>
      <c r="K67" s="2"/>
      <c r="L67" s="7">
        <f t="shared" si="31"/>
        <v>0</v>
      </c>
      <c r="M67" s="2"/>
      <c r="N67" s="6">
        <f t="shared" si="32"/>
        <v>0</v>
      </c>
      <c r="O67" s="11"/>
      <c r="P67" s="7">
        <v>1157.45</v>
      </c>
      <c r="Q67" s="2"/>
      <c r="R67" s="6">
        <f t="shared" si="33"/>
        <v>4.8628021369525071E-2</v>
      </c>
      <c r="S67" s="2"/>
      <c r="T67" s="7">
        <v>1800</v>
      </c>
      <c r="U67" s="2"/>
      <c r="V67" s="6">
        <f t="shared" si="34"/>
        <v>3.8860942593752024E-3</v>
      </c>
      <c r="W67" s="2"/>
      <c r="X67" s="7">
        <f t="shared" si="35"/>
        <v>-642.54999999999995</v>
      </c>
      <c r="Y67" s="2"/>
      <c r="Z67" s="6">
        <f t="shared" si="36"/>
        <v>-0.35697222222222219</v>
      </c>
    </row>
    <row r="68" spans="1:26" s="24" customFormat="1" hidden="1" outlineLevel="2" x14ac:dyDescent="0.25">
      <c r="A68" s="28"/>
      <c r="B68" s="11" t="str">
        <f>CONCATENATE("          ", "6375", " - ", "OUTSIDE REPAIRS &amp; MAINTENANCE")</f>
        <v xml:space="preserve">          6375 - OUTSIDE REPAIRS &amp; MAINTENANCE</v>
      </c>
      <c r="C68" s="11"/>
      <c r="D68" s="7"/>
      <c r="E68" s="2"/>
      <c r="F68" s="6">
        <f t="shared" si="29"/>
        <v>0</v>
      </c>
      <c r="G68" s="2"/>
      <c r="H68" s="7">
        <v>200</v>
      </c>
      <c r="I68" s="2"/>
      <c r="J68" s="6">
        <f t="shared" si="30"/>
        <v>8.6357650208337836E-4</v>
      </c>
      <c r="K68" s="2"/>
      <c r="L68" s="7">
        <f t="shared" si="31"/>
        <v>-200</v>
      </c>
      <c r="M68" s="2"/>
      <c r="N68" s="6">
        <f t="shared" si="32"/>
        <v>-1</v>
      </c>
      <c r="O68" s="11"/>
      <c r="P68" s="7"/>
      <c r="Q68" s="2"/>
      <c r="R68" s="6">
        <f t="shared" si="33"/>
        <v>0</v>
      </c>
      <c r="S68" s="2"/>
      <c r="T68" s="7">
        <v>800</v>
      </c>
      <c r="U68" s="2"/>
      <c r="V68" s="6">
        <f t="shared" si="34"/>
        <v>1.7271530041667567E-3</v>
      </c>
      <c r="W68" s="2"/>
      <c r="X68" s="7">
        <f t="shared" si="35"/>
        <v>-800</v>
      </c>
      <c r="Y68" s="2"/>
      <c r="Z68" s="6">
        <f t="shared" si="36"/>
        <v>-1</v>
      </c>
    </row>
    <row r="69" spans="1:26" s="27" customFormat="1" outlineLevel="1" collapsed="1" x14ac:dyDescent="0.25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5309.01</v>
      </c>
      <c r="E69" s="1"/>
      <c r="F69" s="5">
        <f t="shared" ref="F69:F73" si="37">IF(D$12=0,0,D69/D$12)</f>
        <v>-0.22035441756025079</v>
      </c>
      <c r="G69" s="1"/>
      <c r="H69" s="1">
        <f>SUM(OSRRefH22_12x_0)</f>
        <v>6607</v>
      </c>
      <c r="I69" s="1"/>
      <c r="J69" s="5">
        <f t="shared" ref="J69:J73" si="38">IF(H$12=0,0,H69/H$12)</f>
        <v>2.8528249746324404E-2</v>
      </c>
      <c r="K69" s="1"/>
      <c r="L69" s="1">
        <f t="shared" ref="L69:L73" si="39">+D69-H69</f>
        <v>-1297.9899999999998</v>
      </c>
      <c r="M69" s="1"/>
      <c r="N69" s="5">
        <f t="shared" ref="N69:N73" si="40">IF(H69=0,0,L69/H69)</f>
        <v>-0.19645678825488117</v>
      </c>
      <c r="O69" s="14"/>
      <c r="P69" s="1">
        <f>SUM(OSRRefP22_12x_0)</f>
        <v>25626.739999999998</v>
      </c>
      <c r="Q69" s="1"/>
      <c r="R69" s="5">
        <f t="shared" ref="R69:R73" si="41">IF(P$12=0,0,P69/P$12)</f>
        <v>1.0766578775335978</v>
      </c>
      <c r="S69" s="1"/>
      <c r="T69" s="1">
        <f>SUM(OSRRefT22_12x_0)</f>
        <v>26428</v>
      </c>
      <c r="U69" s="1"/>
      <c r="V69" s="5">
        <f t="shared" ref="V69:V73" si="42">IF(T$12=0,0,T69/T$12)</f>
        <v>5.7056499492648807E-2</v>
      </c>
      <c r="W69" s="1"/>
      <c r="X69" s="1">
        <f t="shared" ref="X69:X73" si="43">+P69-T69</f>
        <v>-801.26000000000204</v>
      </c>
      <c r="Y69" s="1"/>
      <c r="Z69" s="5">
        <f t="shared" ref="Z69:Z73" si="44">IF(T69=0,0,X69/T69)</f>
        <v>-3.0318601483275393E-2</v>
      </c>
    </row>
    <row r="70" spans="1:26" s="24" customFormat="1" hidden="1" outlineLevel="2" x14ac:dyDescent="0.25">
      <c r="A70" s="28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286.62</v>
      </c>
      <c r="E70" s="2"/>
      <c r="F70" s="6">
        <f t="shared" si="37"/>
        <v>-1.1896376755952443E-2</v>
      </c>
      <c r="G70" s="2"/>
      <c r="H70" s="7">
        <v>450</v>
      </c>
      <c r="I70" s="2"/>
      <c r="J70" s="6">
        <f t="shared" si="38"/>
        <v>1.9430471296876012E-3</v>
      </c>
      <c r="K70" s="2"/>
      <c r="L70" s="7">
        <f t="shared" si="39"/>
        <v>-163.38</v>
      </c>
      <c r="M70" s="2"/>
      <c r="N70" s="6">
        <f t="shared" si="40"/>
        <v>-0.36306666666666665</v>
      </c>
      <c r="O70" s="11"/>
      <c r="P70" s="7">
        <v>834.64</v>
      </c>
      <c r="Q70" s="2"/>
      <c r="R70" s="6">
        <f t="shared" si="41"/>
        <v>3.5065784056210123E-2</v>
      </c>
      <c r="S70" s="2"/>
      <c r="T70" s="7">
        <v>1800</v>
      </c>
      <c r="U70" s="2"/>
      <c r="V70" s="6">
        <f t="shared" si="42"/>
        <v>3.8860942593752024E-3</v>
      </c>
      <c r="W70" s="2"/>
      <c r="X70" s="7">
        <f t="shared" si="43"/>
        <v>-965.36</v>
      </c>
      <c r="Y70" s="2"/>
      <c r="Z70" s="6">
        <f t="shared" si="44"/>
        <v>-0.53631111111111107</v>
      </c>
    </row>
    <row r="71" spans="1:26" s="24" customFormat="1" hidden="1" outlineLevel="2" x14ac:dyDescent="0.25">
      <c r="A71" s="28"/>
      <c r="B71" s="11" t="str">
        <f>CONCATENATE("          ", "6284", " - ", "TRASH REMOVAL EXPENSE")</f>
        <v xml:space="preserve">          6284 - TRASH REMOVAL EXPENSE</v>
      </c>
      <c r="C71" s="11"/>
      <c r="D71" s="7"/>
      <c r="E71" s="2"/>
      <c r="F71" s="6">
        <f t="shared" si="37"/>
        <v>0</v>
      </c>
      <c r="G71" s="2"/>
      <c r="H71" s="7">
        <v>500</v>
      </c>
      <c r="I71" s="2"/>
      <c r="J71" s="6">
        <f t="shared" si="38"/>
        <v>2.1589412552084457E-3</v>
      </c>
      <c r="K71" s="2"/>
      <c r="L71" s="7">
        <f t="shared" si="39"/>
        <v>-500</v>
      </c>
      <c r="M71" s="2"/>
      <c r="N71" s="6">
        <f t="shared" si="40"/>
        <v>-1</v>
      </c>
      <c r="O71" s="11"/>
      <c r="P71" s="7"/>
      <c r="Q71" s="2"/>
      <c r="R71" s="6">
        <f t="shared" si="41"/>
        <v>0</v>
      </c>
      <c r="S71" s="2"/>
      <c r="T71" s="7">
        <v>2000</v>
      </c>
      <c r="U71" s="2"/>
      <c r="V71" s="6">
        <f t="shared" si="42"/>
        <v>4.3178825104168914E-3</v>
      </c>
      <c r="W71" s="2"/>
      <c r="X71" s="7">
        <f t="shared" si="43"/>
        <v>-2000</v>
      </c>
      <c r="Y71" s="2"/>
      <c r="Z71" s="6">
        <f t="shared" si="44"/>
        <v>-1</v>
      </c>
    </row>
    <row r="72" spans="1:26" s="24" customFormat="1" hidden="1" outlineLevel="2" x14ac:dyDescent="0.25">
      <c r="A72" s="28"/>
      <c r="B72" s="11" t="str">
        <f>CONCATENATE("          ", "6285", " - ", "JANITORIAL SERVICES")</f>
        <v xml:space="preserve">          6285 - JANITORIAL SERVICES</v>
      </c>
      <c r="C72" s="11"/>
      <c r="D72" s="7">
        <v>4157.05</v>
      </c>
      <c r="E72" s="2"/>
      <c r="F72" s="6">
        <f t="shared" si="37"/>
        <v>-0.17254145905146923</v>
      </c>
      <c r="G72" s="2"/>
      <c r="H72" s="7">
        <v>4157</v>
      </c>
      <c r="I72" s="2"/>
      <c r="J72" s="6">
        <f t="shared" si="38"/>
        <v>1.7949437595803017E-2</v>
      </c>
      <c r="K72" s="2"/>
      <c r="L72" s="7">
        <f t="shared" si="39"/>
        <v>5.0000000000181899E-2</v>
      </c>
      <c r="M72" s="2"/>
      <c r="N72" s="6">
        <f t="shared" si="40"/>
        <v>1.2027904739038225E-5</v>
      </c>
      <c r="O72" s="11"/>
      <c r="P72" s="7">
        <v>20785.25</v>
      </c>
      <c r="Q72" s="2"/>
      <c r="R72" s="6">
        <f t="shared" si="41"/>
        <v>0.87325204645636612</v>
      </c>
      <c r="S72" s="2"/>
      <c r="T72" s="7">
        <v>16628</v>
      </c>
      <c r="U72" s="2"/>
      <c r="V72" s="6">
        <f t="shared" si="42"/>
        <v>3.5898875191606033E-2</v>
      </c>
      <c r="W72" s="2"/>
      <c r="X72" s="7">
        <f t="shared" si="43"/>
        <v>4157.25</v>
      </c>
      <c r="Y72" s="2"/>
      <c r="Z72" s="6">
        <f t="shared" si="44"/>
        <v>0.25001503488092375</v>
      </c>
    </row>
    <row r="73" spans="1:26" s="24" customFormat="1" hidden="1" outlineLevel="2" x14ac:dyDescent="0.25">
      <c r="A73" s="28"/>
      <c r="B73" s="11" t="str">
        <f>CONCATENATE("          ", "6286", " - ", "LAUNDRY EXPENSE")</f>
        <v xml:space="preserve">          6286 - LAUNDRY EXPENSE</v>
      </c>
      <c r="C73" s="11"/>
      <c r="D73" s="7">
        <v>865.34</v>
      </c>
      <c r="E73" s="2"/>
      <c r="F73" s="6">
        <f t="shared" si="37"/>
        <v>-3.5916581752829135E-2</v>
      </c>
      <c r="G73" s="2"/>
      <c r="H73" s="7">
        <v>1500</v>
      </c>
      <c r="I73" s="2"/>
      <c r="J73" s="6">
        <f t="shared" si="38"/>
        <v>6.476823765625337E-3</v>
      </c>
      <c r="K73" s="2"/>
      <c r="L73" s="7">
        <f t="shared" si="39"/>
        <v>-634.66</v>
      </c>
      <c r="M73" s="2"/>
      <c r="N73" s="6">
        <f t="shared" si="40"/>
        <v>-0.42310666666666663</v>
      </c>
      <c r="O73" s="11"/>
      <c r="P73" s="7">
        <v>4006.85</v>
      </c>
      <c r="Q73" s="2"/>
      <c r="R73" s="6">
        <f t="shared" si="41"/>
        <v>0.16834004702102165</v>
      </c>
      <c r="S73" s="2"/>
      <c r="T73" s="7">
        <v>6000</v>
      </c>
      <c r="U73" s="2"/>
      <c r="V73" s="6">
        <f t="shared" si="42"/>
        <v>1.2953647531250674E-2</v>
      </c>
      <c r="W73" s="2"/>
      <c r="X73" s="7">
        <f t="shared" si="43"/>
        <v>-1993.15</v>
      </c>
      <c r="Y73" s="2"/>
      <c r="Z73" s="6">
        <f t="shared" si="44"/>
        <v>-0.33219166666666666</v>
      </c>
    </row>
    <row r="74" spans="1:26" s="27" customFormat="1" outlineLevel="1" collapsed="1" x14ac:dyDescent="0.25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0</v>
      </c>
      <c r="E74" s="1"/>
      <c r="F74" s="5">
        <f t="shared" ref="F74:F82" si="45">IF(D$12=0,0,D74/D$12)</f>
        <v>0</v>
      </c>
      <c r="G74" s="1"/>
      <c r="H74" s="1">
        <f>SUM(OSRRefH22_13x_0)</f>
        <v>13250</v>
      </c>
      <c r="I74" s="1"/>
      <c r="J74" s="5">
        <f t="shared" ref="J74:J82" si="46">IF(H$12=0,0,H74/H$12)</f>
        <v>5.7211943263023812E-2</v>
      </c>
      <c r="K74" s="1"/>
      <c r="L74" s="1">
        <f t="shared" ref="L74:L82" si="47">+D74-H74</f>
        <v>-13250</v>
      </c>
      <c r="M74" s="1"/>
      <c r="N74" s="5">
        <f t="shared" ref="N74:N82" si="48">IF(H74=0,0,L74/H74)</f>
        <v>-1</v>
      </c>
      <c r="O74" s="14"/>
      <c r="P74" s="1">
        <f>SUM(OSRRefP22_13x_0)</f>
        <v>7986.3899999999994</v>
      </c>
      <c r="Q74" s="1"/>
      <c r="R74" s="5">
        <f t="shared" ref="R74:R82" si="49">IF(P$12=0,0,P74/P$12)</f>
        <v>0.33553271725375722</v>
      </c>
      <c r="S74" s="1"/>
      <c r="T74" s="1">
        <f>SUM(OSRRefT22_13x_0)</f>
        <v>51500</v>
      </c>
      <c r="U74" s="1"/>
      <c r="V74" s="5">
        <f t="shared" ref="V74:V82" si="50">IF(T$12=0,0,T74/T$12)</f>
        <v>0.11118547464323496</v>
      </c>
      <c r="W74" s="1"/>
      <c r="X74" s="1">
        <f t="shared" ref="X74:X82" si="51">+P74-T74</f>
        <v>-43513.61</v>
      </c>
      <c r="Y74" s="1"/>
      <c r="Z74" s="5">
        <f t="shared" ref="Z74:Z82" si="52">IF(T74=0,0,X74/T74)</f>
        <v>-0.84492446601941751</v>
      </c>
    </row>
    <row r="75" spans="1:26" s="24" customFormat="1" hidden="1" outlineLevel="2" x14ac:dyDescent="0.25">
      <c r="A75" s="28"/>
      <c r="B75" s="11" t="str">
        <f>CONCATENATE("          ", "6235", " - ", "COVID-19 EXPENSES")</f>
        <v xml:space="preserve">          6235 - COVID-19 EXPENSES</v>
      </c>
      <c r="C75" s="11"/>
      <c r="D75" s="7"/>
      <c r="E75" s="2"/>
      <c r="F75" s="6">
        <f t="shared" si="45"/>
        <v>0</v>
      </c>
      <c r="G75" s="2"/>
      <c r="H75" s="7">
        <v>5000</v>
      </c>
      <c r="I75" s="2"/>
      <c r="J75" s="6">
        <f t="shared" si="46"/>
        <v>2.1589412552084457E-2</v>
      </c>
      <c r="K75" s="2"/>
      <c r="L75" s="7">
        <f t="shared" si="47"/>
        <v>-5000</v>
      </c>
      <c r="M75" s="2"/>
      <c r="N75" s="6">
        <f t="shared" si="48"/>
        <v>-1</v>
      </c>
      <c r="O75" s="11"/>
      <c r="P75" s="7">
        <v>1375.08</v>
      </c>
      <c r="Q75" s="2"/>
      <c r="R75" s="6">
        <f t="shared" si="49"/>
        <v>5.7771324571088627E-2</v>
      </c>
      <c r="S75" s="2"/>
      <c r="T75" s="7">
        <v>20000</v>
      </c>
      <c r="U75" s="2"/>
      <c r="V75" s="6">
        <f t="shared" si="50"/>
        <v>4.3178825104168914E-2</v>
      </c>
      <c r="W75" s="2"/>
      <c r="X75" s="7">
        <f t="shared" si="51"/>
        <v>-18624.919999999998</v>
      </c>
      <c r="Y75" s="2"/>
      <c r="Z75" s="6">
        <f t="shared" si="52"/>
        <v>-0.93124599999999991</v>
      </c>
    </row>
    <row r="76" spans="1:26" s="24" customFormat="1" hidden="1" outlineLevel="2" x14ac:dyDescent="0.25">
      <c r="A76" s="28"/>
      <c r="B76" s="11" t="str">
        <f>CONCATENATE("          ", "6237", " - ", "JANITORIAL SUPPLIES")</f>
        <v xml:space="preserve">          6237 - JANITORIAL SUPPLIES</v>
      </c>
      <c r="C76" s="11"/>
      <c r="D76" s="7"/>
      <c r="E76" s="2"/>
      <c r="F76" s="6">
        <f t="shared" si="45"/>
        <v>0</v>
      </c>
      <c r="G76" s="2"/>
      <c r="H76" s="7">
        <v>4000</v>
      </c>
      <c r="I76" s="2"/>
      <c r="J76" s="6">
        <f t="shared" si="46"/>
        <v>1.7271530041667565E-2</v>
      </c>
      <c r="K76" s="2"/>
      <c r="L76" s="7">
        <f t="shared" si="47"/>
        <v>-4000</v>
      </c>
      <c r="M76" s="2"/>
      <c r="N76" s="6">
        <f t="shared" si="48"/>
        <v>-1</v>
      </c>
      <c r="O76" s="11"/>
      <c r="P76" s="7">
        <v>2550.9899999999998</v>
      </c>
      <c r="Q76" s="2"/>
      <c r="R76" s="6">
        <f t="shared" si="49"/>
        <v>0.10717490710911465</v>
      </c>
      <c r="S76" s="2"/>
      <c r="T76" s="7">
        <v>16000</v>
      </c>
      <c r="U76" s="2"/>
      <c r="V76" s="6">
        <f t="shared" si="50"/>
        <v>3.4543060083335131E-2</v>
      </c>
      <c r="W76" s="2"/>
      <c r="X76" s="7">
        <f t="shared" si="51"/>
        <v>-13449.01</v>
      </c>
      <c r="Y76" s="2"/>
      <c r="Z76" s="6">
        <f t="shared" si="52"/>
        <v>-0.84056312499999997</v>
      </c>
    </row>
    <row r="77" spans="1:26" s="24" customFormat="1" hidden="1" outlineLevel="2" x14ac:dyDescent="0.25">
      <c r="A77" s="28"/>
      <c r="B77" s="11" t="str">
        <f>CONCATENATE("          ", "6239", " - ", "KITCHEN SUPPLIES")</f>
        <v xml:space="preserve">          6239 - KITCHEN SUPPLIES</v>
      </c>
      <c r="C77" s="11"/>
      <c r="D77" s="7"/>
      <c r="E77" s="2"/>
      <c r="F77" s="6">
        <f t="shared" si="45"/>
        <v>0</v>
      </c>
      <c r="G77" s="2"/>
      <c r="H77" s="7">
        <v>1500</v>
      </c>
      <c r="I77" s="2"/>
      <c r="J77" s="6">
        <f t="shared" si="46"/>
        <v>6.476823765625337E-3</v>
      </c>
      <c r="K77" s="2"/>
      <c r="L77" s="7">
        <f t="shared" si="47"/>
        <v>-1500</v>
      </c>
      <c r="M77" s="2"/>
      <c r="N77" s="6">
        <f t="shared" si="48"/>
        <v>-1</v>
      </c>
      <c r="O77" s="11"/>
      <c r="P77" s="7">
        <v>1031.07</v>
      </c>
      <c r="Q77" s="2"/>
      <c r="R77" s="6">
        <f t="shared" si="49"/>
        <v>4.3318410292864672E-2</v>
      </c>
      <c r="S77" s="2"/>
      <c r="T77" s="7">
        <v>6000</v>
      </c>
      <c r="U77" s="2"/>
      <c r="V77" s="6">
        <f t="shared" si="50"/>
        <v>1.2953647531250674E-2</v>
      </c>
      <c r="W77" s="2"/>
      <c r="X77" s="7">
        <f t="shared" si="51"/>
        <v>-4968.93</v>
      </c>
      <c r="Y77" s="2"/>
      <c r="Z77" s="6">
        <f t="shared" si="52"/>
        <v>-0.82815500000000009</v>
      </c>
    </row>
    <row r="78" spans="1:26" s="24" customFormat="1" hidden="1" outlineLevel="2" x14ac:dyDescent="0.25">
      <c r="A78" s="28"/>
      <c r="B78" s="11" t="str">
        <f>CONCATENATE("          ", "6241", " - ", "OFFICE EXPENSE")</f>
        <v xml:space="preserve">          6241 - OFFICE EXPENSE</v>
      </c>
      <c r="C78" s="11"/>
      <c r="D78" s="7"/>
      <c r="E78" s="2"/>
      <c r="F78" s="6">
        <f t="shared" si="45"/>
        <v>0</v>
      </c>
      <c r="G78" s="2"/>
      <c r="H78" s="7">
        <v>500</v>
      </c>
      <c r="I78" s="2"/>
      <c r="J78" s="6">
        <f t="shared" si="46"/>
        <v>2.1589412552084457E-3</v>
      </c>
      <c r="K78" s="2"/>
      <c r="L78" s="7">
        <f t="shared" si="47"/>
        <v>-500</v>
      </c>
      <c r="M78" s="2"/>
      <c r="N78" s="6">
        <f t="shared" si="48"/>
        <v>-1</v>
      </c>
      <c r="O78" s="11"/>
      <c r="P78" s="7">
        <v>19.7</v>
      </c>
      <c r="Q78" s="2"/>
      <c r="R78" s="6">
        <f t="shared" si="49"/>
        <v>8.2765736833525757E-4</v>
      </c>
      <c r="S78" s="2"/>
      <c r="T78" s="7">
        <v>2000</v>
      </c>
      <c r="U78" s="2"/>
      <c r="V78" s="6">
        <f t="shared" si="50"/>
        <v>4.3178825104168914E-3</v>
      </c>
      <c r="W78" s="2"/>
      <c r="X78" s="7">
        <f t="shared" si="51"/>
        <v>-1980.3</v>
      </c>
      <c r="Y78" s="2"/>
      <c r="Z78" s="6">
        <f t="shared" si="52"/>
        <v>-0.99014999999999997</v>
      </c>
    </row>
    <row r="79" spans="1:26" s="24" customFormat="1" hidden="1" outlineLevel="2" x14ac:dyDescent="0.25">
      <c r="A79" s="28"/>
      <c r="B79" s="11" t="str">
        <f>CONCATENATE("          ", "6243", " - ", "PAPER SUPPLIES")</f>
        <v xml:space="preserve">          6243 - PAPER SUPPLIES</v>
      </c>
      <c r="C79" s="11"/>
      <c r="D79" s="7"/>
      <c r="E79" s="2"/>
      <c r="F79" s="6">
        <f t="shared" si="45"/>
        <v>0</v>
      </c>
      <c r="G79" s="2"/>
      <c r="H79" s="7">
        <v>500</v>
      </c>
      <c r="I79" s="2"/>
      <c r="J79" s="6">
        <f t="shared" si="46"/>
        <v>2.1589412552084457E-3</v>
      </c>
      <c r="K79" s="2"/>
      <c r="L79" s="7">
        <f t="shared" si="47"/>
        <v>-500</v>
      </c>
      <c r="M79" s="2"/>
      <c r="N79" s="6">
        <f t="shared" si="48"/>
        <v>-1</v>
      </c>
      <c r="O79" s="11"/>
      <c r="P79" s="7">
        <v>3009.55</v>
      </c>
      <c r="Q79" s="2"/>
      <c r="R79" s="6">
        <f t="shared" si="49"/>
        <v>0.12644041791235403</v>
      </c>
      <c r="S79" s="2"/>
      <c r="T79" s="7">
        <v>2000</v>
      </c>
      <c r="U79" s="2"/>
      <c r="V79" s="6">
        <f t="shared" si="50"/>
        <v>4.3178825104168914E-3</v>
      </c>
      <c r="W79" s="2"/>
      <c r="X79" s="7">
        <f t="shared" si="51"/>
        <v>1009.5500000000002</v>
      </c>
      <c r="Y79" s="2"/>
      <c r="Z79" s="6">
        <f t="shared" si="52"/>
        <v>0.50477500000000008</v>
      </c>
    </row>
    <row r="80" spans="1:26" s="24" customFormat="1" hidden="1" outlineLevel="2" x14ac:dyDescent="0.25">
      <c r="A80" s="28"/>
      <c r="B80" s="11" t="str">
        <f>CONCATENATE("          ", "6244", " - ", "SAFETY SUPPLY EXPENSE")</f>
        <v xml:space="preserve">          6244 - SAFETY SUPPLY EXPENSE</v>
      </c>
      <c r="C80" s="11"/>
      <c r="D80" s="7"/>
      <c r="E80" s="2"/>
      <c r="F80" s="6">
        <f t="shared" si="45"/>
        <v>0</v>
      </c>
      <c r="G80" s="2"/>
      <c r="H80" s="7">
        <v>100</v>
      </c>
      <c r="I80" s="2"/>
      <c r="J80" s="6">
        <f t="shared" si="46"/>
        <v>4.3178825104168918E-4</v>
      </c>
      <c r="K80" s="2"/>
      <c r="L80" s="7">
        <f t="shared" si="47"/>
        <v>-100</v>
      </c>
      <c r="M80" s="2"/>
      <c r="N80" s="6">
        <f t="shared" si="48"/>
        <v>-1</v>
      </c>
      <c r="O80" s="11"/>
      <c r="P80" s="7"/>
      <c r="Q80" s="2"/>
      <c r="R80" s="6">
        <f t="shared" si="49"/>
        <v>0</v>
      </c>
      <c r="S80" s="2"/>
      <c r="T80" s="7">
        <v>400</v>
      </c>
      <c r="U80" s="2"/>
      <c r="V80" s="6">
        <f t="shared" si="50"/>
        <v>8.6357650208337836E-4</v>
      </c>
      <c r="W80" s="2"/>
      <c r="X80" s="7">
        <f t="shared" si="51"/>
        <v>-400</v>
      </c>
      <c r="Y80" s="2"/>
      <c r="Z80" s="6">
        <f t="shared" si="52"/>
        <v>-1</v>
      </c>
    </row>
    <row r="81" spans="1:26" s="24" customFormat="1" hidden="1" outlineLevel="2" x14ac:dyDescent="0.25">
      <c r="A81" s="28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45"/>
        <v>0</v>
      </c>
      <c r="G81" s="2"/>
      <c r="H81" s="7">
        <v>150</v>
      </c>
      <c r="I81" s="2"/>
      <c r="J81" s="6">
        <f t="shared" si="46"/>
        <v>6.4768237656253377E-4</v>
      </c>
      <c r="K81" s="2"/>
      <c r="L81" s="7">
        <f t="shared" si="47"/>
        <v>-150</v>
      </c>
      <c r="M81" s="2"/>
      <c r="N81" s="6">
        <f t="shared" si="48"/>
        <v>-1</v>
      </c>
      <c r="O81" s="11"/>
      <c r="P81" s="7"/>
      <c r="Q81" s="2"/>
      <c r="R81" s="6">
        <f t="shared" si="49"/>
        <v>0</v>
      </c>
      <c r="S81" s="2"/>
      <c r="T81" s="7">
        <v>600</v>
      </c>
      <c r="U81" s="2"/>
      <c r="V81" s="6">
        <f t="shared" si="50"/>
        <v>1.2953647531250675E-3</v>
      </c>
      <c r="W81" s="2"/>
      <c r="X81" s="7">
        <f t="shared" si="51"/>
        <v>-600</v>
      </c>
      <c r="Y81" s="2"/>
      <c r="Z81" s="6">
        <f t="shared" si="52"/>
        <v>-1</v>
      </c>
    </row>
    <row r="82" spans="1:26" s="24" customFormat="1" hidden="1" outlineLevel="2" x14ac:dyDescent="0.25">
      <c r="A82" s="28"/>
      <c r="B82" s="11" t="str">
        <f>CONCATENATE("          ", "6248", " - ", "UNIFORMS")</f>
        <v xml:space="preserve">          6248 - UNIFORMS</v>
      </c>
      <c r="C82" s="11"/>
      <c r="D82" s="7"/>
      <c r="E82" s="2"/>
      <c r="F82" s="6">
        <f t="shared" si="45"/>
        <v>0</v>
      </c>
      <c r="G82" s="2"/>
      <c r="H82" s="7">
        <v>1500</v>
      </c>
      <c r="I82" s="2"/>
      <c r="J82" s="6">
        <f t="shared" si="46"/>
        <v>6.476823765625337E-3</v>
      </c>
      <c r="K82" s="2"/>
      <c r="L82" s="7">
        <f t="shared" si="47"/>
        <v>-1500</v>
      </c>
      <c r="M82" s="2"/>
      <c r="N82" s="6">
        <f t="shared" si="48"/>
        <v>-1</v>
      </c>
      <c r="O82" s="11"/>
      <c r="P82" s="7"/>
      <c r="Q82" s="2"/>
      <c r="R82" s="6">
        <f t="shared" si="49"/>
        <v>0</v>
      </c>
      <c r="S82" s="2"/>
      <c r="T82" s="7">
        <v>4500</v>
      </c>
      <c r="U82" s="2"/>
      <c r="V82" s="6">
        <f t="shared" si="50"/>
        <v>9.7152356484380056E-3</v>
      </c>
      <c r="W82" s="2"/>
      <c r="X82" s="7">
        <f t="shared" si="51"/>
        <v>-4500</v>
      </c>
      <c r="Y82" s="2"/>
      <c r="Z82" s="6">
        <f t="shared" si="52"/>
        <v>-1</v>
      </c>
    </row>
    <row r="83" spans="1:26" s="27" customFormat="1" outlineLevel="1" collapsed="1" x14ac:dyDescent="0.25">
      <c r="A83" s="29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139</v>
      </c>
      <c r="E83" s="1"/>
      <c r="F83" s="5">
        <f t="shared" ref="F83:F84" si="53">IF(D$12=0,0,D83/D$12)</f>
        <v>-5.7692986151608042E-3</v>
      </c>
      <c r="G83" s="1"/>
      <c r="H83" s="1">
        <f>SUM(OSRRefH22_14x_0)</f>
        <v>175</v>
      </c>
      <c r="I83" s="1"/>
      <c r="J83" s="5">
        <f t="shared" ref="J83:J84" si="54">IF(H$12=0,0,H83/H$12)</f>
        <v>7.5562943932295601E-4</v>
      </c>
      <c r="K83" s="1"/>
      <c r="L83" s="1">
        <f t="shared" ref="L83:L84" si="55">+D83-H83</f>
        <v>-36</v>
      </c>
      <c r="M83" s="1"/>
      <c r="N83" s="5">
        <f t="shared" ref="N83:N84" si="56">IF(H83=0,0,L83/H83)</f>
        <v>-0.20571428571428571</v>
      </c>
      <c r="O83" s="14"/>
      <c r="P83" s="1">
        <f>SUM(OSRRefP22_14x_0)</f>
        <v>642</v>
      </c>
      <c r="Q83" s="1"/>
      <c r="R83" s="5">
        <f t="shared" ref="R83:R84" si="57">IF(P$12=0,0,P83/P$12)</f>
        <v>2.6972387333565245E-2</v>
      </c>
      <c r="S83" s="1"/>
      <c r="T83" s="1">
        <f>SUM(OSRRefT22_14x_0)</f>
        <v>700</v>
      </c>
      <c r="U83" s="1"/>
      <c r="V83" s="5">
        <f t="shared" ref="V83:V84" si="58">IF(T$12=0,0,T83/T$12)</f>
        <v>1.511258878645912E-3</v>
      </c>
      <c r="W83" s="1"/>
      <c r="X83" s="1">
        <f t="shared" ref="X83:X84" si="59">+P83-T83</f>
        <v>-58</v>
      </c>
      <c r="Y83" s="1"/>
      <c r="Z83" s="5">
        <f t="shared" ref="Z83:Z84" si="60">IF(T83=0,0,X83/T83)</f>
        <v>-8.2857142857142851E-2</v>
      </c>
    </row>
    <row r="84" spans="1:26" s="24" customFormat="1" hidden="1" outlineLevel="2" x14ac:dyDescent="0.25">
      <c r="A84" s="28"/>
      <c r="B84" s="11" t="str">
        <f>CONCATENATE("          ", "6309", " - ", "TELEPHONE")</f>
        <v xml:space="preserve">          6309 - TELEPHONE</v>
      </c>
      <c r="C84" s="11"/>
      <c r="D84" s="7">
        <v>139</v>
      </c>
      <c r="E84" s="2"/>
      <c r="F84" s="6">
        <f t="shared" si="53"/>
        <v>-5.7692986151608042E-3</v>
      </c>
      <c r="G84" s="2"/>
      <c r="H84" s="7">
        <v>175</v>
      </c>
      <c r="I84" s="2"/>
      <c r="J84" s="6">
        <f t="shared" si="54"/>
        <v>7.5562943932295601E-4</v>
      </c>
      <c r="K84" s="2"/>
      <c r="L84" s="7">
        <f t="shared" si="55"/>
        <v>-36</v>
      </c>
      <c r="M84" s="2"/>
      <c r="N84" s="6">
        <f t="shared" si="56"/>
        <v>-0.20571428571428571</v>
      </c>
      <c r="O84" s="11"/>
      <c r="P84" s="7">
        <v>642</v>
      </c>
      <c r="Q84" s="2"/>
      <c r="R84" s="6">
        <f t="shared" si="57"/>
        <v>2.6972387333565245E-2</v>
      </c>
      <c r="S84" s="2"/>
      <c r="T84" s="7">
        <v>700</v>
      </c>
      <c r="U84" s="2"/>
      <c r="V84" s="6">
        <f t="shared" si="58"/>
        <v>1.511258878645912E-3</v>
      </c>
      <c r="W84" s="2"/>
      <c r="X84" s="7">
        <f t="shared" si="59"/>
        <v>-58</v>
      </c>
      <c r="Y84" s="2"/>
      <c r="Z84" s="6">
        <f t="shared" si="60"/>
        <v>-8.2857142857142851E-2</v>
      </c>
    </row>
    <row r="85" spans="1:26" s="63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6" t="s">
        <v>3</v>
      </c>
      <c r="C88" s="26"/>
      <c r="D88" s="20">
        <f>+D23-D25+D86</f>
        <v>-80190.409999999989</v>
      </c>
      <c r="E88" s="13"/>
      <c r="F88" s="19">
        <f>IF(D$12=0,0,D88/D$12)</f>
        <v>3.3283627436127841</v>
      </c>
      <c r="G88" s="13"/>
      <c r="H88" s="20">
        <f>+H23-H25+H86</f>
        <v>14127.54658653849</v>
      </c>
      <c r="I88" s="13"/>
      <c r="J88" s="19">
        <f>IF(H$12=0,0,H88/H$12)</f>
        <v>6.1001086321114402E-2</v>
      </c>
      <c r="K88" s="15"/>
      <c r="L88" s="20">
        <f>+D88-H88</f>
        <v>-94317.956586538479</v>
      </c>
      <c r="M88" s="15"/>
      <c r="N88" s="19">
        <f>IF(H88=0,0,L88/H88)</f>
        <v>-6.6761738146671448</v>
      </c>
      <c r="O88" s="25"/>
      <c r="P88" s="20">
        <f>+P23-P25+P86</f>
        <v>-222827.09000000003</v>
      </c>
      <c r="Q88" s="13"/>
      <c r="R88" s="19">
        <f>IF(P$12=0,0,P88/P$12)</f>
        <v>-9.3616488783352079</v>
      </c>
      <c r="S88" s="13"/>
      <c r="T88" s="20">
        <f>+T23-T25+T86</f>
        <v>-149782.11140846153</v>
      </c>
      <c r="U88" s="13"/>
      <c r="V88" s="19">
        <f>IF(T$12=0,0,T88/T$12)</f>
        <v>-0.32337077961195521</v>
      </c>
      <c r="W88" s="15"/>
      <c r="X88" s="20">
        <f>+P88-T88</f>
        <v>-73044.9785915385</v>
      </c>
      <c r="Y88" s="15"/>
      <c r="Z88" s="19">
        <f>IF(T88=0,0,X88/T88)</f>
        <v>0.48767491594735274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-3716.77</v>
      </c>
      <c r="E90" s="4"/>
      <c r="F90" s="12">
        <f>IF(D$12=0,0,D90/D$12)</f>
        <v>0.15426730945231093</v>
      </c>
      <c r="G90" s="4"/>
      <c r="H90" s="4">
        <v>42351</v>
      </c>
      <c r="I90" s="4"/>
      <c r="J90" s="12">
        <f>IF(H$12=0,0,H90/H$12)</f>
        <v>0.18286664219866577</v>
      </c>
      <c r="K90" s="4"/>
      <c r="L90" s="4">
        <f>+D90-H90</f>
        <v>-46067.77</v>
      </c>
      <c r="M90" s="4"/>
      <c r="N90" s="12">
        <f>IF(H90=0,0,L90/H90)</f>
        <v>-1.0877610918278198</v>
      </c>
      <c r="O90" s="10"/>
      <c r="P90" s="4">
        <v>5156.05</v>
      </c>
      <c r="Q90" s="4"/>
      <c r="R90" s="12">
        <f>IF(P$12=0,0,P90/P$12)</f>
        <v>0.21662146060939111</v>
      </c>
      <c r="S90" s="4"/>
      <c r="T90" s="4">
        <v>75833</v>
      </c>
      <c r="U90" s="4"/>
      <c r="V90" s="12">
        <f>IF(T$12=0,0,T90/T$12)</f>
        <v>0.16371899220622207</v>
      </c>
      <c r="W90" s="4"/>
      <c r="X90" s="4">
        <f>+P90-T90</f>
        <v>-70676.95</v>
      </c>
      <c r="Y90" s="4"/>
      <c r="Z90" s="12">
        <f>IF(T90=0,0,X90/T90)</f>
        <v>-0.93200783300146373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4</v>
      </c>
      <c r="C92" s="26"/>
      <c r="D92" s="34">
        <f>+D88-D90</f>
        <v>-76473.639999999985</v>
      </c>
      <c r="E92" s="13"/>
      <c r="F92" s="35">
        <f>IF(D$12=0,0,D92/D$12)</f>
        <v>3.1740954341604732</v>
      </c>
      <c r="G92" s="13"/>
      <c r="H92" s="34">
        <f>+H88-H90</f>
        <v>-28223.45341346151</v>
      </c>
      <c r="I92" s="13"/>
      <c r="J92" s="35">
        <f>IF(H$12=0,0,H92/H$12)</f>
        <v>-0.12186555587755137</v>
      </c>
      <c r="K92" s="15"/>
      <c r="L92" s="34">
        <f>D92-H92</f>
        <v>-48250.186586538475</v>
      </c>
      <c r="M92" s="15"/>
      <c r="N92" s="35">
        <f>IF(H92=0,0,L92/H92)</f>
        <v>1.7095777004923494</v>
      </c>
      <c r="O92" s="25"/>
      <c r="P92" s="34">
        <f>+P88-P90</f>
        <v>-227983.14</v>
      </c>
      <c r="Q92" s="13"/>
      <c r="R92" s="35">
        <f>IF(P$12=0,0,P92/P$12)</f>
        <v>-9.5782703389445984</v>
      </c>
      <c r="S92" s="13"/>
      <c r="T92" s="34">
        <f>+T88-T90</f>
        <v>-225615.11140846153</v>
      </c>
      <c r="U92" s="13"/>
      <c r="V92" s="35">
        <f>IF(T$12=0,0,T92/T$12)</f>
        <v>-0.48708977181817725</v>
      </c>
      <c r="W92" s="15"/>
      <c r="X92" s="34">
        <f>P92-T92</f>
        <v>-2368.0285915384884</v>
      </c>
      <c r="Y92" s="15"/>
      <c r="Z92" s="35">
        <f>IF(T92=0,0,X92/T92)</f>
        <v>1.049587758885231E-2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5</v>
      </c>
      <c r="C95" s="26"/>
      <c r="D95" s="30">
        <f>SUM(D92:D94)</f>
        <v>-76473.639999999985</v>
      </c>
      <c r="E95" s="13"/>
      <c r="F95" s="32">
        <f>IF(D$12=0,0,D95/D$12)</f>
        <v>3.1740954341604732</v>
      </c>
      <c r="G95" s="13"/>
      <c r="H95" s="30">
        <f>SUM(H92:H94)</f>
        <v>-28223.45341346151</v>
      </c>
      <c r="I95" s="13"/>
      <c r="J95" s="32">
        <f>IF(H$12=0,0,H95/H$12)</f>
        <v>-0.12186555587755137</v>
      </c>
      <c r="K95" s="15"/>
      <c r="L95" s="30">
        <f>+D95-H95</f>
        <v>-48250.186586538475</v>
      </c>
      <c r="M95" s="15"/>
      <c r="N95" s="32">
        <f>IF(H95=0,0,L95/H95)</f>
        <v>1.7095777004923494</v>
      </c>
      <c r="O95" s="25"/>
      <c r="P95" s="30">
        <f>SUM(P92:P94)</f>
        <v>-227983.14</v>
      </c>
      <c r="Q95" s="13"/>
      <c r="R95" s="32">
        <f>IF(P$12=0,0,P95/P$12)</f>
        <v>-9.5782703389445984</v>
      </c>
      <c r="S95" s="13"/>
      <c r="T95" s="30">
        <f>SUM(T92:T94)</f>
        <v>-225615.11140846153</v>
      </c>
      <c r="U95" s="13"/>
      <c r="V95" s="32">
        <f>IF(T$12=0,0,T95/T$12)</f>
        <v>-0.48708977181817725</v>
      </c>
      <c r="W95" s="15"/>
      <c r="X95" s="30">
        <f>+P95-T95</f>
        <v>-2368.0285915384884</v>
      </c>
      <c r="Y95" s="15"/>
      <c r="Z95" s="32">
        <f>IF(T95=0,0,X95/T95)</f>
        <v>1.049587758885231E-2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60">
        <v>44151.568824768518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8" t="s">
        <v>314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A99" s="9"/>
      <c r="B99" s="53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25"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300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","435", " - ", "Ground Floor Coffee House")</f>
        <v>Department 435 - Ground Floor Coffee House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27.69</v>
      </c>
      <c r="E18" s="21"/>
      <c r="F18" s="31">
        <f t="shared" ref="F18:F20" si="0">IF(D$12=0,0,D18/D$12)</f>
        <v>0</v>
      </c>
      <c r="G18" s="21"/>
      <c r="H18" s="21">
        <f>SUM(OSRRefH22x_0)</f>
        <v>0</v>
      </c>
      <c r="I18" s="21"/>
      <c r="J18" s="31">
        <f t="shared" ref="J18:J20" si="1">IF(H$12=0,0,H18/H$12)</f>
        <v>0</v>
      </c>
      <c r="K18" s="4"/>
      <c r="L18" s="21">
        <f t="shared" ref="L18:L20" si="2">+D18-H18</f>
        <v>27.69</v>
      </c>
      <c r="M18" s="4"/>
      <c r="N18" s="31">
        <f t="shared" ref="N18:N20" si="3">IF(H18=0,0,L18/H18)</f>
        <v>0</v>
      </c>
      <c r="O18" s="10"/>
      <c r="P18" s="21">
        <f>SUM(OSRRefP22x_0)</f>
        <v>178.69</v>
      </c>
      <c r="Q18" s="21"/>
      <c r="R18" s="31">
        <f t="shared" ref="R18:R20" si="4">IF(P$12=0,0,P18/P$12)</f>
        <v>0</v>
      </c>
      <c r="S18" s="21"/>
      <c r="T18" s="21">
        <f>SUM(OSRRefT22x_0)</f>
        <v>0</v>
      </c>
      <c r="U18" s="21"/>
      <c r="V18" s="31">
        <f t="shared" ref="V18:V20" si="5">IF(T$12=0,0,T18/T$12)</f>
        <v>0</v>
      </c>
      <c r="W18" s="4"/>
      <c r="X18" s="21">
        <f t="shared" ref="X18:X20" si="6">+P18-T18</f>
        <v>178.69</v>
      </c>
      <c r="Y18" s="4"/>
      <c r="Z18" s="31">
        <f t="shared" ref="Z18:Z20" si="7">IF(T18=0,0,X18/T18)</f>
        <v>0</v>
      </c>
    </row>
    <row r="19" spans="1:26" s="27" customFormat="1" outlineLevel="1" collapsed="1" x14ac:dyDescent="0.25">
      <c r="A19" s="29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27.69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27.69</v>
      </c>
      <c r="M19" s="1"/>
      <c r="N19" s="5">
        <f t="shared" si="3"/>
        <v>0</v>
      </c>
      <c r="O19" s="14"/>
      <c r="P19" s="1">
        <f>SUM(OSRRefP22_0x_0)</f>
        <v>178.69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178.69</v>
      </c>
      <c r="Y19" s="1"/>
      <c r="Z19" s="5">
        <f t="shared" si="7"/>
        <v>0</v>
      </c>
    </row>
    <row r="20" spans="1:26" s="24" customFormat="1" hidden="1" outlineLevel="2" x14ac:dyDescent="0.25">
      <c r="A20" s="28"/>
      <c r="B20" s="11" t="str">
        <f>CONCATENATE("          ", "6309", " - ", "TELEPHONE")</f>
        <v xml:space="preserve">          6309 - TELEPHONE</v>
      </c>
      <c r="C20" s="11"/>
      <c r="D20" s="7">
        <v>27.69</v>
      </c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27.69</v>
      </c>
      <c r="M20" s="2"/>
      <c r="N20" s="6">
        <f t="shared" si="3"/>
        <v>0</v>
      </c>
      <c r="O20" s="11"/>
      <c r="P20" s="7">
        <v>178.69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178.69</v>
      </c>
      <c r="Y20" s="2"/>
      <c r="Z20" s="6">
        <f t="shared" si="7"/>
        <v>0</v>
      </c>
    </row>
    <row r="21" spans="1:26" s="63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3</v>
      </c>
      <c r="C24" s="26"/>
      <c r="D24" s="20">
        <f>+D16-D18+D22</f>
        <v>-27.69</v>
      </c>
      <c r="E24" s="13"/>
      <c r="F24" s="19">
        <f>IF(D$12=0,0,D24/D$12)</f>
        <v>0</v>
      </c>
      <c r="G24" s="13"/>
      <c r="H24" s="20">
        <f>+H16-H18+H22</f>
        <v>0</v>
      </c>
      <c r="I24" s="13"/>
      <c r="J24" s="19">
        <f>IF(H$12=0,0,H24/H$12)</f>
        <v>0</v>
      </c>
      <c r="K24" s="15"/>
      <c r="L24" s="20">
        <f>+D24-H24</f>
        <v>-27.69</v>
      </c>
      <c r="M24" s="15"/>
      <c r="N24" s="19">
        <f>IF(H24=0,0,L24/H24)</f>
        <v>0</v>
      </c>
      <c r="O24" s="25"/>
      <c r="P24" s="20">
        <f>+P16-P18+P22</f>
        <v>-178.69</v>
      </c>
      <c r="Q24" s="13"/>
      <c r="R24" s="19">
        <f>IF(P$12=0,0,P24/P$12)</f>
        <v>0</v>
      </c>
      <c r="S24" s="13"/>
      <c r="T24" s="20">
        <f>+T16-T18+T22</f>
        <v>0</v>
      </c>
      <c r="U24" s="13"/>
      <c r="V24" s="19">
        <f>IF(T$12=0,0,T24/T$12)</f>
        <v>0</v>
      </c>
      <c r="W24" s="15"/>
      <c r="X24" s="20">
        <f>+P24-T24</f>
        <v>-178.69</v>
      </c>
      <c r="Y24" s="15"/>
      <c r="Z24" s="19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6" t="s">
        <v>4</v>
      </c>
      <c r="C28" s="26"/>
      <c r="D28" s="34">
        <f>+D24-D26</f>
        <v>-27.69</v>
      </c>
      <c r="E28" s="13"/>
      <c r="F28" s="35">
        <f>IF(D$12=0,0,D28/D$12)</f>
        <v>0</v>
      </c>
      <c r="G28" s="13"/>
      <c r="H28" s="34">
        <f>+H24-H26</f>
        <v>0</v>
      </c>
      <c r="I28" s="13"/>
      <c r="J28" s="35">
        <f>IF(H$12=0,0,H28/H$12)</f>
        <v>0</v>
      </c>
      <c r="K28" s="15"/>
      <c r="L28" s="34">
        <f>D28-H28</f>
        <v>-27.69</v>
      </c>
      <c r="M28" s="15"/>
      <c r="N28" s="35">
        <f>IF(H28=0,0,L28/H28)</f>
        <v>0</v>
      </c>
      <c r="O28" s="25"/>
      <c r="P28" s="34">
        <f>+P24-P26</f>
        <v>-178.69</v>
      </c>
      <c r="Q28" s="13"/>
      <c r="R28" s="35">
        <f>IF(P$12=0,0,P28/P$12)</f>
        <v>0</v>
      </c>
      <c r="S28" s="13"/>
      <c r="T28" s="34">
        <f>+T24-T26</f>
        <v>0</v>
      </c>
      <c r="U28" s="13"/>
      <c r="V28" s="35">
        <f>IF(T$12=0,0,T28/T$12)</f>
        <v>0</v>
      </c>
      <c r="W28" s="15"/>
      <c r="X28" s="34">
        <f>P28-T28</f>
        <v>-178.69</v>
      </c>
      <c r="Y28" s="15"/>
      <c r="Z28" s="35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0">
        <f>SUM(D28:D30)</f>
        <v>-27.69</v>
      </c>
      <c r="E31" s="13"/>
      <c r="F31" s="32">
        <f>IF(D$12=0,0,D31/D$12)</f>
        <v>0</v>
      </c>
      <c r="G31" s="13"/>
      <c r="H31" s="30">
        <f>SUM(H28:H30)</f>
        <v>0</v>
      </c>
      <c r="I31" s="13"/>
      <c r="J31" s="32">
        <f>IF(H$12=0,0,H31/H$12)</f>
        <v>0</v>
      </c>
      <c r="K31" s="15"/>
      <c r="L31" s="30">
        <f>+D31-H31</f>
        <v>-27.69</v>
      </c>
      <c r="M31" s="15"/>
      <c r="N31" s="32">
        <f>IF(H31=0,0,L31/H31)</f>
        <v>0</v>
      </c>
      <c r="O31" s="25"/>
      <c r="P31" s="30">
        <f>SUM(P28:P30)</f>
        <v>-178.69</v>
      </c>
      <c r="Q31" s="13"/>
      <c r="R31" s="32">
        <f>IF(P$12=0,0,P31/P$12)</f>
        <v>0</v>
      </c>
      <c r="S31" s="13"/>
      <c r="T31" s="30">
        <f>SUM(T28:T30)</f>
        <v>0</v>
      </c>
      <c r="U31" s="13"/>
      <c r="V31" s="32">
        <f>IF(T$12=0,0,T31/T$12)</f>
        <v>0</v>
      </c>
      <c r="W31" s="15"/>
      <c r="X31" s="30">
        <f>+P31-T31</f>
        <v>-178.69</v>
      </c>
      <c r="Y31" s="15"/>
      <c r="Z31" s="32">
        <f>IF(T31=0,0,X31/T31)</f>
        <v>0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0">
        <v>44151.568845682872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8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3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","444", " - ", "Parkside Dining Hall")</f>
        <v>Department 444 - Parkside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188789</v>
      </c>
      <c r="E12" s="4"/>
      <c r="F12" s="12"/>
      <c r="G12" s="4"/>
      <c r="H12" s="4">
        <f>SUM(OSRRefH13x_0)</f>
        <v>236649</v>
      </c>
      <c r="I12" s="4"/>
      <c r="J12" s="12"/>
      <c r="K12" s="4"/>
      <c r="L12" s="4">
        <f t="shared" ref="L12:L16" si="0">+D12-H12</f>
        <v>-47860</v>
      </c>
      <c r="M12" s="4"/>
      <c r="N12" s="12">
        <f t="shared" ref="N12:N16" si="1">IF(H12=0,0,L12/H12)</f>
        <v>-0.20224044893492049</v>
      </c>
      <c r="O12" s="10"/>
      <c r="P12" s="4">
        <f>SUM(OSRRefP13x_0)</f>
        <v>419859.68</v>
      </c>
      <c r="Q12" s="4"/>
      <c r="R12" s="12"/>
      <c r="S12" s="4"/>
      <c r="T12" s="4">
        <f>SUM(OSRRefT13x_0)</f>
        <v>514420</v>
      </c>
      <c r="U12" s="4"/>
      <c r="V12" s="12"/>
      <c r="W12" s="4"/>
      <c r="X12" s="4">
        <f t="shared" ref="X12:X16" si="2">+P12-T12</f>
        <v>-94560.320000000007</v>
      </c>
      <c r="Y12" s="4"/>
      <c r="Z12" s="12">
        <f t="shared" ref="Z12:Z16" si="3">IF(T12=0,0,X12/T12)</f>
        <v>-0.18381929162940788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--184.79</f>
        <v>184.79</v>
      </c>
      <c r="Q13" s="2"/>
      <c r="R13" s="22"/>
      <c r="S13" s="2"/>
      <c r="T13" s="2"/>
      <c r="U13" s="2"/>
      <c r="V13" s="22"/>
      <c r="W13" s="2"/>
      <c r="X13" s="2">
        <f t="shared" si="2"/>
        <v>184.79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236649</v>
      </c>
      <c r="I14" s="2"/>
      <c r="J14" s="22"/>
      <c r="K14" s="2"/>
      <c r="L14" s="2">
        <f t="shared" si="0"/>
        <v>-236649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514420</v>
      </c>
      <c r="U14" s="2"/>
      <c r="V14" s="22"/>
      <c r="W14" s="2"/>
      <c r="X14" s="2">
        <f t="shared" si="2"/>
        <v>-514420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--191267.4</f>
        <v>191267.4</v>
      </c>
      <c r="E15" s="2"/>
      <c r="F15" s="22"/>
      <c r="G15" s="2"/>
      <c r="H15" s="2"/>
      <c r="I15" s="2"/>
      <c r="J15" s="22"/>
      <c r="K15" s="2"/>
      <c r="L15" s="2">
        <f t="shared" si="0"/>
        <v>191267.4</v>
      </c>
      <c r="M15" s="2"/>
      <c r="N15" s="22">
        <f t="shared" si="1"/>
        <v>0</v>
      </c>
      <c r="O15" s="11"/>
      <c r="P15" s="2">
        <f>--411396.78</f>
        <v>411396.78</v>
      </c>
      <c r="Q15" s="2"/>
      <c r="R15" s="22"/>
      <c r="S15" s="2"/>
      <c r="T15" s="2"/>
      <c r="U15" s="2"/>
      <c r="V15" s="22"/>
      <c r="W15" s="2"/>
      <c r="X15" s="2">
        <f t="shared" si="2"/>
        <v>411396.78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-2478.4</f>
        <v>-2478.4</v>
      </c>
      <c r="E16" s="2"/>
      <c r="F16" s="22"/>
      <c r="G16" s="2"/>
      <c r="H16" s="2"/>
      <c r="I16" s="2"/>
      <c r="J16" s="22"/>
      <c r="K16" s="2"/>
      <c r="L16" s="2">
        <f t="shared" si="0"/>
        <v>-2478.4</v>
      </c>
      <c r="M16" s="2"/>
      <c r="N16" s="22">
        <f t="shared" si="1"/>
        <v>0</v>
      </c>
      <c r="O16" s="11"/>
      <c r="P16" s="2">
        <f>--8278.11</f>
        <v>8278.11</v>
      </c>
      <c r="Q16" s="2"/>
      <c r="R16" s="22"/>
      <c r="S16" s="2"/>
      <c r="T16" s="2"/>
      <c r="U16" s="2"/>
      <c r="V16" s="22"/>
      <c r="W16" s="2"/>
      <c r="X16" s="2">
        <f t="shared" si="2"/>
        <v>8278.11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73379.929999999993</v>
      </c>
      <c r="E18" s="4"/>
      <c r="F18" s="12">
        <f t="shared" ref="F18:F21" si="5">IF(D$12=0,0,D18/D$12)</f>
        <v>0.38868752946411067</v>
      </c>
      <c r="G18" s="4"/>
      <c r="H18" s="4">
        <f>SUM(OSRRefH16x_0)</f>
        <v>61528.999999999993</v>
      </c>
      <c r="I18" s="4"/>
      <c r="J18" s="12">
        <f t="shared" ref="J18:J21" si="6">IF(H$12=0,0,H18/H$12)</f>
        <v>0.26000109867356291</v>
      </c>
      <c r="K18" s="4"/>
      <c r="L18" s="4">
        <f t="shared" ref="L18:L21" si="7">+D18-H18</f>
        <v>11850.93</v>
      </c>
      <c r="M18" s="4"/>
      <c r="N18" s="12">
        <f t="shared" ref="N18:N21" si="8">IF(H18=0,0,L18/H18)</f>
        <v>0.19260722586097614</v>
      </c>
      <c r="O18" s="10"/>
      <c r="P18" s="4">
        <f>SUM(OSRRefP16x_0)</f>
        <v>149671.85</v>
      </c>
      <c r="Q18" s="4"/>
      <c r="R18" s="12">
        <f t="shared" ref="R18:R21" si="9">IF(P$12=0,0,P18/P$12)</f>
        <v>0.35648064610538455</v>
      </c>
      <c r="S18" s="4"/>
      <c r="T18" s="4">
        <f>SUM(OSRRefT16x_0)</f>
        <v>141656</v>
      </c>
      <c r="U18" s="4"/>
      <c r="V18" s="12">
        <f t="shared" ref="V18:V21" si="10">IF(T$12=0,0,T18/T$12)</f>
        <v>0.27537031997200728</v>
      </c>
      <c r="W18" s="4"/>
      <c r="X18" s="4">
        <f t="shared" ref="X18:X21" si="11">+P18-T18</f>
        <v>8015.8500000000058</v>
      </c>
      <c r="Y18" s="4"/>
      <c r="Z18" s="12">
        <f t="shared" ref="Z18:Z21" si="12">IF(T18=0,0,X18/T18)</f>
        <v>5.6586731236234297E-2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5"/>
        <v>0</v>
      </c>
      <c r="G19" s="2"/>
      <c r="H19" s="2">
        <v>61528.999999999993</v>
      </c>
      <c r="I19" s="2"/>
      <c r="J19" s="22">
        <f t="shared" si="6"/>
        <v>0.26000109867356291</v>
      </c>
      <c r="K19" s="2"/>
      <c r="L19" s="2">
        <f t="shared" si="7"/>
        <v>-61528.999999999993</v>
      </c>
      <c r="M19" s="2"/>
      <c r="N19" s="22">
        <f t="shared" si="8"/>
        <v>-1</v>
      </c>
      <c r="O19" s="11"/>
      <c r="P19" s="2"/>
      <c r="Q19" s="2"/>
      <c r="R19" s="22">
        <f t="shared" si="9"/>
        <v>0</v>
      </c>
      <c r="S19" s="2"/>
      <c r="T19" s="2">
        <v>141656</v>
      </c>
      <c r="U19" s="2"/>
      <c r="V19" s="22">
        <f t="shared" si="10"/>
        <v>0.27537031997200728</v>
      </c>
      <c r="W19" s="2"/>
      <c r="X19" s="2">
        <f t="shared" si="11"/>
        <v>-141656</v>
      </c>
      <c r="Y19" s="2"/>
      <c r="Z19" s="22">
        <f t="shared" si="12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60766.029999999992</v>
      </c>
      <c r="E20" s="2"/>
      <c r="F20" s="22">
        <f t="shared" si="5"/>
        <v>0.32187272563549779</v>
      </c>
      <c r="G20" s="2"/>
      <c r="H20" s="2"/>
      <c r="I20" s="2"/>
      <c r="J20" s="22">
        <f t="shared" si="6"/>
        <v>0</v>
      </c>
      <c r="K20" s="2"/>
      <c r="L20" s="2">
        <f t="shared" si="7"/>
        <v>60766.029999999992</v>
      </c>
      <c r="M20" s="2"/>
      <c r="N20" s="22">
        <f t="shared" si="8"/>
        <v>0</v>
      </c>
      <c r="O20" s="11"/>
      <c r="P20" s="2">
        <v>171496.53</v>
      </c>
      <c r="Q20" s="2"/>
      <c r="R20" s="22">
        <f t="shared" si="9"/>
        <v>0.40846153648285544</v>
      </c>
      <c r="S20" s="2"/>
      <c r="T20" s="2"/>
      <c r="U20" s="2"/>
      <c r="V20" s="22">
        <f t="shared" si="10"/>
        <v>0</v>
      </c>
      <c r="W20" s="2"/>
      <c r="X20" s="2">
        <f t="shared" si="11"/>
        <v>171496.53</v>
      </c>
      <c r="Y20" s="2"/>
      <c r="Z20" s="22">
        <f t="shared" si="12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12613.9</v>
      </c>
      <c r="E21" s="2"/>
      <c r="F21" s="22">
        <f t="shared" si="5"/>
        <v>6.6814803828612893E-2</v>
      </c>
      <c r="G21" s="2"/>
      <c r="H21" s="2"/>
      <c r="I21" s="2"/>
      <c r="J21" s="22">
        <f t="shared" si="6"/>
        <v>0</v>
      </c>
      <c r="K21" s="2"/>
      <c r="L21" s="2">
        <f t="shared" si="7"/>
        <v>12613.9</v>
      </c>
      <c r="M21" s="2"/>
      <c r="N21" s="22">
        <f t="shared" si="8"/>
        <v>0</v>
      </c>
      <c r="O21" s="11"/>
      <c r="P21" s="2">
        <v>-21824.68</v>
      </c>
      <c r="Q21" s="2"/>
      <c r="R21" s="22">
        <f t="shared" si="9"/>
        <v>-5.1980890377470876E-2</v>
      </c>
      <c r="S21" s="2"/>
      <c r="T21" s="2"/>
      <c r="U21" s="2"/>
      <c r="V21" s="22">
        <f t="shared" si="10"/>
        <v>0</v>
      </c>
      <c r="W21" s="2"/>
      <c r="X21" s="2">
        <f t="shared" si="11"/>
        <v>-21824.68</v>
      </c>
      <c r="Y21" s="2"/>
      <c r="Z21" s="22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0">
        <f>D12-D18</f>
        <v>115409.07</v>
      </c>
      <c r="E23" s="13"/>
      <c r="F23" s="19">
        <f>IF(D$12=0,0,D23/D$12)</f>
        <v>0.61131247053588933</v>
      </c>
      <c r="G23" s="13"/>
      <c r="H23" s="20">
        <f>H12-H18</f>
        <v>175120</v>
      </c>
      <c r="I23" s="13"/>
      <c r="J23" s="19">
        <f>IF(H$12=0,0,H23/H$12)</f>
        <v>0.73999890132643709</v>
      </c>
      <c r="K23" s="15"/>
      <c r="L23" s="20">
        <f>+D23-H23</f>
        <v>-59710.929999999993</v>
      </c>
      <c r="M23" s="15"/>
      <c r="N23" s="19">
        <f>IF(H23=0,0,L23/H23)</f>
        <v>-0.34097150525354036</v>
      </c>
      <c r="O23" s="25"/>
      <c r="P23" s="20">
        <f>P12-P18</f>
        <v>270187.82999999996</v>
      </c>
      <c r="Q23" s="13"/>
      <c r="R23" s="19">
        <f>IF(P$12=0,0,P23/P$12)</f>
        <v>0.64351935389461534</v>
      </c>
      <c r="S23" s="13"/>
      <c r="T23" s="20">
        <f>T12-T18</f>
        <v>372764</v>
      </c>
      <c r="U23" s="13"/>
      <c r="V23" s="19">
        <f>IF(T$12=0,0,T23/T$12)</f>
        <v>0.72462968002799266</v>
      </c>
      <c r="W23" s="15"/>
      <c r="X23" s="20">
        <f>+P23-T23</f>
        <v>-102576.17000000004</v>
      </c>
      <c r="Y23" s="15"/>
      <c r="Z23" s="19">
        <f>IF(T23=0,0,X23/T23)</f>
        <v>-0.27517724351063955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1">
        <f>SUM(OSRRefD22x_0)</f>
        <v>163912.78000000003</v>
      </c>
      <c r="E25" s="21"/>
      <c r="F25" s="31">
        <f t="shared" ref="F25:F36" si="13">IF(D$12=0,0,D25/D$12)</f>
        <v>0.86823268304827095</v>
      </c>
      <c r="G25" s="21"/>
      <c r="H25" s="21">
        <f>SUM(OSRRefH22x_0)</f>
        <v>152448.36167221153</v>
      </c>
      <c r="I25" s="21"/>
      <c r="J25" s="31">
        <f t="shared" ref="J25:J36" si="14">IF(H$12=0,0,H25/H$12)</f>
        <v>0.6441960949431923</v>
      </c>
      <c r="K25" s="4"/>
      <c r="L25" s="21">
        <f t="shared" ref="L25:L36" si="15">+D25-H25</f>
        <v>11464.418327788502</v>
      </c>
      <c r="M25" s="4"/>
      <c r="N25" s="31">
        <f t="shared" ref="N25:N36" si="16">IF(H25=0,0,L25/H25)</f>
        <v>7.5201977915898124E-2</v>
      </c>
      <c r="O25" s="10"/>
      <c r="P25" s="21">
        <f>SUM(OSRRefP22x_0)</f>
        <v>457397.21</v>
      </c>
      <c r="Q25" s="21"/>
      <c r="R25" s="31">
        <f t="shared" ref="R25:R36" si="17">IF(P$12=0,0,P25/P$12)</f>
        <v>1.0894049411936866</v>
      </c>
      <c r="S25" s="21"/>
      <c r="T25" s="21">
        <f>SUM(OSRRefT22x_0)</f>
        <v>489490.11080471164</v>
      </c>
      <c r="U25" s="21"/>
      <c r="V25" s="31">
        <f t="shared" ref="V25:V36" si="18">IF(T$12=0,0,T25/T$12)</f>
        <v>0.95153786945435959</v>
      </c>
      <c r="W25" s="4"/>
      <c r="X25" s="21">
        <f t="shared" ref="X25:X36" si="19">+P25-T25</f>
        <v>-32092.900804711622</v>
      </c>
      <c r="Y25" s="4"/>
      <c r="Z25" s="31">
        <f t="shared" ref="Z25:Z36" si="20">IF(T25=0,0,X25/T25)</f>
        <v>-6.5563941122225244E-2</v>
      </c>
    </row>
    <row r="26" spans="1:26" s="27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34871.670000000006</v>
      </c>
      <c r="E26" s="1"/>
      <c r="F26" s="5">
        <f t="shared" si="13"/>
        <v>0.18471240379471265</v>
      </c>
      <c r="G26" s="1"/>
      <c r="H26" s="1">
        <f>SUM(OSRRefH22_0x_0)</f>
        <v>41819.280820288426</v>
      </c>
      <c r="I26" s="1"/>
      <c r="J26" s="5">
        <f t="shared" si="14"/>
        <v>0.17671437791957045</v>
      </c>
      <c r="K26" s="1"/>
      <c r="L26" s="1">
        <f t="shared" si="15"/>
        <v>-6947.6108202884207</v>
      </c>
      <c r="M26" s="1"/>
      <c r="N26" s="5">
        <f t="shared" si="16"/>
        <v>-0.16613415352943658</v>
      </c>
      <c r="O26" s="14"/>
      <c r="P26" s="1">
        <f>SUM(OSRRefP22_0x_0)</f>
        <v>120630.6</v>
      </c>
      <c r="Q26" s="1"/>
      <c r="R26" s="5">
        <f t="shared" si="17"/>
        <v>0.28731170375778881</v>
      </c>
      <c r="S26" s="1"/>
      <c r="T26" s="1">
        <f>SUM(OSRRefT22_0x_0)</f>
        <v>152397.10597278844</v>
      </c>
      <c r="U26" s="1"/>
      <c r="V26" s="5">
        <f t="shared" si="18"/>
        <v>0.29625035179967429</v>
      </c>
      <c r="W26" s="1"/>
      <c r="X26" s="1">
        <f t="shared" si="19"/>
        <v>-31766.505972788436</v>
      </c>
      <c r="Y26" s="1"/>
      <c r="Z26" s="5">
        <f t="shared" si="20"/>
        <v>-0.20844559855657999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7">
        <v>5835.36</v>
      </c>
      <c r="E27" s="2"/>
      <c r="F27" s="6">
        <f t="shared" si="13"/>
        <v>3.0909427985740694E-2</v>
      </c>
      <c r="G27" s="2"/>
      <c r="H27" s="7">
        <v>3964.7352559615401</v>
      </c>
      <c r="I27" s="2"/>
      <c r="J27" s="6">
        <f t="shared" si="14"/>
        <v>1.6753653114788315E-2</v>
      </c>
      <c r="K27" s="2"/>
      <c r="L27" s="7">
        <f t="shared" si="15"/>
        <v>1870.6247440384595</v>
      </c>
      <c r="M27" s="2"/>
      <c r="N27" s="6">
        <f t="shared" si="16"/>
        <v>0.47181580188127586</v>
      </c>
      <c r="O27" s="11"/>
      <c r="P27" s="7">
        <v>14868.809999999998</v>
      </c>
      <c r="Q27" s="2"/>
      <c r="R27" s="6">
        <f t="shared" si="17"/>
        <v>3.5413760140054408E-2</v>
      </c>
      <c r="S27" s="2"/>
      <c r="T27" s="7">
        <v>15003.06659146154</v>
      </c>
      <c r="U27" s="2"/>
      <c r="V27" s="6">
        <f t="shared" si="18"/>
        <v>2.9165014174140858E-2</v>
      </c>
      <c r="W27" s="2"/>
      <c r="X27" s="7">
        <f t="shared" si="19"/>
        <v>-134.25659146154248</v>
      </c>
      <c r="Y27" s="2"/>
      <c r="Z27" s="6">
        <f t="shared" si="20"/>
        <v>-8.9486099820385943E-3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7">
        <v>2487.29</v>
      </c>
      <c r="E28" s="2"/>
      <c r="F28" s="6">
        <f t="shared" si="13"/>
        <v>1.317497311813718E-2</v>
      </c>
      <c r="G28" s="2"/>
      <c r="H28" s="7">
        <v>3372.1629067499998</v>
      </c>
      <c r="I28" s="2"/>
      <c r="J28" s="6">
        <f t="shared" si="14"/>
        <v>1.4249639367797877E-2</v>
      </c>
      <c r="K28" s="2"/>
      <c r="L28" s="7">
        <f t="shared" si="15"/>
        <v>-884.87290674999986</v>
      </c>
      <c r="M28" s="2"/>
      <c r="N28" s="6">
        <f t="shared" si="16"/>
        <v>-0.26240514803681791</v>
      </c>
      <c r="O28" s="11"/>
      <c r="P28" s="7">
        <v>8293.51</v>
      </c>
      <c r="Q28" s="2"/>
      <c r="R28" s="6">
        <f t="shared" si="17"/>
        <v>1.9753051781490425E-2</v>
      </c>
      <c r="S28" s="2"/>
      <c r="T28" s="7">
        <v>10672.478815350001</v>
      </c>
      <c r="U28" s="2"/>
      <c r="V28" s="6">
        <f t="shared" si="18"/>
        <v>2.0746624966661485E-2</v>
      </c>
      <c r="W28" s="2"/>
      <c r="X28" s="7">
        <f t="shared" si="19"/>
        <v>-2378.968815350001</v>
      </c>
      <c r="Y28" s="2"/>
      <c r="Z28" s="6">
        <f t="shared" si="20"/>
        <v>-0.22290686695281892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7">
        <v>17824.95</v>
      </c>
      <c r="E29" s="2"/>
      <c r="F29" s="6">
        <f t="shared" si="13"/>
        <v>9.4417312449348215E-2</v>
      </c>
      <c r="G29" s="2"/>
      <c r="H29" s="7">
        <v>22630.769230769198</v>
      </c>
      <c r="I29" s="2"/>
      <c r="J29" s="6">
        <f t="shared" si="14"/>
        <v>9.5630107166179437E-2</v>
      </c>
      <c r="K29" s="2"/>
      <c r="L29" s="7">
        <f t="shared" si="15"/>
        <v>-4805.819230769197</v>
      </c>
      <c r="M29" s="2"/>
      <c r="N29" s="6">
        <f t="shared" si="16"/>
        <v>-0.21235774983004641</v>
      </c>
      <c r="O29" s="11"/>
      <c r="P29" s="7">
        <v>67353.900000000009</v>
      </c>
      <c r="Q29" s="2"/>
      <c r="R29" s="6">
        <f t="shared" si="17"/>
        <v>0.16042002413758807</v>
      </c>
      <c r="S29" s="2"/>
      <c r="T29" s="7">
        <v>84400.769230769205</v>
      </c>
      <c r="U29" s="2"/>
      <c r="V29" s="6">
        <f t="shared" si="18"/>
        <v>0.16406976639860271</v>
      </c>
      <c r="W29" s="2"/>
      <c r="X29" s="7">
        <f t="shared" si="19"/>
        <v>-17046.869230769196</v>
      </c>
      <c r="Y29" s="2"/>
      <c r="Z29" s="6">
        <f t="shared" si="20"/>
        <v>-0.20197528276264309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150.72999999999999</v>
      </c>
      <c r="E30" s="2"/>
      <c r="F30" s="6">
        <f t="shared" si="13"/>
        <v>7.9840456806275781E-4</v>
      </c>
      <c r="G30" s="2"/>
      <c r="H30" s="7">
        <v>204.37350950000001</v>
      </c>
      <c r="I30" s="2"/>
      <c r="J30" s="6">
        <f t="shared" si="14"/>
        <v>8.6361450713926533E-4</v>
      </c>
      <c r="K30" s="2"/>
      <c r="L30" s="7">
        <f t="shared" si="15"/>
        <v>-53.643509500000022</v>
      </c>
      <c r="M30" s="2"/>
      <c r="N30" s="6">
        <f t="shared" si="16"/>
        <v>-0.26247780170355206</v>
      </c>
      <c r="O30" s="11"/>
      <c r="P30" s="7">
        <v>574.76</v>
      </c>
      <c r="Q30" s="2"/>
      <c r="R30" s="6">
        <f t="shared" si="17"/>
        <v>1.3689335446547286E-3</v>
      </c>
      <c r="S30" s="2"/>
      <c r="T30" s="7">
        <v>646.81689790000007</v>
      </c>
      <c r="U30" s="2"/>
      <c r="V30" s="6">
        <f t="shared" si="18"/>
        <v>1.2573712101006961E-3</v>
      </c>
      <c r="W30" s="2"/>
      <c r="X30" s="7">
        <f t="shared" si="19"/>
        <v>-72.056897900000081</v>
      </c>
      <c r="Y30" s="2"/>
      <c r="Z30" s="6">
        <f t="shared" si="20"/>
        <v>-0.1114023120514398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7">
        <v>1224.3599999999999</v>
      </c>
      <c r="E31" s="2"/>
      <c r="F31" s="6">
        <f t="shared" si="13"/>
        <v>6.4853354803510793E-3</v>
      </c>
      <c r="G31" s="2"/>
      <c r="H31" s="7">
        <v>2223.1248076923102</v>
      </c>
      <c r="I31" s="2"/>
      <c r="J31" s="6">
        <f t="shared" si="14"/>
        <v>9.3941863590900881E-3</v>
      </c>
      <c r="K31" s="2"/>
      <c r="L31" s="7">
        <f t="shared" si="15"/>
        <v>-998.76480769231034</v>
      </c>
      <c r="M31" s="2"/>
      <c r="N31" s="6">
        <f t="shared" si="16"/>
        <v>-0.44926168977848208</v>
      </c>
      <c r="O31" s="11"/>
      <c r="P31" s="7">
        <v>6325.61</v>
      </c>
      <c r="Q31" s="2"/>
      <c r="R31" s="6">
        <f t="shared" si="17"/>
        <v>1.5066009672564891E-2</v>
      </c>
      <c r="S31" s="2"/>
      <c r="T31" s="7">
        <v>8003.2493076923201</v>
      </c>
      <c r="U31" s="2"/>
      <c r="V31" s="6">
        <f t="shared" si="18"/>
        <v>1.5557811336441662E-2</v>
      </c>
      <c r="W31" s="2"/>
      <c r="X31" s="7">
        <f t="shared" si="19"/>
        <v>-1677.6393076923205</v>
      </c>
      <c r="Y31" s="2"/>
      <c r="Z31" s="6">
        <f t="shared" si="20"/>
        <v>-0.20961977356870015</v>
      </c>
    </row>
    <row r="32" spans="1:26" s="24" customFormat="1" hidden="1" outlineLevel="2" x14ac:dyDescent="0.25">
      <c r="A32" s="28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8"/>
      <c r="B33" s="11" t="str">
        <f>CONCATENATE("          ", "6117", " - ", "RETIREMENT STAFF HOURLY")</f>
        <v xml:space="preserve">          6117 - RETIREMENT STAFF HOURLY</v>
      </c>
      <c r="C33" s="11"/>
      <c r="D33" s="7">
        <v>464.24</v>
      </c>
      <c r="E33" s="2"/>
      <c r="F33" s="6">
        <f t="shared" si="13"/>
        <v>2.4590415755155227E-3</v>
      </c>
      <c r="G33" s="2"/>
      <c r="H33" s="7"/>
      <c r="I33" s="2"/>
      <c r="J33" s="6">
        <f t="shared" si="14"/>
        <v>0</v>
      </c>
      <c r="K33" s="2"/>
      <c r="L33" s="7">
        <f t="shared" si="15"/>
        <v>464.24</v>
      </c>
      <c r="M33" s="2"/>
      <c r="N33" s="6">
        <f t="shared" si="16"/>
        <v>0</v>
      </c>
      <c r="O33" s="11"/>
      <c r="P33" s="7">
        <v>2302.27</v>
      </c>
      <c r="Q33" s="2"/>
      <c r="R33" s="6">
        <f t="shared" si="17"/>
        <v>5.4834272250195593E-3</v>
      </c>
      <c r="S33" s="2"/>
      <c r="T33" s="7"/>
      <c r="U33" s="2"/>
      <c r="V33" s="6">
        <f t="shared" si="18"/>
        <v>0</v>
      </c>
      <c r="W33" s="2"/>
      <c r="X33" s="7">
        <f t="shared" si="19"/>
        <v>2302.27</v>
      </c>
      <c r="Y33" s="2"/>
      <c r="Z33" s="6">
        <f t="shared" si="20"/>
        <v>0</v>
      </c>
    </row>
    <row r="34" spans="1:26" s="24" customFormat="1" hidden="1" outlineLevel="2" x14ac:dyDescent="0.25">
      <c r="A34" s="28"/>
      <c r="B34" s="11" t="str">
        <f>CONCATENATE("          ", "6118", " - ", "VACATION")</f>
        <v xml:space="preserve">          6118 - VACATION</v>
      </c>
      <c r="C34" s="11"/>
      <c r="D34" s="7">
        <v>3625.02</v>
      </c>
      <c r="E34" s="2"/>
      <c r="F34" s="6">
        <f t="shared" si="13"/>
        <v>1.9201436524373772E-2</v>
      </c>
      <c r="G34" s="2"/>
      <c r="H34" s="7">
        <v>4104.8334615384592</v>
      </c>
      <c r="I34" s="2"/>
      <c r="J34" s="6">
        <f t="shared" si="14"/>
        <v>1.7345661555884281E-2</v>
      </c>
      <c r="K34" s="2"/>
      <c r="L34" s="7">
        <f t="shared" si="15"/>
        <v>-479.81346153845925</v>
      </c>
      <c r="M34" s="2"/>
      <c r="N34" s="6">
        <f t="shared" si="16"/>
        <v>-0.11688987288625077</v>
      </c>
      <c r="O34" s="11"/>
      <c r="P34" s="7">
        <v>10819.02</v>
      </c>
      <c r="Q34" s="2"/>
      <c r="R34" s="6">
        <f t="shared" si="17"/>
        <v>2.5768180454955811E-2</v>
      </c>
      <c r="S34" s="2"/>
      <c r="T34" s="7">
        <v>14777.40046153846</v>
      </c>
      <c r="U34" s="2"/>
      <c r="V34" s="6">
        <f t="shared" si="18"/>
        <v>2.8726333465919792E-2</v>
      </c>
      <c r="W34" s="2"/>
      <c r="X34" s="7">
        <f t="shared" si="19"/>
        <v>-3958.3804615384597</v>
      </c>
      <c r="Y34" s="2"/>
      <c r="Z34" s="6">
        <f t="shared" si="20"/>
        <v>-0.26786717134999782</v>
      </c>
    </row>
    <row r="35" spans="1:26" s="24" customFormat="1" hidden="1" outlineLevel="2" x14ac:dyDescent="0.25">
      <c r="A35" s="28"/>
      <c r="B35" s="11" t="str">
        <f>CONCATENATE("          ", "6119", " - ", "SICK LEAVE")</f>
        <v xml:space="preserve">          6119 - SICK LEAVE</v>
      </c>
      <c r="C35" s="11"/>
      <c r="D35" s="7">
        <v>2287.3200000000002</v>
      </c>
      <c r="E35" s="2"/>
      <c r="F35" s="6">
        <f t="shared" si="13"/>
        <v>1.2115748269231789E-2</v>
      </c>
      <c r="G35" s="2"/>
      <c r="H35" s="7">
        <v>3394.2816480769202</v>
      </c>
      <c r="I35" s="2"/>
      <c r="J35" s="6">
        <f t="shared" si="14"/>
        <v>1.4343105815266155E-2</v>
      </c>
      <c r="K35" s="2"/>
      <c r="L35" s="7">
        <f t="shared" si="15"/>
        <v>-1106.96164807692</v>
      </c>
      <c r="M35" s="2"/>
      <c r="N35" s="6">
        <f t="shared" si="16"/>
        <v>-0.32612545535344284</v>
      </c>
      <c r="O35" s="11"/>
      <c r="P35" s="7">
        <v>6799.32</v>
      </c>
      <c r="Q35" s="2"/>
      <c r="R35" s="6">
        <f t="shared" si="17"/>
        <v>1.6194267570536897E-2</v>
      </c>
      <c r="S35" s="2"/>
      <c r="T35" s="7">
        <v>11193.324668076921</v>
      </c>
      <c r="U35" s="2"/>
      <c r="V35" s="6">
        <f t="shared" si="18"/>
        <v>2.1759116418640256E-2</v>
      </c>
      <c r="W35" s="2"/>
      <c r="X35" s="7">
        <f t="shared" si="19"/>
        <v>-4394.004668076921</v>
      </c>
      <c r="Y35" s="2"/>
      <c r="Z35" s="6">
        <f t="shared" si="20"/>
        <v>-0.39255581325256395</v>
      </c>
    </row>
    <row r="36" spans="1:26" s="24" customFormat="1" hidden="1" outlineLevel="2" x14ac:dyDescent="0.25">
      <c r="A36" s="28"/>
      <c r="B36" s="11" t="str">
        <f>CONCATENATE("          ", "6156", " - ", "EMPLOYEE MEALS")</f>
        <v xml:space="preserve">          6156 - EMPLOYEE MEALS</v>
      </c>
      <c r="C36" s="11"/>
      <c r="D36" s="7">
        <v>972.4</v>
      </c>
      <c r="E36" s="2"/>
      <c r="F36" s="6">
        <f t="shared" si="13"/>
        <v>5.1507238239516069E-3</v>
      </c>
      <c r="G36" s="2"/>
      <c r="H36" s="7">
        <v>1925</v>
      </c>
      <c r="I36" s="2"/>
      <c r="J36" s="6">
        <f t="shared" si="14"/>
        <v>8.13441003342503E-3</v>
      </c>
      <c r="K36" s="2"/>
      <c r="L36" s="7">
        <f t="shared" si="15"/>
        <v>-952.6</v>
      </c>
      <c r="M36" s="2"/>
      <c r="N36" s="6">
        <f t="shared" si="16"/>
        <v>-0.49485714285714288</v>
      </c>
      <c r="O36" s="11"/>
      <c r="P36" s="7">
        <v>3293.4</v>
      </c>
      <c r="Q36" s="2"/>
      <c r="R36" s="6">
        <f t="shared" si="17"/>
        <v>7.8440492309240079E-3</v>
      </c>
      <c r="S36" s="2"/>
      <c r="T36" s="7">
        <v>7700</v>
      </c>
      <c r="U36" s="2"/>
      <c r="V36" s="6">
        <f t="shared" si="18"/>
        <v>1.4968313829166829E-2</v>
      </c>
      <c r="W36" s="2"/>
      <c r="X36" s="7">
        <f t="shared" si="19"/>
        <v>-4406.6000000000004</v>
      </c>
      <c r="Y36" s="2"/>
      <c r="Z36" s="6">
        <f t="shared" si="20"/>
        <v>-0.57228571428571429</v>
      </c>
    </row>
    <row r="37" spans="1:26" s="27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79894.55</v>
      </c>
      <c r="E37" s="1"/>
      <c r="F37" s="5">
        <f t="shared" ref="F37:F47" si="21">IF(D$12=0,0,D37/D$12)</f>
        <v>0.42319494250194661</v>
      </c>
      <c r="G37" s="1"/>
      <c r="H37" s="1">
        <f>SUM(OSRRefH22_1x_0)</f>
        <v>71106.080851923092</v>
      </c>
      <c r="I37" s="1"/>
      <c r="J37" s="5">
        <f t="shared" ref="J37:J47" si="22">IF(H$12=0,0,H37/H$12)</f>
        <v>0.30047065845164395</v>
      </c>
      <c r="K37" s="1"/>
      <c r="L37" s="1">
        <f t="shared" ref="L37:L47" si="23">+D37-H37</f>
        <v>8788.4691480769106</v>
      </c>
      <c r="M37" s="1"/>
      <c r="N37" s="5">
        <f t="shared" ref="N37:N47" si="24">IF(H37=0,0,L37/H37)</f>
        <v>0.12359659037289246</v>
      </c>
      <c r="O37" s="14"/>
      <c r="P37" s="1">
        <f>SUM(OSRRefP22_1x_0)</f>
        <v>221322.31999999998</v>
      </c>
      <c r="Q37" s="1"/>
      <c r="R37" s="5">
        <f t="shared" ref="R37:R47" si="25">IF(P$12=0,0,P37/P$12)</f>
        <v>0.52713401772706536</v>
      </c>
      <c r="S37" s="1"/>
      <c r="T37" s="1">
        <f>SUM(OSRRefT22_1x_0)</f>
        <v>222805.0048319232</v>
      </c>
      <c r="U37" s="1"/>
      <c r="V37" s="5">
        <f t="shared" ref="V37:V47" si="26">IF(T$12=0,0,T37/T$12)</f>
        <v>0.43311886169263092</v>
      </c>
      <c r="W37" s="1"/>
      <c r="X37" s="1">
        <f t="shared" ref="X37:X47" si="27">+P37-T37</f>
        <v>-1482.6848319232231</v>
      </c>
      <c r="Y37" s="1"/>
      <c r="Z37" s="5">
        <f t="shared" ref="Z37:Z47" si="28">IF(T37=0,0,X37/T37)</f>
        <v>-6.6546298322235267E-3</v>
      </c>
    </row>
    <row r="38" spans="1:26" s="24" customFormat="1" hidden="1" outlineLevel="2" x14ac:dyDescent="0.25">
      <c r="A38" s="28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8"/>
      <c r="B39" s="11" t="str">
        <f>CONCATENATE("          ", "6002", " - ", "STAFF SALARIES")</f>
        <v xml:space="preserve">          6002 - STAFF SALARIES</v>
      </c>
      <c r="C39" s="11"/>
      <c r="D39" s="7">
        <v>14999.030000000002</v>
      </c>
      <c r="E39" s="2"/>
      <c r="F39" s="6">
        <f t="shared" si="21"/>
        <v>7.9448643723945792E-2</v>
      </c>
      <c r="G39" s="2"/>
      <c r="H39" s="7">
        <v>22269.8605769231</v>
      </c>
      <c r="I39" s="2"/>
      <c r="J39" s="6">
        <f t="shared" si="22"/>
        <v>9.4105027179168729E-2</v>
      </c>
      <c r="K39" s="2"/>
      <c r="L39" s="7">
        <f t="shared" si="23"/>
        <v>-7270.8305769230974</v>
      </c>
      <c r="M39" s="2"/>
      <c r="N39" s="6">
        <f t="shared" si="24"/>
        <v>-0.32648747628251507</v>
      </c>
      <c r="O39" s="11"/>
      <c r="P39" s="7">
        <v>62793.11</v>
      </c>
      <c r="Q39" s="2"/>
      <c r="R39" s="6">
        <f t="shared" si="25"/>
        <v>0.14955737116743384</v>
      </c>
      <c r="S39" s="2"/>
      <c r="T39" s="7">
        <v>80171.498076923206</v>
      </c>
      <c r="U39" s="2"/>
      <c r="V39" s="6">
        <f t="shared" si="26"/>
        <v>0.15584833030777032</v>
      </c>
      <c r="W39" s="2"/>
      <c r="X39" s="7">
        <f t="shared" si="27"/>
        <v>-17378.388076923206</v>
      </c>
      <c r="Y39" s="2"/>
      <c r="Z39" s="6">
        <f t="shared" si="28"/>
        <v>-0.21676516584795427</v>
      </c>
    </row>
    <row r="40" spans="1:26" s="24" customFormat="1" hidden="1" outlineLevel="2" x14ac:dyDescent="0.25">
      <c r="A40" s="28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8"/>
      <c r="B41" s="11" t="str">
        <f>CONCATENATE("          ", "6004", " - ", "STAFF HOURLY")</f>
        <v xml:space="preserve">          6004 - STAFF HOURLY</v>
      </c>
      <c r="C41" s="11"/>
      <c r="D41" s="7">
        <v>25254.75</v>
      </c>
      <c r="E41" s="2"/>
      <c r="F41" s="6">
        <f t="shared" si="21"/>
        <v>0.13377235961840997</v>
      </c>
      <c r="G41" s="2"/>
      <c r="H41" s="7">
        <v>22841.279999999999</v>
      </c>
      <c r="I41" s="2"/>
      <c r="J41" s="6">
        <f t="shared" si="22"/>
        <v>9.6519655692608036E-2</v>
      </c>
      <c r="K41" s="2"/>
      <c r="L41" s="7">
        <f t="shared" si="23"/>
        <v>2413.4700000000012</v>
      </c>
      <c r="M41" s="2"/>
      <c r="N41" s="6">
        <f t="shared" si="24"/>
        <v>0.10566264237380747</v>
      </c>
      <c r="O41" s="11"/>
      <c r="P41" s="7">
        <v>69853.929999999993</v>
      </c>
      <c r="Q41" s="2"/>
      <c r="R41" s="6">
        <f t="shared" si="25"/>
        <v>0.16637446586916846</v>
      </c>
      <c r="S41" s="2"/>
      <c r="T41" s="7">
        <v>82228.607999999993</v>
      </c>
      <c r="U41" s="2"/>
      <c r="V41" s="6">
        <f t="shared" si="26"/>
        <v>0.15984722211422572</v>
      </c>
      <c r="W41" s="2"/>
      <c r="X41" s="7">
        <f t="shared" si="27"/>
        <v>-12374.678</v>
      </c>
      <c r="Y41" s="2"/>
      <c r="Z41" s="6">
        <f t="shared" si="28"/>
        <v>-0.15049115266550542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7">
        <v>23204.070000000003</v>
      </c>
      <c r="E42" s="2"/>
      <c r="F42" s="6">
        <f t="shared" si="21"/>
        <v>0.12291007420983216</v>
      </c>
      <c r="G42" s="2"/>
      <c r="H42" s="7">
        <v>6449.4402749999999</v>
      </c>
      <c r="I42" s="2"/>
      <c r="J42" s="6">
        <f t="shared" si="22"/>
        <v>2.7253190484641809E-2</v>
      </c>
      <c r="K42" s="2"/>
      <c r="L42" s="7">
        <f t="shared" si="23"/>
        <v>16754.629725000003</v>
      </c>
      <c r="M42" s="2"/>
      <c r="N42" s="6">
        <f t="shared" si="24"/>
        <v>2.5978424499791188</v>
      </c>
      <c r="O42" s="11"/>
      <c r="P42" s="7">
        <v>37723.81</v>
      </c>
      <c r="Q42" s="2"/>
      <c r="R42" s="6">
        <f t="shared" si="25"/>
        <v>8.9848613231925487E-2</v>
      </c>
      <c r="S42" s="2"/>
      <c r="T42" s="7">
        <v>17851.968755000002</v>
      </c>
      <c r="U42" s="2"/>
      <c r="V42" s="6">
        <f t="shared" si="26"/>
        <v>3.4703100103028656E-2</v>
      </c>
      <c r="W42" s="2"/>
      <c r="X42" s="7">
        <f t="shared" si="27"/>
        <v>19871.841244999996</v>
      </c>
      <c r="Y42" s="2"/>
      <c r="Z42" s="6">
        <f t="shared" si="28"/>
        <v>1.1131456433584821</v>
      </c>
    </row>
    <row r="43" spans="1:26" s="24" customFormat="1" hidden="1" outlineLevel="2" x14ac:dyDescent="0.25">
      <c r="A43" s="28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8"/>
      <c r="B44" s="11" t="str">
        <f>CONCATENATE("          ", "6007", " - ", "STUDENT HOURLY")</f>
        <v xml:space="preserve">          6007 - STUDENT HOURLY</v>
      </c>
      <c r="C44" s="11"/>
      <c r="D44" s="7">
        <v>12444.4</v>
      </c>
      <c r="E44" s="2"/>
      <c r="F44" s="6">
        <f t="shared" si="21"/>
        <v>6.5916976095005533E-2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12444.4</v>
      </c>
      <c r="M44" s="2"/>
      <c r="N44" s="6">
        <f t="shared" si="24"/>
        <v>0</v>
      </c>
      <c r="O44" s="11"/>
      <c r="P44" s="7">
        <v>43256.51</v>
      </c>
      <c r="Q44" s="2"/>
      <c r="R44" s="6">
        <f t="shared" si="25"/>
        <v>0.10302611100927815</v>
      </c>
      <c r="S44" s="2"/>
      <c r="T44" s="7">
        <v>9252.83</v>
      </c>
      <c r="U44" s="2"/>
      <c r="V44" s="6">
        <f t="shared" si="26"/>
        <v>1.7986917304925937E-2</v>
      </c>
      <c r="W44" s="2"/>
      <c r="X44" s="7">
        <f t="shared" si="27"/>
        <v>34003.68</v>
      </c>
      <c r="Y44" s="2"/>
      <c r="Z44" s="6">
        <f t="shared" si="28"/>
        <v>3.6749491777110355</v>
      </c>
    </row>
    <row r="45" spans="1:26" s="24" customFormat="1" hidden="1" outlineLevel="2" x14ac:dyDescent="0.25">
      <c r="A45" s="28"/>
      <c r="B45" s="11" t="str">
        <f>CONCATENATE("          ", "6008", " - ", "STUDENT HOURLY-FICA EXEMPT")</f>
        <v xml:space="preserve">          6008 - STUDENT HOURLY-FICA EXEMPT</v>
      </c>
      <c r="C45" s="11"/>
      <c r="D45" s="7">
        <v>3992.3</v>
      </c>
      <c r="E45" s="2"/>
      <c r="F45" s="6">
        <f t="shared" si="21"/>
        <v>2.1146888854753191E-2</v>
      </c>
      <c r="G45" s="2"/>
      <c r="H45" s="7">
        <v>19545.5</v>
      </c>
      <c r="I45" s="2"/>
      <c r="J45" s="6">
        <f t="shared" si="22"/>
        <v>8.2592785095225413E-2</v>
      </c>
      <c r="K45" s="2"/>
      <c r="L45" s="7">
        <f t="shared" si="23"/>
        <v>-15553.2</v>
      </c>
      <c r="M45" s="2"/>
      <c r="N45" s="6">
        <f t="shared" si="24"/>
        <v>-0.79574326571333553</v>
      </c>
      <c r="O45" s="11"/>
      <c r="P45" s="7">
        <v>7694.96</v>
      </c>
      <c r="Q45" s="2"/>
      <c r="R45" s="6">
        <f t="shared" si="25"/>
        <v>1.8327456449259431E-2</v>
      </c>
      <c r="S45" s="2"/>
      <c r="T45" s="7">
        <v>33300.1</v>
      </c>
      <c r="U45" s="2"/>
      <c r="V45" s="6">
        <f t="shared" si="26"/>
        <v>6.4733291862680301E-2</v>
      </c>
      <c r="W45" s="2"/>
      <c r="X45" s="7">
        <f t="shared" si="27"/>
        <v>-25605.14</v>
      </c>
      <c r="Y45" s="2"/>
      <c r="Z45" s="6">
        <f t="shared" si="28"/>
        <v>-0.7689208140516095</v>
      </c>
    </row>
    <row r="46" spans="1:26" s="24" customFormat="1" hidden="1" outlineLevel="2" x14ac:dyDescent="0.25">
      <c r="A46" s="28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8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7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9" si="29">IF(D$12=0,0,D48/D$12)</f>
        <v>0</v>
      </c>
      <c r="G48" s="1"/>
      <c r="H48" s="1">
        <f>SUM(OSRRefH22_2x_0)</f>
        <v>369</v>
      </c>
      <c r="I48" s="1"/>
      <c r="J48" s="5">
        <f t="shared" ref="J48:J69" si="30">IF(H$12=0,0,H48/H$12)</f>
        <v>1.5592713258877071E-3</v>
      </c>
      <c r="K48" s="1"/>
      <c r="L48" s="1">
        <f t="shared" ref="L48:L69" si="31">+D48-H48</f>
        <v>-369</v>
      </c>
      <c r="M48" s="1"/>
      <c r="N48" s="5">
        <f t="shared" ref="N48:N69" si="32">IF(H48=0,0,L48/H48)</f>
        <v>-1</v>
      </c>
      <c r="O48" s="14"/>
      <c r="P48" s="1">
        <f>SUM(OSRRefP22_2x_0)</f>
        <v>1224.25</v>
      </c>
      <c r="Q48" s="1"/>
      <c r="R48" s="5">
        <f t="shared" ref="R48:R69" si="33">IF(P$12=0,0,P48/P$12)</f>
        <v>2.915855125693422E-3</v>
      </c>
      <c r="S48" s="1"/>
      <c r="T48" s="1">
        <f>SUM(OSRRefT22_2x_0)</f>
        <v>1476</v>
      </c>
      <c r="U48" s="1"/>
      <c r="V48" s="5">
        <f t="shared" ref="V48:V69" si="34">IF(T$12=0,0,T48/T$12)</f>
        <v>2.8692508067337972E-3</v>
      </c>
      <c r="W48" s="1"/>
      <c r="X48" s="1">
        <f t="shared" ref="X48:X69" si="35">+P48-T48</f>
        <v>-251.75</v>
      </c>
      <c r="Y48" s="1"/>
      <c r="Z48" s="5">
        <f t="shared" ref="Z48:Z69" si="36">IF(T48=0,0,X48/T48)</f>
        <v>-0.17056233062330622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369</v>
      </c>
      <c r="I49" s="2"/>
      <c r="J49" s="6">
        <f t="shared" si="30"/>
        <v>1.5592713258877071E-3</v>
      </c>
      <c r="K49" s="2"/>
      <c r="L49" s="7">
        <f t="shared" si="31"/>
        <v>-369</v>
      </c>
      <c r="M49" s="2"/>
      <c r="N49" s="6">
        <f t="shared" si="32"/>
        <v>-1</v>
      </c>
      <c r="O49" s="11"/>
      <c r="P49" s="7">
        <v>1224.25</v>
      </c>
      <c r="Q49" s="2"/>
      <c r="R49" s="6">
        <f t="shared" si="33"/>
        <v>2.915855125693422E-3</v>
      </c>
      <c r="S49" s="2"/>
      <c r="T49" s="7">
        <v>1476</v>
      </c>
      <c r="U49" s="2"/>
      <c r="V49" s="6">
        <f t="shared" si="34"/>
        <v>2.8692508067337972E-3</v>
      </c>
      <c r="W49" s="2"/>
      <c r="X49" s="7">
        <f t="shared" si="35"/>
        <v>-251.75</v>
      </c>
      <c r="Y49" s="2"/>
      <c r="Z49" s="6">
        <f t="shared" si="36"/>
        <v>-0.17056233062330622</v>
      </c>
    </row>
    <row r="50" spans="1:26" s="27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8</v>
      </c>
      <c r="E50" s="1"/>
      <c r="F50" s="5">
        <f t="shared" si="29"/>
        <v>4.2375350258754482E-5</v>
      </c>
      <c r="G50" s="1"/>
      <c r="H50" s="1">
        <f>SUM(OSRRefH22_3x_0)</f>
        <v>8</v>
      </c>
      <c r="I50" s="1"/>
      <c r="J50" s="5">
        <f t="shared" si="30"/>
        <v>3.3805340398649479E-5</v>
      </c>
      <c r="K50" s="1"/>
      <c r="L50" s="1">
        <f t="shared" si="31"/>
        <v>0</v>
      </c>
      <c r="M50" s="1"/>
      <c r="N50" s="5">
        <f t="shared" si="32"/>
        <v>0</v>
      </c>
      <c r="O50" s="14"/>
      <c r="P50" s="1">
        <f>SUM(OSRRefP22_3x_0)</f>
        <v>40</v>
      </c>
      <c r="Q50" s="1"/>
      <c r="R50" s="5">
        <f t="shared" si="33"/>
        <v>9.526992446619309E-5</v>
      </c>
      <c r="S50" s="1"/>
      <c r="T50" s="1">
        <f>SUM(OSRRefT22_3x_0)</f>
        <v>24</v>
      </c>
      <c r="U50" s="1"/>
      <c r="V50" s="5">
        <f t="shared" si="34"/>
        <v>4.6654484662338167E-5</v>
      </c>
      <c r="W50" s="1"/>
      <c r="X50" s="1">
        <f t="shared" si="35"/>
        <v>16</v>
      </c>
      <c r="Y50" s="1"/>
      <c r="Z50" s="5">
        <f t="shared" si="36"/>
        <v>0.66666666666666663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7">
        <v>8</v>
      </c>
      <c r="E51" s="2"/>
      <c r="F51" s="6">
        <f t="shared" si="29"/>
        <v>4.2375350258754482E-5</v>
      </c>
      <c r="G51" s="2"/>
      <c r="H51" s="7">
        <v>8</v>
      </c>
      <c r="I51" s="2"/>
      <c r="J51" s="6">
        <f t="shared" si="30"/>
        <v>3.3805340398649479E-5</v>
      </c>
      <c r="K51" s="2"/>
      <c r="L51" s="7">
        <f t="shared" si="31"/>
        <v>0</v>
      </c>
      <c r="M51" s="2"/>
      <c r="N51" s="6">
        <f t="shared" si="32"/>
        <v>0</v>
      </c>
      <c r="O51" s="11"/>
      <c r="P51" s="7">
        <v>40</v>
      </c>
      <c r="Q51" s="2"/>
      <c r="R51" s="6">
        <f t="shared" si="33"/>
        <v>9.526992446619309E-5</v>
      </c>
      <c r="S51" s="2"/>
      <c r="T51" s="7">
        <v>24</v>
      </c>
      <c r="U51" s="2"/>
      <c r="V51" s="6">
        <f t="shared" si="34"/>
        <v>4.6654484662338167E-5</v>
      </c>
      <c r="W51" s="2"/>
      <c r="X51" s="7">
        <f t="shared" si="35"/>
        <v>16</v>
      </c>
      <c r="Y51" s="2"/>
      <c r="Z51" s="6">
        <f t="shared" si="36"/>
        <v>0.66666666666666663</v>
      </c>
    </row>
    <row r="52" spans="1:26" s="27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135</v>
      </c>
      <c r="I52" s="1"/>
      <c r="J52" s="5">
        <f t="shared" si="30"/>
        <v>5.7046511922720995E-4</v>
      </c>
      <c r="K52" s="1"/>
      <c r="L52" s="1">
        <f t="shared" si="31"/>
        <v>-135</v>
      </c>
      <c r="M52" s="1"/>
      <c r="N52" s="5">
        <f t="shared" si="32"/>
        <v>-1</v>
      </c>
      <c r="O52" s="14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540</v>
      </c>
      <c r="U52" s="1"/>
      <c r="V52" s="5">
        <f t="shared" si="34"/>
        <v>1.0497259049026088E-3</v>
      </c>
      <c r="W52" s="1"/>
      <c r="X52" s="1">
        <f t="shared" si="35"/>
        <v>-540</v>
      </c>
      <c r="Y52" s="1"/>
      <c r="Z52" s="5">
        <f t="shared" si="36"/>
        <v>-1</v>
      </c>
    </row>
    <row r="53" spans="1:26" s="24" customFormat="1" hidden="1" outlineLevel="2" x14ac:dyDescent="0.25">
      <c r="A53" s="28"/>
      <c r="B53" s="11" t="str">
        <f>CONCATENATE("          ", "6381", " - ", "BANK/CREDIT CARD FEES")</f>
        <v xml:space="preserve">          6381 - BANK/CREDIT CARD FEES</v>
      </c>
      <c r="C53" s="11"/>
      <c r="D53" s="7"/>
      <c r="E53" s="2"/>
      <c r="F53" s="6">
        <f t="shared" si="29"/>
        <v>0</v>
      </c>
      <c r="G53" s="2"/>
      <c r="H53" s="7">
        <v>135</v>
      </c>
      <c r="I53" s="2"/>
      <c r="J53" s="6">
        <f t="shared" si="30"/>
        <v>5.7046511922720995E-4</v>
      </c>
      <c r="K53" s="2"/>
      <c r="L53" s="7">
        <f t="shared" si="31"/>
        <v>-135</v>
      </c>
      <c r="M53" s="2"/>
      <c r="N53" s="6">
        <f t="shared" si="32"/>
        <v>-1</v>
      </c>
      <c r="O53" s="11"/>
      <c r="P53" s="7"/>
      <c r="Q53" s="2"/>
      <c r="R53" s="6">
        <f t="shared" si="33"/>
        <v>0</v>
      </c>
      <c r="S53" s="2"/>
      <c r="T53" s="7">
        <v>540</v>
      </c>
      <c r="U53" s="2"/>
      <c r="V53" s="6">
        <f t="shared" si="34"/>
        <v>1.0497259049026088E-3</v>
      </c>
      <c r="W53" s="2"/>
      <c r="X53" s="7">
        <f t="shared" si="35"/>
        <v>-540</v>
      </c>
      <c r="Y53" s="2"/>
      <c r="Z53" s="6">
        <f t="shared" si="36"/>
        <v>-1</v>
      </c>
    </row>
    <row r="54" spans="1:26" s="27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9"/>
        <v>1.4446816286965872E-3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272.74</v>
      </c>
      <c r="M54" s="1"/>
      <c r="N54" s="5">
        <f t="shared" si="32"/>
        <v>0</v>
      </c>
      <c r="O54" s="14"/>
      <c r="P54" s="1">
        <f>SUM(OSRRefP22_5x_0)</f>
        <v>826.74</v>
      </c>
      <c r="Q54" s="1"/>
      <c r="R54" s="5">
        <f t="shared" si="33"/>
        <v>1.9690864338295119E-3</v>
      </c>
      <c r="S54" s="1"/>
      <c r="T54" s="1">
        <f>SUM(OSRRefT22_5x_0)</f>
        <v>0</v>
      </c>
      <c r="U54" s="1"/>
      <c r="V54" s="5">
        <f t="shared" si="34"/>
        <v>0</v>
      </c>
      <c r="W54" s="1"/>
      <c r="X54" s="1">
        <f t="shared" si="35"/>
        <v>826.74</v>
      </c>
      <c r="Y54" s="1"/>
      <c r="Z54" s="5">
        <f t="shared" si="36"/>
        <v>0</v>
      </c>
    </row>
    <row r="55" spans="1:26" s="24" customFormat="1" hidden="1" outlineLevel="2" x14ac:dyDescent="0.25">
      <c r="A55" s="28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9"/>
        <v>1.4446816286965872E-3</v>
      </c>
      <c r="G55" s="2"/>
      <c r="H55" s="7"/>
      <c r="I55" s="2"/>
      <c r="J55" s="6">
        <f t="shared" si="30"/>
        <v>0</v>
      </c>
      <c r="K55" s="2"/>
      <c r="L55" s="7">
        <f t="shared" si="31"/>
        <v>272.74</v>
      </c>
      <c r="M55" s="2"/>
      <c r="N55" s="6">
        <f t="shared" si="32"/>
        <v>0</v>
      </c>
      <c r="O55" s="11"/>
      <c r="P55" s="7">
        <v>826.74</v>
      </c>
      <c r="Q55" s="2"/>
      <c r="R55" s="6">
        <f t="shared" si="33"/>
        <v>1.9690864338295119E-3</v>
      </c>
      <c r="S55" s="2"/>
      <c r="T55" s="7"/>
      <c r="U55" s="2"/>
      <c r="V55" s="6">
        <f t="shared" si="34"/>
        <v>0</v>
      </c>
      <c r="W55" s="2"/>
      <c r="X55" s="7">
        <f t="shared" si="35"/>
        <v>826.74</v>
      </c>
      <c r="Y55" s="2"/>
      <c r="Z55" s="6">
        <f t="shared" si="36"/>
        <v>0</v>
      </c>
    </row>
    <row r="56" spans="1:26" s="27" customFormat="1" outlineLevel="1" collapsed="1" x14ac:dyDescent="0.25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11110.09</v>
      </c>
      <c r="E56" s="1"/>
      <c r="F56" s="5">
        <f t="shared" si="29"/>
        <v>5.8849244394535698E-2</v>
      </c>
      <c r="G56" s="1"/>
      <c r="H56" s="1">
        <f>SUM(OSRRefH22_6x_0)</f>
        <v>4100</v>
      </c>
      <c r="I56" s="1"/>
      <c r="J56" s="5">
        <f t="shared" si="30"/>
        <v>1.7325236954307856E-2</v>
      </c>
      <c r="K56" s="1"/>
      <c r="L56" s="1">
        <f t="shared" si="31"/>
        <v>7010.09</v>
      </c>
      <c r="M56" s="1"/>
      <c r="N56" s="5">
        <f t="shared" si="32"/>
        <v>1.7097780487804879</v>
      </c>
      <c r="O56" s="14"/>
      <c r="P56" s="1">
        <f>SUM(OSRRefP22_6x_0)</f>
        <v>22220.18</v>
      </c>
      <c r="Q56" s="1"/>
      <c r="R56" s="5">
        <f t="shared" si="33"/>
        <v>5.292287175563036E-2</v>
      </c>
      <c r="S56" s="1"/>
      <c r="T56" s="1">
        <f>SUM(OSRRefT22_6x_0)</f>
        <v>10300</v>
      </c>
      <c r="U56" s="1"/>
      <c r="V56" s="5">
        <f t="shared" si="34"/>
        <v>2.0022549667586795E-2</v>
      </c>
      <c r="W56" s="1"/>
      <c r="X56" s="1">
        <f t="shared" si="35"/>
        <v>11920.18</v>
      </c>
      <c r="Y56" s="1"/>
      <c r="Z56" s="5">
        <f t="shared" si="36"/>
        <v>1.1572990291262135</v>
      </c>
    </row>
    <row r="57" spans="1:26" s="24" customFormat="1" hidden="1" outlineLevel="2" x14ac:dyDescent="0.25">
      <c r="A57" s="28"/>
      <c r="B57" s="11" t="str">
        <f>CONCATENATE("          ", "6399", " - ", "DONATION-ON CAMPUS")</f>
        <v xml:space="preserve">          6399 - DONATION-ON CAMPUS</v>
      </c>
      <c r="C57" s="11"/>
      <c r="D57" s="7">
        <v>11110.09</v>
      </c>
      <c r="E57" s="2"/>
      <c r="F57" s="6">
        <f t="shared" si="29"/>
        <v>5.8849244394535698E-2</v>
      </c>
      <c r="G57" s="2"/>
      <c r="H57" s="7">
        <v>4100</v>
      </c>
      <c r="I57" s="2"/>
      <c r="J57" s="6">
        <f t="shared" si="30"/>
        <v>1.7325236954307856E-2</v>
      </c>
      <c r="K57" s="2"/>
      <c r="L57" s="7">
        <f t="shared" si="31"/>
        <v>7010.09</v>
      </c>
      <c r="M57" s="2"/>
      <c r="N57" s="6">
        <f t="shared" si="32"/>
        <v>1.7097780487804879</v>
      </c>
      <c r="O57" s="11"/>
      <c r="P57" s="7">
        <v>22220.18</v>
      </c>
      <c r="Q57" s="2"/>
      <c r="R57" s="6">
        <f t="shared" si="33"/>
        <v>5.292287175563036E-2</v>
      </c>
      <c r="S57" s="2"/>
      <c r="T57" s="7">
        <v>10300</v>
      </c>
      <c r="U57" s="2"/>
      <c r="V57" s="6">
        <f t="shared" si="34"/>
        <v>2.0022549667586795E-2</v>
      </c>
      <c r="W57" s="2"/>
      <c r="X57" s="7">
        <f t="shared" si="35"/>
        <v>11920.18</v>
      </c>
      <c r="Y57" s="2"/>
      <c r="Z57" s="6">
        <f t="shared" si="36"/>
        <v>1.1572990291262135</v>
      </c>
    </row>
    <row r="58" spans="1:26" s="27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150</v>
      </c>
      <c r="I58" s="1"/>
      <c r="J58" s="5">
        <f t="shared" si="30"/>
        <v>6.3385013247467764E-4</v>
      </c>
      <c r="K58" s="1"/>
      <c r="L58" s="1">
        <f t="shared" si="31"/>
        <v>-150</v>
      </c>
      <c r="M58" s="1"/>
      <c r="N58" s="5">
        <f t="shared" si="32"/>
        <v>-1</v>
      </c>
      <c r="O58" s="14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450</v>
      </c>
      <c r="U58" s="1"/>
      <c r="V58" s="5">
        <f t="shared" si="34"/>
        <v>8.7477158741884067E-4</v>
      </c>
      <c r="W58" s="1"/>
      <c r="X58" s="1">
        <f t="shared" si="35"/>
        <v>-450</v>
      </c>
      <c r="Y58" s="1"/>
      <c r="Z58" s="5">
        <f t="shared" si="36"/>
        <v>-1</v>
      </c>
    </row>
    <row r="59" spans="1:26" s="24" customFormat="1" hidden="1" outlineLevel="2" x14ac:dyDescent="0.25">
      <c r="A59" s="28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9"/>
        <v>0</v>
      </c>
      <c r="G59" s="2"/>
      <c r="H59" s="7">
        <v>150</v>
      </c>
      <c r="I59" s="2"/>
      <c r="J59" s="6">
        <f t="shared" si="30"/>
        <v>6.3385013247467764E-4</v>
      </c>
      <c r="K59" s="2"/>
      <c r="L59" s="7">
        <f t="shared" si="31"/>
        <v>-150</v>
      </c>
      <c r="M59" s="2"/>
      <c r="N59" s="6">
        <f t="shared" si="32"/>
        <v>-1</v>
      </c>
      <c r="O59" s="11"/>
      <c r="P59" s="7"/>
      <c r="Q59" s="2"/>
      <c r="R59" s="6">
        <f t="shared" si="33"/>
        <v>0</v>
      </c>
      <c r="S59" s="2"/>
      <c r="T59" s="7">
        <v>450</v>
      </c>
      <c r="U59" s="2"/>
      <c r="V59" s="6">
        <f t="shared" si="34"/>
        <v>8.7477158741884067E-4</v>
      </c>
      <c r="W59" s="2"/>
      <c r="X59" s="7">
        <f t="shared" si="35"/>
        <v>-450</v>
      </c>
      <c r="Y59" s="2"/>
      <c r="Z59" s="6">
        <f t="shared" si="36"/>
        <v>-1</v>
      </c>
    </row>
    <row r="60" spans="1:26" s="27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245.6</v>
      </c>
      <c r="E60" s="1"/>
      <c r="F60" s="5">
        <f t="shared" si="29"/>
        <v>1.3009232529437626E-3</v>
      </c>
      <c r="G60" s="1"/>
      <c r="H60" s="1">
        <f>SUM(OSRRefH22_8x_0)</f>
        <v>290</v>
      </c>
      <c r="I60" s="1"/>
      <c r="J60" s="5">
        <f t="shared" si="30"/>
        <v>1.2254435894510436E-3</v>
      </c>
      <c r="K60" s="1"/>
      <c r="L60" s="1">
        <f t="shared" si="31"/>
        <v>-44.400000000000006</v>
      </c>
      <c r="M60" s="1"/>
      <c r="N60" s="5">
        <f t="shared" si="32"/>
        <v>-0.15310344827586209</v>
      </c>
      <c r="O60" s="14"/>
      <c r="P60" s="1">
        <f>SUM(OSRRefP22_8x_0)</f>
        <v>1281.3399999999999</v>
      </c>
      <c r="Q60" s="1"/>
      <c r="R60" s="5">
        <f t="shared" si="33"/>
        <v>3.0518291253877959E-3</v>
      </c>
      <c r="S60" s="1"/>
      <c r="T60" s="1">
        <f>SUM(OSRRefT22_8x_0)</f>
        <v>1160</v>
      </c>
      <c r="U60" s="1"/>
      <c r="V60" s="5">
        <f t="shared" si="34"/>
        <v>2.2549667586796783E-3</v>
      </c>
      <c r="W60" s="1"/>
      <c r="X60" s="1">
        <f t="shared" si="35"/>
        <v>121.33999999999992</v>
      </c>
      <c r="Y60" s="1"/>
      <c r="Z60" s="5">
        <f t="shared" si="36"/>
        <v>0.104603448275862</v>
      </c>
    </row>
    <row r="61" spans="1:26" s="24" customFormat="1" hidden="1" outlineLevel="2" x14ac:dyDescent="0.25">
      <c r="A61" s="28"/>
      <c r="B61" s="11" t="str">
        <f>CONCATENATE("          ", "6351", " - ", "EQUIPMENT RENTAL")</f>
        <v xml:space="preserve">          6351 - EQUIPMENT RENTAL</v>
      </c>
      <c r="C61" s="11"/>
      <c r="D61" s="7">
        <v>245.6</v>
      </c>
      <c r="E61" s="2"/>
      <c r="F61" s="6">
        <f t="shared" si="29"/>
        <v>1.3009232529437626E-3</v>
      </c>
      <c r="G61" s="2"/>
      <c r="H61" s="7">
        <v>290</v>
      </c>
      <c r="I61" s="2"/>
      <c r="J61" s="6">
        <f t="shared" si="30"/>
        <v>1.2254435894510436E-3</v>
      </c>
      <c r="K61" s="2"/>
      <c r="L61" s="7">
        <f t="shared" si="31"/>
        <v>-44.400000000000006</v>
      </c>
      <c r="M61" s="2"/>
      <c r="N61" s="6">
        <f t="shared" si="32"/>
        <v>-0.15310344827586209</v>
      </c>
      <c r="O61" s="11"/>
      <c r="P61" s="7">
        <v>1281.3399999999999</v>
      </c>
      <c r="Q61" s="2"/>
      <c r="R61" s="6">
        <f t="shared" si="33"/>
        <v>3.0518291253877959E-3</v>
      </c>
      <c r="S61" s="2"/>
      <c r="T61" s="7">
        <v>1160</v>
      </c>
      <c r="U61" s="2"/>
      <c r="V61" s="6">
        <f t="shared" si="34"/>
        <v>2.2549667586796783E-3</v>
      </c>
      <c r="W61" s="2"/>
      <c r="X61" s="7">
        <f t="shared" si="35"/>
        <v>121.33999999999992</v>
      </c>
      <c r="Y61" s="2"/>
      <c r="Z61" s="6">
        <f t="shared" si="36"/>
        <v>0.104603448275862</v>
      </c>
    </row>
    <row r="62" spans="1:26" s="27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270</v>
      </c>
      <c r="I62" s="1"/>
      <c r="J62" s="5">
        <f t="shared" si="30"/>
        <v>1.1409302384544199E-3</v>
      </c>
      <c r="K62" s="1"/>
      <c r="L62" s="1">
        <f t="shared" si="31"/>
        <v>-270</v>
      </c>
      <c r="M62" s="1"/>
      <c r="N62" s="5">
        <f t="shared" si="32"/>
        <v>-1</v>
      </c>
      <c r="O62" s="14"/>
      <c r="P62" s="1">
        <f>SUM(OSRRefP22_9x_0)</f>
        <v>1439.55</v>
      </c>
      <c r="Q62" s="1"/>
      <c r="R62" s="5">
        <f t="shared" si="33"/>
        <v>3.4286454941327062E-3</v>
      </c>
      <c r="S62" s="1"/>
      <c r="T62" s="1">
        <f>SUM(OSRRefT22_9x_0)</f>
        <v>2560</v>
      </c>
      <c r="U62" s="1"/>
      <c r="V62" s="5">
        <f t="shared" si="34"/>
        <v>4.9764783639827375E-3</v>
      </c>
      <c r="W62" s="1"/>
      <c r="X62" s="1">
        <f t="shared" si="35"/>
        <v>-1120.45</v>
      </c>
      <c r="Y62" s="1"/>
      <c r="Z62" s="5">
        <f t="shared" si="36"/>
        <v>-0.43767578125000001</v>
      </c>
    </row>
    <row r="63" spans="1:26" s="24" customFormat="1" hidden="1" outlineLevel="2" x14ac:dyDescent="0.25">
      <c r="A63" s="28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9"/>
        <v>0</v>
      </c>
      <c r="G63" s="2"/>
      <c r="H63" s="7">
        <v>270</v>
      </c>
      <c r="I63" s="2"/>
      <c r="J63" s="6">
        <f t="shared" si="30"/>
        <v>1.1409302384544199E-3</v>
      </c>
      <c r="K63" s="2"/>
      <c r="L63" s="7">
        <f t="shared" si="31"/>
        <v>-270</v>
      </c>
      <c r="M63" s="2"/>
      <c r="N63" s="6">
        <f t="shared" si="32"/>
        <v>-1</v>
      </c>
      <c r="O63" s="11"/>
      <c r="P63" s="7">
        <v>1439.55</v>
      </c>
      <c r="Q63" s="2"/>
      <c r="R63" s="6">
        <f t="shared" si="33"/>
        <v>3.4286454941327062E-3</v>
      </c>
      <c r="S63" s="2"/>
      <c r="T63" s="7">
        <v>2560</v>
      </c>
      <c r="U63" s="2"/>
      <c r="V63" s="6">
        <f t="shared" si="34"/>
        <v>4.9764783639827375E-3</v>
      </c>
      <c r="W63" s="2"/>
      <c r="X63" s="7">
        <f t="shared" si="35"/>
        <v>-1120.45</v>
      </c>
      <c r="Y63" s="2"/>
      <c r="Z63" s="6">
        <f t="shared" si="36"/>
        <v>-0.43767578125000001</v>
      </c>
    </row>
    <row r="64" spans="1:26" s="27" customFormat="1" outlineLevel="1" collapsed="1" x14ac:dyDescent="0.25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11623.19</v>
      </c>
      <c r="E64" s="1"/>
      <c r="F64" s="5">
        <f t="shared" si="29"/>
        <v>6.1567093421756564E-2</v>
      </c>
      <c r="G64" s="1"/>
      <c r="H64" s="1">
        <f>SUM(OSRRefH22_10x_0)</f>
        <v>18934</v>
      </c>
      <c r="I64" s="1"/>
      <c r="J64" s="5">
        <f t="shared" si="30"/>
        <v>8.0008789388503643E-2</v>
      </c>
      <c r="K64" s="1"/>
      <c r="L64" s="1">
        <f t="shared" si="31"/>
        <v>-7310.8099999999995</v>
      </c>
      <c r="M64" s="1"/>
      <c r="N64" s="5">
        <f t="shared" si="32"/>
        <v>-0.38612073518538076</v>
      </c>
      <c r="O64" s="14"/>
      <c r="P64" s="1">
        <f>SUM(OSRRefP22_10x_0)</f>
        <v>26805.030000000002</v>
      </c>
      <c r="Q64" s="1"/>
      <c r="R64" s="5">
        <f t="shared" si="33"/>
        <v>6.3842829585350994E-2</v>
      </c>
      <c r="S64" s="1"/>
      <c r="T64" s="1">
        <f>SUM(OSRRefT22_10x_0)</f>
        <v>41155</v>
      </c>
      <c r="U64" s="1"/>
      <c r="V64" s="5">
        <f t="shared" si="34"/>
        <v>8.0002721511605299E-2</v>
      </c>
      <c r="W64" s="1"/>
      <c r="X64" s="1">
        <f t="shared" si="35"/>
        <v>-14349.969999999998</v>
      </c>
      <c r="Y64" s="1"/>
      <c r="Z64" s="5">
        <f t="shared" si="36"/>
        <v>-0.34868108370793338</v>
      </c>
    </row>
    <row r="65" spans="1:26" s="24" customFormat="1" hidden="1" outlineLevel="2" x14ac:dyDescent="0.25">
      <c r="A65" s="28"/>
      <c r="B65" s="11" t="str">
        <f>CONCATENATE("          ", "6387", " - ", "COMMISSION DUE HOUSING")</f>
        <v xml:space="preserve">          6387 - COMMISSION DUE HOUSING</v>
      </c>
      <c r="C65" s="11"/>
      <c r="D65" s="7">
        <v>11623.19</v>
      </c>
      <c r="E65" s="2"/>
      <c r="F65" s="6">
        <f t="shared" si="29"/>
        <v>6.1567093421756564E-2</v>
      </c>
      <c r="G65" s="2"/>
      <c r="H65" s="7">
        <v>18934</v>
      </c>
      <c r="I65" s="2"/>
      <c r="J65" s="6">
        <f t="shared" si="30"/>
        <v>8.0008789388503643E-2</v>
      </c>
      <c r="K65" s="2"/>
      <c r="L65" s="7">
        <f t="shared" si="31"/>
        <v>-7310.8099999999995</v>
      </c>
      <c r="M65" s="2"/>
      <c r="N65" s="6">
        <f t="shared" si="32"/>
        <v>-0.38612073518538076</v>
      </c>
      <c r="O65" s="11"/>
      <c r="P65" s="7">
        <v>26805.030000000002</v>
      </c>
      <c r="Q65" s="2"/>
      <c r="R65" s="6">
        <f t="shared" si="33"/>
        <v>6.3842829585350994E-2</v>
      </c>
      <c r="S65" s="2"/>
      <c r="T65" s="7">
        <v>41155</v>
      </c>
      <c r="U65" s="2"/>
      <c r="V65" s="6">
        <f t="shared" si="34"/>
        <v>8.0002721511605299E-2</v>
      </c>
      <c r="W65" s="2"/>
      <c r="X65" s="7">
        <f t="shared" si="35"/>
        <v>-14349.969999999998</v>
      </c>
      <c r="Y65" s="2"/>
      <c r="Z65" s="6">
        <f t="shared" si="36"/>
        <v>-0.34868108370793338</v>
      </c>
    </row>
    <row r="66" spans="1:26" s="27" customFormat="1" outlineLevel="1" collapsed="1" x14ac:dyDescent="0.25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414.44</v>
      </c>
      <c r="E66" s="1"/>
      <c r="F66" s="5">
        <f t="shared" si="29"/>
        <v>2.195255020154776E-3</v>
      </c>
      <c r="G66" s="1"/>
      <c r="H66" s="1">
        <f>SUM(OSRRefH22_11x_0)</f>
        <v>288</v>
      </c>
      <c r="I66" s="1"/>
      <c r="J66" s="5">
        <f t="shared" si="30"/>
        <v>1.2169922543513812E-3</v>
      </c>
      <c r="K66" s="1"/>
      <c r="L66" s="1">
        <f t="shared" si="31"/>
        <v>126.44</v>
      </c>
      <c r="M66" s="1"/>
      <c r="N66" s="5">
        <f t="shared" si="32"/>
        <v>0.43902777777777779</v>
      </c>
      <c r="O66" s="14"/>
      <c r="P66" s="1">
        <f>SUM(OSRRefP22_11x_0)</f>
        <v>2098.12</v>
      </c>
      <c r="Q66" s="1"/>
      <c r="R66" s="5">
        <f t="shared" si="33"/>
        <v>4.9971933480252254E-3</v>
      </c>
      <c r="S66" s="1"/>
      <c r="T66" s="1">
        <f>SUM(OSRRefT22_11x_0)</f>
        <v>4235</v>
      </c>
      <c r="U66" s="1"/>
      <c r="V66" s="5">
        <f t="shared" si="34"/>
        <v>8.2325726060417555E-3</v>
      </c>
      <c r="W66" s="1"/>
      <c r="X66" s="1">
        <f t="shared" si="35"/>
        <v>-2136.88</v>
      </c>
      <c r="Y66" s="1"/>
      <c r="Z66" s="5">
        <f t="shared" si="36"/>
        <v>-0.5045761511216057</v>
      </c>
    </row>
    <row r="67" spans="1:26" s="24" customFormat="1" hidden="1" outlineLevel="2" x14ac:dyDescent="0.25">
      <c r="A67" s="28"/>
      <c r="B67" s="11" t="str">
        <f>CONCATENATE("          ", "6372", " - ", "COMPUTER HARDWARE MAINTENANCE")</f>
        <v xml:space="preserve">          6372 - COMPUTER HARDWARE MAINTENANCE</v>
      </c>
      <c r="C67" s="11"/>
      <c r="D67" s="7"/>
      <c r="E67" s="2"/>
      <c r="F67" s="6">
        <f t="shared" si="29"/>
        <v>0</v>
      </c>
      <c r="G67" s="2"/>
      <c r="H67" s="7"/>
      <c r="I67" s="2"/>
      <c r="J67" s="6">
        <f t="shared" si="30"/>
        <v>0</v>
      </c>
      <c r="K67" s="2"/>
      <c r="L67" s="7">
        <f t="shared" si="31"/>
        <v>0</v>
      </c>
      <c r="M67" s="2"/>
      <c r="N67" s="6">
        <f t="shared" si="32"/>
        <v>0</v>
      </c>
      <c r="O67" s="11"/>
      <c r="P67" s="7"/>
      <c r="Q67" s="2"/>
      <c r="R67" s="6">
        <f t="shared" si="33"/>
        <v>0</v>
      </c>
      <c r="S67" s="2"/>
      <c r="T67" s="7">
        <v>3083</v>
      </c>
      <c r="U67" s="2"/>
      <c r="V67" s="6">
        <f t="shared" si="34"/>
        <v>5.9931573422495237E-3</v>
      </c>
      <c r="W67" s="2"/>
      <c r="X67" s="7">
        <f t="shared" si="35"/>
        <v>-3083</v>
      </c>
      <c r="Y67" s="2"/>
      <c r="Z67" s="6">
        <f t="shared" si="36"/>
        <v>-1</v>
      </c>
    </row>
    <row r="68" spans="1:26" s="24" customFormat="1" hidden="1" outlineLevel="2" x14ac:dyDescent="0.25">
      <c r="A68" s="28"/>
      <c r="B68" s="11" t="str">
        <f>CONCATENATE("          ", "6373", " - ", "MAINTENANCE CONTRACTS")</f>
        <v xml:space="preserve">          6373 - MAINTENANCE CONTRACTS</v>
      </c>
      <c r="C68" s="11"/>
      <c r="D68" s="7">
        <v>17.82</v>
      </c>
      <c r="E68" s="2"/>
      <c r="F68" s="6">
        <f t="shared" si="29"/>
        <v>9.4391092701375613E-5</v>
      </c>
      <c r="G68" s="2"/>
      <c r="H68" s="7">
        <v>38</v>
      </c>
      <c r="I68" s="2"/>
      <c r="J68" s="6">
        <f t="shared" si="30"/>
        <v>1.6057536689358503E-4</v>
      </c>
      <c r="K68" s="2"/>
      <c r="L68" s="7">
        <f t="shared" si="31"/>
        <v>-20.18</v>
      </c>
      <c r="M68" s="2"/>
      <c r="N68" s="6">
        <f t="shared" si="32"/>
        <v>-0.53105263157894733</v>
      </c>
      <c r="O68" s="11"/>
      <c r="P68" s="7">
        <v>1496.5</v>
      </c>
      <c r="Q68" s="2"/>
      <c r="R68" s="6">
        <f t="shared" si="33"/>
        <v>3.5642860490914491E-3</v>
      </c>
      <c r="S68" s="2"/>
      <c r="T68" s="7">
        <v>152</v>
      </c>
      <c r="U68" s="2"/>
      <c r="V68" s="6">
        <f t="shared" si="34"/>
        <v>2.9547840286147503E-4</v>
      </c>
      <c r="W68" s="2"/>
      <c r="X68" s="7">
        <f t="shared" si="35"/>
        <v>1344.5</v>
      </c>
      <c r="Y68" s="2"/>
      <c r="Z68" s="6">
        <f t="shared" si="36"/>
        <v>8.8453947368421044</v>
      </c>
    </row>
    <row r="69" spans="1:26" s="24" customFormat="1" hidden="1" outlineLevel="2" x14ac:dyDescent="0.25">
      <c r="A69" s="28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396.62</v>
      </c>
      <c r="E69" s="2"/>
      <c r="F69" s="6">
        <f t="shared" si="29"/>
        <v>2.1008639274534002E-3</v>
      </c>
      <c r="G69" s="2"/>
      <c r="H69" s="7">
        <v>250</v>
      </c>
      <c r="I69" s="2"/>
      <c r="J69" s="6">
        <f t="shared" si="30"/>
        <v>1.0564168874577962E-3</v>
      </c>
      <c r="K69" s="2"/>
      <c r="L69" s="7">
        <f t="shared" si="31"/>
        <v>146.62</v>
      </c>
      <c r="M69" s="2"/>
      <c r="N69" s="6">
        <f t="shared" si="32"/>
        <v>0.58648</v>
      </c>
      <c r="O69" s="11"/>
      <c r="P69" s="7">
        <v>601.62</v>
      </c>
      <c r="Q69" s="2"/>
      <c r="R69" s="6">
        <f t="shared" si="33"/>
        <v>1.4329072989337772E-3</v>
      </c>
      <c r="S69" s="2"/>
      <c r="T69" s="7">
        <v>1000</v>
      </c>
      <c r="U69" s="2"/>
      <c r="V69" s="6">
        <f t="shared" si="34"/>
        <v>1.9439368609307569E-3</v>
      </c>
      <c r="W69" s="2"/>
      <c r="X69" s="7">
        <f t="shared" si="35"/>
        <v>-398.38</v>
      </c>
      <c r="Y69" s="2"/>
      <c r="Z69" s="6">
        <f t="shared" si="36"/>
        <v>-0.39838000000000001</v>
      </c>
    </row>
    <row r="70" spans="1:26" s="27" customFormat="1" outlineLevel="1" collapsed="1" x14ac:dyDescent="0.25">
      <c r="A70" s="29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5249.81</v>
      </c>
      <c r="E70" s="1"/>
      <c r="F70" s="5">
        <f t="shared" ref="F70:F73" si="37">IF(D$12=0,0,D70/D$12)</f>
        <v>2.7807817192738987E-2</v>
      </c>
      <c r="G70" s="1"/>
      <c r="H70" s="1">
        <f>SUM(OSRRefH22_12x_0)</f>
        <v>6221</v>
      </c>
      <c r="I70" s="1"/>
      <c r="J70" s="5">
        <f t="shared" ref="J70:J73" si="38">IF(H$12=0,0,H70/H$12)</f>
        <v>2.6287877827499799E-2</v>
      </c>
      <c r="K70" s="1"/>
      <c r="L70" s="1">
        <f t="shared" ref="L70:L73" si="39">+D70-H70</f>
        <v>-971.1899999999996</v>
      </c>
      <c r="M70" s="1"/>
      <c r="N70" s="5">
        <f t="shared" ref="N70:N73" si="40">IF(H70=0,0,L70/H70)</f>
        <v>-0.1561147725446069</v>
      </c>
      <c r="O70" s="14"/>
      <c r="P70" s="1">
        <f>SUM(OSRRefP22_12x_0)</f>
        <v>15956.92</v>
      </c>
      <c r="Q70" s="1"/>
      <c r="R70" s="5">
        <f t="shared" ref="R70:R73" si="41">IF(P$12=0,0,P70/P$12)</f>
        <v>3.8005364077827147E-2</v>
      </c>
      <c r="S70" s="1"/>
      <c r="T70" s="1">
        <f>SUM(OSRRefT22_12x_0)</f>
        <v>24884</v>
      </c>
      <c r="U70" s="1"/>
      <c r="V70" s="5">
        <f t="shared" ref="V70:V73" si="42">IF(T$12=0,0,T70/T$12)</f>
        <v>4.837292484740096E-2</v>
      </c>
      <c r="W70" s="1"/>
      <c r="X70" s="1">
        <f t="shared" ref="X70:X73" si="43">+P70-T70</f>
        <v>-8927.08</v>
      </c>
      <c r="Y70" s="1"/>
      <c r="Z70" s="5">
        <f t="shared" ref="Z70:Z73" si="44">IF(T70=0,0,X70/T70)</f>
        <v>-0.35874778974441407</v>
      </c>
    </row>
    <row r="71" spans="1:26" s="24" customFormat="1" hidden="1" outlineLevel="2" x14ac:dyDescent="0.25">
      <c r="A71" s="28"/>
      <c r="B71" s="11" t="str">
        <f>CONCATENATE("          ", "6282", " - ", "JANITORIAL/EXTERMINATOR EXPENS")</f>
        <v xml:space="preserve">          6282 - JANITORIAL/EXTERMINATOR EXPENS</v>
      </c>
      <c r="C71" s="11"/>
      <c r="D71" s="7"/>
      <c r="E71" s="2"/>
      <c r="F71" s="6">
        <f t="shared" si="37"/>
        <v>0</v>
      </c>
      <c r="G71" s="2"/>
      <c r="H71" s="7">
        <v>450</v>
      </c>
      <c r="I71" s="2"/>
      <c r="J71" s="6">
        <f t="shared" si="38"/>
        <v>1.901550397424033E-3</v>
      </c>
      <c r="K71" s="2"/>
      <c r="L71" s="7">
        <f t="shared" si="39"/>
        <v>-450</v>
      </c>
      <c r="M71" s="2"/>
      <c r="N71" s="6">
        <f t="shared" si="40"/>
        <v>-1</v>
      </c>
      <c r="O71" s="11"/>
      <c r="P71" s="7">
        <v>842.68</v>
      </c>
      <c r="Q71" s="2"/>
      <c r="R71" s="6">
        <f t="shared" si="41"/>
        <v>2.0070514987292898E-3</v>
      </c>
      <c r="S71" s="2"/>
      <c r="T71" s="7">
        <v>1800</v>
      </c>
      <c r="U71" s="2"/>
      <c r="V71" s="6">
        <f t="shared" si="42"/>
        <v>3.4990863496753627E-3</v>
      </c>
      <c r="W71" s="2"/>
      <c r="X71" s="7">
        <f t="shared" si="43"/>
        <v>-957.32</v>
      </c>
      <c r="Y71" s="2"/>
      <c r="Z71" s="6">
        <f t="shared" si="44"/>
        <v>-0.53184444444444445</v>
      </c>
    </row>
    <row r="72" spans="1:26" s="24" customFormat="1" hidden="1" outlineLevel="2" x14ac:dyDescent="0.25">
      <c r="A72" s="28"/>
      <c r="B72" s="11" t="str">
        <f>CONCATENATE("          ", "6285", " - ", "JANITORIAL SERVICES")</f>
        <v xml:space="preserve">          6285 - JANITORIAL SERVICES</v>
      </c>
      <c r="C72" s="11"/>
      <c r="D72" s="7">
        <v>4194.1000000000004</v>
      </c>
      <c r="E72" s="2"/>
      <c r="F72" s="6">
        <f t="shared" si="37"/>
        <v>2.2215807065030273E-2</v>
      </c>
      <c r="G72" s="2"/>
      <c r="H72" s="7">
        <v>4271</v>
      </c>
      <c r="I72" s="2"/>
      <c r="J72" s="6">
        <f t="shared" si="38"/>
        <v>1.8047826105328988E-2</v>
      </c>
      <c r="K72" s="2"/>
      <c r="L72" s="7">
        <f t="shared" si="39"/>
        <v>-76.899999999999636</v>
      </c>
      <c r="M72" s="2"/>
      <c r="N72" s="6">
        <f t="shared" si="40"/>
        <v>-1.8005151018496753E-2</v>
      </c>
      <c r="O72" s="11"/>
      <c r="P72" s="7">
        <v>11814.43</v>
      </c>
      <c r="Q72" s="2"/>
      <c r="R72" s="6">
        <f t="shared" si="41"/>
        <v>2.8138996342778142E-2</v>
      </c>
      <c r="S72" s="2"/>
      <c r="T72" s="7">
        <v>17084</v>
      </c>
      <c r="U72" s="2"/>
      <c r="V72" s="6">
        <f t="shared" si="42"/>
        <v>3.3210217332141051E-2</v>
      </c>
      <c r="W72" s="2"/>
      <c r="X72" s="7">
        <f t="shared" si="43"/>
        <v>-5269.57</v>
      </c>
      <c r="Y72" s="2"/>
      <c r="Z72" s="6">
        <f t="shared" si="44"/>
        <v>-0.30845059704987121</v>
      </c>
    </row>
    <row r="73" spans="1:26" s="24" customFormat="1" hidden="1" outlineLevel="2" x14ac:dyDescent="0.25">
      <c r="A73" s="28"/>
      <c r="B73" s="11" t="str">
        <f>CONCATENATE("          ", "6286", " - ", "LAUNDRY EXPENSE")</f>
        <v xml:space="preserve">          6286 - LAUNDRY EXPENSE</v>
      </c>
      <c r="C73" s="11"/>
      <c r="D73" s="7">
        <v>1055.71</v>
      </c>
      <c r="E73" s="2"/>
      <c r="F73" s="6">
        <f t="shared" si="37"/>
        <v>5.5920101277087122E-3</v>
      </c>
      <c r="G73" s="2"/>
      <c r="H73" s="7">
        <v>1500</v>
      </c>
      <c r="I73" s="2"/>
      <c r="J73" s="6">
        <f t="shared" si="38"/>
        <v>6.3385013247467771E-3</v>
      </c>
      <c r="K73" s="2"/>
      <c r="L73" s="7">
        <f t="shared" si="39"/>
        <v>-444.28999999999996</v>
      </c>
      <c r="M73" s="2"/>
      <c r="N73" s="6">
        <f t="shared" si="40"/>
        <v>-0.29619333333333331</v>
      </c>
      <c r="O73" s="11"/>
      <c r="P73" s="7">
        <v>3299.81</v>
      </c>
      <c r="Q73" s="2"/>
      <c r="R73" s="6">
        <f t="shared" si="41"/>
        <v>7.8593162363197154E-3</v>
      </c>
      <c r="S73" s="2"/>
      <c r="T73" s="7">
        <v>6000</v>
      </c>
      <c r="U73" s="2"/>
      <c r="V73" s="6">
        <f t="shared" si="42"/>
        <v>1.1663621165584542E-2</v>
      </c>
      <c r="W73" s="2"/>
      <c r="X73" s="7">
        <f t="shared" si="43"/>
        <v>-2700.19</v>
      </c>
      <c r="Y73" s="2"/>
      <c r="Z73" s="6">
        <f t="shared" si="44"/>
        <v>-0.45003166666666666</v>
      </c>
    </row>
    <row r="74" spans="1:26" s="27" customFormat="1" outlineLevel="1" collapsed="1" x14ac:dyDescent="0.25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19578.689999999999</v>
      </c>
      <c r="E74" s="1"/>
      <c r="F74" s="5">
        <f t="shared" ref="F74:F83" si="45">IF(D$12=0,0,D74/D$12)</f>
        <v>0.10370673079469672</v>
      </c>
      <c r="G74" s="1"/>
      <c r="H74" s="1">
        <f>SUM(OSRRefH22_13x_0)</f>
        <v>8098</v>
      </c>
      <c r="I74" s="1"/>
      <c r="J74" s="5">
        <f t="shared" ref="J74:J83" si="46">IF(H$12=0,0,H74/H$12)</f>
        <v>3.4219455818532932E-2</v>
      </c>
      <c r="K74" s="1"/>
      <c r="L74" s="1">
        <f t="shared" ref="L74:L83" si="47">+D74-H74</f>
        <v>11480.689999999999</v>
      </c>
      <c r="M74" s="1"/>
      <c r="N74" s="5">
        <f t="shared" ref="N74:N83" si="48">IF(H74=0,0,L74/H74)</f>
        <v>1.4177191899234378</v>
      </c>
      <c r="O74" s="14"/>
      <c r="P74" s="1">
        <f>SUM(OSRRefP22_13x_0)</f>
        <v>41630.160000000003</v>
      </c>
      <c r="Q74" s="1"/>
      <c r="R74" s="5">
        <f t="shared" ref="R74:R83" si="49">IF(P$12=0,0,P74/P$12)</f>
        <v>9.9152554967888329E-2</v>
      </c>
      <c r="S74" s="1"/>
      <c r="T74" s="1">
        <f>SUM(OSRRefT22_13x_0)</f>
        <v>25214</v>
      </c>
      <c r="U74" s="1"/>
      <c r="V74" s="5">
        <f t="shared" ref="V74:V83" si="50">IF(T$12=0,0,T74/T$12)</f>
        <v>4.9014424011508108E-2</v>
      </c>
      <c r="W74" s="1"/>
      <c r="X74" s="1">
        <f t="shared" ref="X74:X83" si="51">+P74-T74</f>
        <v>16416.160000000003</v>
      </c>
      <c r="Y74" s="1"/>
      <c r="Z74" s="5">
        <f t="shared" ref="Z74:Z83" si="52">IF(T74=0,0,X74/T74)</f>
        <v>0.65107321329420176</v>
      </c>
    </row>
    <row r="75" spans="1:26" s="24" customFormat="1" hidden="1" outlineLevel="2" x14ac:dyDescent="0.25">
      <c r="A75" s="28"/>
      <c r="B75" s="11" t="str">
        <f>CONCATENATE("          ", "6235", " - ", "COVID-19 EXPENSES")</f>
        <v xml:space="preserve">          6235 - COVID-19 EXPENSES</v>
      </c>
      <c r="C75" s="11"/>
      <c r="D75" s="7">
        <v>13495.55</v>
      </c>
      <c r="E75" s="2"/>
      <c r="F75" s="6">
        <f t="shared" si="45"/>
        <v>7.1484832273066748E-2</v>
      </c>
      <c r="G75" s="2"/>
      <c r="H75" s="7">
        <v>4000</v>
      </c>
      <c r="I75" s="2"/>
      <c r="J75" s="6">
        <f t="shared" si="46"/>
        <v>1.6902670199324739E-2</v>
      </c>
      <c r="K75" s="2"/>
      <c r="L75" s="7">
        <f t="shared" si="47"/>
        <v>9495.5499999999993</v>
      </c>
      <c r="M75" s="2"/>
      <c r="N75" s="6">
        <f t="shared" si="48"/>
        <v>2.3738874999999999</v>
      </c>
      <c r="O75" s="11"/>
      <c r="P75" s="7">
        <v>24772.37</v>
      </c>
      <c r="Q75" s="2"/>
      <c r="R75" s="6">
        <f t="shared" si="49"/>
        <v>5.9001545468714688E-2</v>
      </c>
      <c r="S75" s="2"/>
      <c r="T75" s="7">
        <v>12000</v>
      </c>
      <c r="U75" s="2"/>
      <c r="V75" s="6">
        <f t="shared" si="50"/>
        <v>2.3327242331169083E-2</v>
      </c>
      <c r="W75" s="2"/>
      <c r="X75" s="7">
        <f t="shared" si="51"/>
        <v>12772.369999999999</v>
      </c>
      <c r="Y75" s="2"/>
      <c r="Z75" s="6">
        <f t="shared" si="52"/>
        <v>1.0643641666666666</v>
      </c>
    </row>
    <row r="76" spans="1:26" s="24" customFormat="1" hidden="1" outlineLevel="2" x14ac:dyDescent="0.25">
      <c r="A76" s="28"/>
      <c r="B76" s="11" t="str">
        <f>CONCATENATE("          ", "6237", " - ", "JANITORIAL SUPPLIES")</f>
        <v xml:space="preserve">          6237 - JANITORIAL SUPPLIES</v>
      </c>
      <c r="C76" s="11"/>
      <c r="D76" s="7">
        <v>1798.45</v>
      </c>
      <c r="E76" s="2"/>
      <c r="F76" s="6">
        <f t="shared" si="45"/>
        <v>9.5262435841071257E-3</v>
      </c>
      <c r="G76" s="2"/>
      <c r="H76" s="7">
        <v>3000</v>
      </c>
      <c r="I76" s="2"/>
      <c r="J76" s="6">
        <f t="shared" si="46"/>
        <v>1.2677002649493554E-2</v>
      </c>
      <c r="K76" s="2"/>
      <c r="L76" s="7">
        <f t="shared" si="47"/>
        <v>-1201.55</v>
      </c>
      <c r="M76" s="2"/>
      <c r="N76" s="6">
        <f t="shared" si="48"/>
        <v>-0.40051666666666663</v>
      </c>
      <c r="O76" s="11"/>
      <c r="P76" s="7">
        <v>5341.17</v>
      </c>
      <c r="Q76" s="2"/>
      <c r="R76" s="6">
        <f t="shared" si="49"/>
        <v>1.2721321561527414E-2</v>
      </c>
      <c r="S76" s="2"/>
      <c r="T76" s="7">
        <v>9000</v>
      </c>
      <c r="U76" s="2"/>
      <c r="V76" s="6">
        <f t="shared" si="50"/>
        <v>1.7495431748376814E-2</v>
      </c>
      <c r="W76" s="2"/>
      <c r="X76" s="7">
        <f t="shared" si="51"/>
        <v>-3658.83</v>
      </c>
      <c r="Y76" s="2"/>
      <c r="Z76" s="6">
        <f t="shared" si="52"/>
        <v>-0.40653666666666666</v>
      </c>
    </row>
    <row r="77" spans="1:26" s="24" customFormat="1" hidden="1" outlineLevel="2" x14ac:dyDescent="0.25">
      <c r="A77" s="28"/>
      <c r="B77" s="11" t="str">
        <f>CONCATENATE("          ", "6239", " - ", "KITCHEN SUPPLIES")</f>
        <v xml:space="preserve">          6239 - KITCHEN SUPPLIES</v>
      </c>
      <c r="C77" s="11"/>
      <c r="D77" s="7">
        <v>1244.3599999999999</v>
      </c>
      <c r="E77" s="2"/>
      <c r="F77" s="6">
        <f t="shared" si="45"/>
        <v>6.5912738559979651E-3</v>
      </c>
      <c r="G77" s="2"/>
      <c r="H77" s="7">
        <v>500</v>
      </c>
      <c r="I77" s="2"/>
      <c r="J77" s="6">
        <f t="shared" si="46"/>
        <v>2.1128337749155924E-3</v>
      </c>
      <c r="K77" s="2"/>
      <c r="L77" s="7">
        <f t="shared" si="47"/>
        <v>744.3599999999999</v>
      </c>
      <c r="M77" s="2"/>
      <c r="N77" s="6">
        <f t="shared" si="48"/>
        <v>1.4887199999999998</v>
      </c>
      <c r="O77" s="11"/>
      <c r="P77" s="7">
        <v>3140.61</v>
      </c>
      <c r="Q77" s="2"/>
      <c r="R77" s="6">
        <f t="shared" si="49"/>
        <v>7.480141936944267E-3</v>
      </c>
      <c r="S77" s="2"/>
      <c r="T77" s="7">
        <v>1500</v>
      </c>
      <c r="U77" s="2"/>
      <c r="V77" s="6">
        <f t="shared" si="50"/>
        <v>2.9159052913961354E-3</v>
      </c>
      <c r="W77" s="2"/>
      <c r="X77" s="7">
        <f t="shared" si="51"/>
        <v>1640.6100000000001</v>
      </c>
      <c r="Y77" s="2"/>
      <c r="Z77" s="6">
        <f t="shared" si="52"/>
        <v>1.0937400000000002</v>
      </c>
    </row>
    <row r="78" spans="1:26" s="24" customFormat="1" hidden="1" outlineLevel="2" x14ac:dyDescent="0.25">
      <c r="A78" s="28"/>
      <c r="B78" s="11" t="str">
        <f>CONCATENATE("          ", "6241", " - ", "OFFICE EXPENSE")</f>
        <v xml:space="preserve">          6241 - OFFICE EXPENSE</v>
      </c>
      <c r="C78" s="11"/>
      <c r="D78" s="7">
        <v>407.69</v>
      </c>
      <c r="E78" s="2"/>
      <c r="F78" s="6">
        <f t="shared" si="45"/>
        <v>2.1595008183739519E-3</v>
      </c>
      <c r="G78" s="2"/>
      <c r="H78" s="7">
        <v>150</v>
      </c>
      <c r="I78" s="2"/>
      <c r="J78" s="6">
        <f t="shared" si="46"/>
        <v>6.3385013247467764E-4</v>
      </c>
      <c r="K78" s="2"/>
      <c r="L78" s="7">
        <f t="shared" si="47"/>
        <v>257.69</v>
      </c>
      <c r="M78" s="2"/>
      <c r="N78" s="6">
        <f t="shared" si="48"/>
        <v>1.7179333333333333</v>
      </c>
      <c r="O78" s="11"/>
      <c r="P78" s="7">
        <v>1278.07</v>
      </c>
      <c r="Q78" s="2"/>
      <c r="R78" s="6">
        <f t="shared" si="49"/>
        <v>3.0440408090626849E-3</v>
      </c>
      <c r="S78" s="2"/>
      <c r="T78" s="7">
        <v>600</v>
      </c>
      <c r="U78" s="2"/>
      <c r="V78" s="6">
        <f t="shared" si="50"/>
        <v>1.1663621165584541E-3</v>
      </c>
      <c r="W78" s="2"/>
      <c r="X78" s="7">
        <f t="shared" si="51"/>
        <v>678.06999999999994</v>
      </c>
      <c r="Y78" s="2"/>
      <c r="Z78" s="6">
        <f t="shared" si="52"/>
        <v>1.1301166666666667</v>
      </c>
    </row>
    <row r="79" spans="1:26" s="24" customFormat="1" hidden="1" outlineLevel="2" x14ac:dyDescent="0.25">
      <c r="A79" s="28"/>
      <c r="B79" s="11" t="str">
        <f>CONCATENATE("          ", "6243", " - ", "PAPER SUPPLIES")</f>
        <v xml:space="preserve">          6243 - PAPER SUPPLIES</v>
      </c>
      <c r="C79" s="11"/>
      <c r="D79" s="7">
        <v>2632.64</v>
      </c>
      <c r="E79" s="2"/>
      <c r="F79" s="6">
        <f t="shared" si="45"/>
        <v>1.3944880263150924E-2</v>
      </c>
      <c r="G79" s="2"/>
      <c r="H79" s="7"/>
      <c r="I79" s="2"/>
      <c r="J79" s="6">
        <f t="shared" si="46"/>
        <v>0</v>
      </c>
      <c r="K79" s="2"/>
      <c r="L79" s="7">
        <f t="shared" si="47"/>
        <v>2632.64</v>
      </c>
      <c r="M79" s="2"/>
      <c r="N79" s="6">
        <f t="shared" si="48"/>
        <v>0</v>
      </c>
      <c r="O79" s="11"/>
      <c r="P79" s="7">
        <v>3283.26</v>
      </c>
      <c r="Q79" s="2"/>
      <c r="R79" s="6">
        <f t="shared" si="49"/>
        <v>7.8198983050718276E-3</v>
      </c>
      <c r="S79" s="2"/>
      <c r="T79" s="7"/>
      <c r="U79" s="2"/>
      <c r="V79" s="6">
        <f t="shared" si="50"/>
        <v>0</v>
      </c>
      <c r="W79" s="2"/>
      <c r="X79" s="7">
        <f t="shared" si="51"/>
        <v>3283.26</v>
      </c>
      <c r="Y79" s="2"/>
      <c r="Z79" s="6">
        <f t="shared" si="52"/>
        <v>0</v>
      </c>
    </row>
    <row r="80" spans="1:26" s="24" customFormat="1" hidden="1" outlineLevel="2" x14ac:dyDescent="0.25">
      <c r="A80" s="28"/>
      <c r="B80" s="11" t="str">
        <f>CONCATENATE("          ", "6244", " - ", "SAFETY SUPPLY EXPENSE")</f>
        <v xml:space="preserve">          6244 - SAFETY SUPPLY EXPENSE</v>
      </c>
      <c r="C80" s="11"/>
      <c r="D80" s="7"/>
      <c r="E80" s="2"/>
      <c r="F80" s="6">
        <f t="shared" si="45"/>
        <v>0</v>
      </c>
      <c r="G80" s="2"/>
      <c r="H80" s="7">
        <v>80</v>
      </c>
      <c r="I80" s="2"/>
      <c r="J80" s="6">
        <f t="shared" si="46"/>
        <v>3.3805340398649475E-4</v>
      </c>
      <c r="K80" s="2"/>
      <c r="L80" s="7">
        <f t="shared" si="47"/>
        <v>-80</v>
      </c>
      <c r="M80" s="2"/>
      <c r="N80" s="6">
        <f t="shared" si="48"/>
        <v>-1</v>
      </c>
      <c r="O80" s="11"/>
      <c r="P80" s="7"/>
      <c r="Q80" s="2"/>
      <c r="R80" s="6">
        <f t="shared" si="49"/>
        <v>0</v>
      </c>
      <c r="S80" s="2"/>
      <c r="T80" s="7">
        <v>160</v>
      </c>
      <c r="U80" s="2"/>
      <c r="V80" s="6">
        <f t="shared" si="50"/>
        <v>3.1102989774892109E-4</v>
      </c>
      <c r="W80" s="2"/>
      <c r="X80" s="7">
        <f t="shared" si="51"/>
        <v>-160</v>
      </c>
      <c r="Y80" s="2"/>
      <c r="Z80" s="6">
        <f t="shared" si="52"/>
        <v>-1</v>
      </c>
    </row>
    <row r="81" spans="1:26" s="24" customFormat="1" hidden="1" outlineLevel="2" x14ac:dyDescent="0.25">
      <c r="A81" s="28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45"/>
        <v>0</v>
      </c>
      <c r="G81" s="2"/>
      <c r="H81" s="7"/>
      <c r="I81" s="2"/>
      <c r="J81" s="6">
        <f t="shared" si="46"/>
        <v>0</v>
      </c>
      <c r="K81" s="2"/>
      <c r="L81" s="7">
        <f t="shared" si="47"/>
        <v>0</v>
      </c>
      <c r="M81" s="2"/>
      <c r="N81" s="6">
        <f t="shared" si="48"/>
        <v>0</v>
      </c>
      <c r="O81" s="11"/>
      <c r="P81" s="7"/>
      <c r="Q81" s="2"/>
      <c r="R81" s="6">
        <f t="shared" si="49"/>
        <v>0</v>
      </c>
      <c r="S81" s="2"/>
      <c r="T81" s="7">
        <v>500</v>
      </c>
      <c r="U81" s="2"/>
      <c r="V81" s="6">
        <f t="shared" si="50"/>
        <v>9.7196843046537843E-4</v>
      </c>
      <c r="W81" s="2"/>
      <c r="X81" s="7">
        <f t="shared" si="51"/>
        <v>-500</v>
      </c>
      <c r="Y81" s="2"/>
      <c r="Z81" s="6">
        <f t="shared" si="52"/>
        <v>-1</v>
      </c>
    </row>
    <row r="82" spans="1:26" s="24" customFormat="1" hidden="1" outlineLevel="2" x14ac:dyDescent="0.25">
      <c r="A82" s="28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45"/>
        <v>0</v>
      </c>
      <c r="G82" s="2"/>
      <c r="H82" s="7">
        <v>18</v>
      </c>
      <c r="I82" s="2"/>
      <c r="J82" s="6">
        <f t="shared" si="46"/>
        <v>7.6062015896961324E-5</v>
      </c>
      <c r="K82" s="2"/>
      <c r="L82" s="7">
        <f t="shared" si="47"/>
        <v>-18</v>
      </c>
      <c r="M82" s="2"/>
      <c r="N82" s="6">
        <f t="shared" si="48"/>
        <v>-1</v>
      </c>
      <c r="O82" s="11"/>
      <c r="P82" s="7"/>
      <c r="Q82" s="2"/>
      <c r="R82" s="6">
        <f t="shared" si="49"/>
        <v>0</v>
      </c>
      <c r="S82" s="2"/>
      <c r="T82" s="7">
        <v>54</v>
      </c>
      <c r="U82" s="2"/>
      <c r="V82" s="6">
        <f t="shared" si="50"/>
        <v>1.0497259049026088E-4</v>
      </c>
      <c r="W82" s="2"/>
      <c r="X82" s="7">
        <f t="shared" si="51"/>
        <v>-54</v>
      </c>
      <c r="Y82" s="2"/>
      <c r="Z82" s="6">
        <f t="shared" si="52"/>
        <v>-1</v>
      </c>
    </row>
    <row r="83" spans="1:26" s="24" customFormat="1" hidden="1" outlineLevel="2" x14ac:dyDescent="0.25">
      <c r="A83" s="28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45"/>
        <v>0</v>
      </c>
      <c r="G83" s="2"/>
      <c r="H83" s="7">
        <v>350</v>
      </c>
      <c r="I83" s="2"/>
      <c r="J83" s="6">
        <f t="shared" si="46"/>
        <v>1.4789836424409146E-3</v>
      </c>
      <c r="K83" s="2"/>
      <c r="L83" s="7">
        <f t="shared" si="47"/>
        <v>-350</v>
      </c>
      <c r="M83" s="2"/>
      <c r="N83" s="6">
        <f t="shared" si="48"/>
        <v>-1</v>
      </c>
      <c r="O83" s="11"/>
      <c r="P83" s="7">
        <v>3814.68</v>
      </c>
      <c r="Q83" s="2"/>
      <c r="R83" s="6">
        <f t="shared" si="49"/>
        <v>9.0856068865674353E-3</v>
      </c>
      <c r="S83" s="2"/>
      <c r="T83" s="7">
        <v>1400</v>
      </c>
      <c r="U83" s="2"/>
      <c r="V83" s="6">
        <f t="shared" si="50"/>
        <v>2.7215116053030597E-3</v>
      </c>
      <c r="W83" s="2"/>
      <c r="X83" s="7">
        <f t="shared" si="51"/>
        <v>2414.6799999999998</v>
      </c>
      <c r="Y83" s="2"/>
      <c r="Z83" s="6">
        <f t="shared" si="52"/>
        <v>1.7247714285714284</v>
      </c>
    </row>
    <row r="84" spans="1:26" s="27" customFormat="1" outlineLevel="1" collapsed="1" x14ac:dyDescent="0.25">
      <c r="A84" s="29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SUM(OSRRefD22_14x_0)</f>
        <v>259</v>
      </c>
      <c r="E84" s="1"/>
      <c r="F84" s="5">
        <f t="shared" ref="F84:F86" si="53">IF(D$12=0,0,D84/D$12)</f>
        <v>1.3719019646271763E-3</v>
      </c>
      <c r="G84" s="1"/>
      <c r="H84" s="1">
        <f>SUM(OSRRefH22_14x_0)</f>
        <v>310</v>
      </c>
      <c r="I84" s="1"/>
      <c r="J84" s="5">
        <f t="shared" ref="J84:J86" si="54">IF(H$12=0,0,H84/H$12)</f>
        <v>1.3099569404476671E-3</v>
      </c>
      <c r="K84" s="1"/>
      <c r="L84" s="1">
        <f t="shared" ref="L84:L86" si="55">+D84-H84</f>
        <v>-51</v>
      </c>
      <c r="M84" s="1"/>
      <c r="N84" s="5">
        <f t="shared" ref="N84:N86" si="56">IF(H84=0,0,L84/H84)</f>
        <v>-0.16451612903225807</v>
      </c>
      <c r="O84" s="14"/>
      <c r="P84" s="1">
        <f>SUM(OSRRefP22_14x_0)</f>
        <v>1187</v>
      </c>
      <c r="Q84" s="1"/>
      <c r="R84" s="5">
        <f t="shared" ref="R84:R86" si="57">IF(P$12=0,0,P84/P$12)</f>
        <v>2.8271350085342798E-3</v>
      </c>
      <c r="S84" s="1"/>
      <c r="T84" s="1">
        <f>SUM(OSRRefT22_14x_0)</f>
        <v>1240</v>
      </c>
      <c r="U84" s="1"/>
      <c r="V84" s="5">
        <f t="shared" ref="V84:V86" si="58">IF(T$12=0,0,T84/T$12)</f>
        <v>2.4104817075541385E-3</v>
      </c>
      <c r="W84" s="1"/>
      <c r="X84" s="1">
        <f t="shared" ref="X84:X86" si="59">+P84-T84</f>
        <v>-53</v>
      </c>
      <c r="Y84" s="1"/>
      <c r="Z84" s="5">
        <f t="shared" ref="Z84:Z86" si="60">IF(T84=0,0,X84/T84)</f>
        <v>-4.2741935483870966E-2</v>
      </c>
    </row>
    <row r="85" spans="1:26" s="24" customFormat="1" hidden="1" outlineLevel="2" x14ac:dyDescent="0.25">
      <c r="A85" s="28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53"/>
        <v>0</v>
      </c>
      <c r="G85" s="2"/>
      <c r="H85" s="7">
        <v>310</v>
      </c>
      <c r="I85" s="2"/>
      <c r="J85" s="6">
        <f t="shared" si="54"/>
        <v>1.3099569404476671E-3</v>
      </c>
      <c r="K85" s="2"/>
      <c r="L85" s="7">
        <f t="shared" si="55"/>
        <v>-310</v>
      </c>
      <c r="M85" s="2"/>
      <c r="N85" s="6">
        <f t="shared" si="56"/>
        <v>-1</v>
      </c>
      <c r="O85" s="11"/>
      <c r="P85" s="7"/>
      <c r="Q85" s="2"/>
      <c r="R85" s="6">
        <f t="shared" si="57"/>
        <v>0</v>
      </c>
      <c r="S85" s="2"/>
      <c r="T85" s="7">
        <v>1240</v>
      </c>
      <c r="U85" s="2"/>
      <c r="V85" s="6">
        <f t="shared" si="58"/>
        <v>2.4104817075541385E-3</v>
      </c>
      <c r="W85" s="2"/>
      <c r="X85" s="7">
        <f t="shared" si="59"/>
        <v>-1240</v>
      </c>
      <c r="Y85" s="2"/>
      <c r="Z85" s="6">
        <f t="shared" si="60"/>
        <v>-1</v>
      </c>
    </row>
    <row r="86" spans="1:26" s="24" customFormat="1" hidden="1" outlineLevel="2" x14ac:dyDescent="0.25">
      <c r="A86" s="28"/>
      <c r="B86" s="11" t="str">
        <f>CONCATENATE("          ", "6309", " - ", "TELEPHONE")</f>
        <v xml:space="preserve">          6309 - TELEPHONE</v>
      </c>
      <c r="C86" s="11"/>
      <c r="D86" s="7">
        <v>259</v>
      </c>
      <c r="E86" s="2"/>
      <c r="F86" s="6">
        <f t="shared" si="53"/>
        <v>1.3719019646271763E-3</v>
      </c>
      <c r="G86" s="2"/>
      <c r="H86" s="7"/>
      <c r="I86" s="2"/>
      <c r="J86" s="6">
        <f t="shared" si="54"/>
        <v>0</v>
      </c>
      <c r="K86" s="2"/>
      <c r="L86" s="7">
        <f t="shared" si="55"/>
        <v>259</v>
      </c>
      <c r="M86" s="2"/>
      <c r="N86" s="6">
        <f t="shared" si="56"/>
        <v>0</v>
      </c>
      <c r="O86" s="11"/>
      <c r="P86" s="7">
        <v>1187</v>
      </c>
      <c r="Q86" s="2"/>
      <c r="R86" s="6">
        <f t="shared" si="57"/>
        <v>2.8271350085342798E-3</v>
      </c>
      <c r="S86" s="2"/>
      <c r="T86" s="7"/>
      <c r="U86" s="2"/>
      <c r="V86" s="6">
        <f t="shared" si="58"/>
        <v>0</v>
      </c>
      <c r="W86" s="2"/>
      <c r="X86" s="7">
        <f t="shared" si="59"/>
        <v>1187</v>
      </c>
      <c r="Y86" s="2"/>
      <c r="Z86" s="6">
        <f t="shared" si="60"/>
        <v>0</v>
      </c>
    </row>
    <row r="87" spans="1:26" s="27" customFormat="1" outlineLevel="1" collapsed="1" x14ac:dyDescent="0.25">
      <c r="A87" s="29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SUM(OSRRefD22_15x_0)</f>
        <v>385</v>
      </c>
      <c r="E87" s="1"/>
      <c r="F87" s="5">
        <f t="shared" ref="F87:F88" si="61">IF(D$12=0,0,D87/D$12)</f>
        <v>2.0393137312025595E-3</v>
      </c>
      <c r="G87" s="1"/>
      <c r="H87" s="1">
        <f>SUM(OSRRefH22_15x_0)</f>
        <v>350</v>
      </c>
      <c r="I87" s="1"/>
      <c r="J87" s="5">
        <f t="shared" ref="J87:J88" si="62">IF(H$12=0,0,H87/H$12)</f>
        <v>1.4789836424409146E-3</v>
      </c>
      <c r="K87" s="1"/>
      <c r="L87" s="1">
        <f t="shared" ref="L87:L88" si="63">+D87-H87</f>
        <v>35</v>
      </c>
      <c r="M87" s="1"/>
      <c r="N87" s="5">
        <f t="shared" ref="N87:N88" si="64">IF(H87=0,0,L87/H87)</f>
        <v>0.1</v>
      </c>
      <c r="O87" s="14"/>
      <c r="P87" s="1">
        <f>SUM(OSRRefP22_15x_0)</f>
        <v>735</v>
      </c>
      <c r="Q87" s="1"/>
      <c r="R87" s="5">
        <f t="shared" ref="R87:R88" si="65">IF(P$12=0,0,P87/P$12)</f>
        <v>1.750584862066298E-3</v>
      </c>
      <c r="S87" s="1"/>
      <c r="T87" s="1">
        <f>SUM(OSRRefT22_15x_0)</f>
        <v>1050</v>
      </c>
      <c r="U87" s="1"/>
      <c r="V87" s="5">
        <f t="shared" ref="V87:V88" si="66">IF(T$12=0,0,T87/T$12)</f>
        <v>2.041133703977295E-3</v>
      </c>
      <c r="W87" s="1"/>
      <c r="X87" s="1">
        <f t="shared" ref="X87:X88" si="67">+P87-T87</f>
        <v>-315</v>
      </c>
      <c r="Y87" s="1"/>
      <c r="Z87" s="5">
        <f t="shared" ref="Z87:Z88" si="68">IF(T87=0,0,X87/T87)</f>
        <v>-0.3</v>
      </c>
    </row>
    <row r="88" spans="1:26" s="24" customFormat="1" hidden="1" outlineLevel="2" x14ac:dyDescent="0.25">
      <c r="A88" s="28"/>
      <c r="B88" s="11" t="str">
        <f>CONCATENATE("          ", "6376", " - ", "TRAINING")</f>
        <v xml:space="preserve">          6376 - TRAINING</v>
      </c>
      <c r="C88" s="11"/>
      <c r="D88" s="7">
        <v>385</v>
      </c>
      <c r="E88" s="2"/>
      <c r="F88" s="6">
        <f t="shared" si="61"/>
        <v>2.0393137312025595E-3</v>
      </c>
      <c r="G88" s="2"/>
      <c r="H88" s="7">
        <v>350</v>
      </c>
      <c r="I88" s="2"/>
      <c r="J88" s="6">
        <f t="shared" si="62"/>
        <v>1.4789836424409146E-3</v>
      </c>
      <c r="K88" s="2"/>
      <c r="L88" s="7">
        <f t="shared" si="63"/>
        <v>35</v>
      </c>
      <c r="M88" s="2"/>
      <c r="N88" s="6">
        <f t="shared" si="64"/>
        <v>0.1</v>
      </c>
      <c r="O88" s="11"/>
      <c r="P88" s="7">
        <v>735</v>
      </c>
      <c r="Q88" s="2"/>
      <c r="R88" s="6">
        <f t="shared" si="65"/>
        <v>1.750584862066298E-3</v>
      </c>
      <c r="S88" s="2"/>
      <c r="T88" s="7">
        <v>1050</v>
      </c>
      <c r="U88" s="2"/>
      <c r="V88" s="6">
        <f t="shared" si="66"/>
        <v>2.041133703977295E-3</v>
      </c>
      <c r="W88" s="2"/>
      <c r="X88" s="7">
        <f t="shared" si="67"/>
        <v>-315</v>
      </c>
      <c r="Y88" s="2"/>
      <c r="Z88" s="6">
        <f t="shared" si="68"/>
        <v>-0.3</v>
      </c>
    </row>
    <row r="89" spans="1:26" s="6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5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6" t="s">
        <v>3</v>
      </c>
      <c r="C92" s="26"/>
      <c r="D92" s="20">
        <f>+D23-D25+D90</f>
        <v>-48503.710000000021</v>
      </c>
      <c r="E92" s="13"/>
      <c r="F92" s="19">
        <f>IF(D$12=0,0,D92/D$12)</f>
        <v>-0.25692021251238167</v>
      </c>
      <c r="G92" s="13"/>
      <c r="H92" s="20">
        <f>+H23-H25+H90</f>
        <v>22671.638327788474</v>
      </c>
      <c r="I92" s="13"/>
      <c r="J92" s="19">
        <f>IF(H$12=0,0,H92/H$12)</f>
        <v>9.580280638324469E-2</v>
      </c>
      <c r="K92" s="15"/>
      <c r="L92" s="20">
        <f>+D92-H92</f>
        <v>-71175.348327788495</v>
      </c>
      <c r="M92" s="15"/>
      <c r="N92" s="19">
        <f>IF(H92=0,0,L92/H92)</f>
        <v>-3.1394003070589456</v>
      </c>
      <c r="O92" s="25"/>
      <c r="P92" s="20">
        <f>+P23-P25+P90</f>
        <v>-187209.38000000006</v>
      </c>
      <c r="Q92" s="13"/>
      <c r="R92" s="19">
        <f>IF(P$12=0,0,P92/P$12)</f>
        <v>-0.44588558729907113</v>
      </c>
      <c r="S92" s="13"/>
      <c r="T92" s="20">
        <f>+T23-T25+T90</f>
        <v>-116726.11080471164</v>
      </c>
      <c r="U92" s="13"/>
      <c r="V92" s="19">
        <f>IF(T$12=0,0,T92/T$12)</f>
        <v>-0.22690818942636687</v>
      </c>
      <c r="W92" s="15"/>
      <c r="X92" s="20">
        <f>+P92-T92</f>
        <v>-70483.26919528842</v>
      </c>
      <c r="Y92" s="15"/>
      <c r="Z92" s="19">
        <f>IF(T92=0,0,X92/T92)</f>
        <v>0.60383464084749894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48143.64</v>
      </c>
      <c r="E94" s="4"/>
      <c r="F94" s="12">
        <f>IF(D$12=0,0,D94/D$12)</f>
        <v>0.25501295096642285</v>
      </c>
      <c r="G94" s="4"/>
      <c r="H94" s="4">
        <v>44063</v>
      </c>
      <c r="I94" s="4"/>
      <c r="J94" s="12">
        <f>IF(H$12=0,0,H94/H$12)</f>
        <v>0.18619558924821147</v>
      </c>
      <c r="K94" s="4"/>
      <c r="L94" s="4">
        <f>+D94-H94</f>
        <v>4080.6399999999994</v>
      </c>
      <c r="M94" s="4"/>
      <c r="N94" s="12">
        <f>IF(H94=0,0,L94/H94)</f>
        <v>9.2609218618795799E-2</v>
      </c>
      <c r="O94" s="10"/>
      <c r="P94" s="4">
        <v>90950.64</v>
      </c>
      <c r="Q94" s="4"/>
      <c r="R94" s="12">
        <f>IF(P$12=0,0,P94/P$12)</f>
        <v>0.21662151507379798</v>
      </c>
      <c r="S94" s="4"/>
      <c r="T94" s="4">
        <v>84221</v>
      </c>
      <c r="U94" s="4"/>
      <c r="V94" s="12">
        <f>IF(T$12=0,0,T94/T$12)</f>
        <v>0.16372030636444929</v>
      </c>
      <c r="W94" s="4"/>
      <c r="X94" s="4">
        <f>+P94-T94</f>
        <v>6729.6399999999994</v>
      </c>
      <c r="Y94" s="4"/>
      <c r="Z94" s="12">
        <f>IF(T94=0,0,X94/T94)</f>
        <v>7.9904536873226392E-2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4</v>
      </c>
      <c r="C96" s="26"/>
      <c r="D96" s="34">
        <f>+D92-D94</f>
        <v>-96647.35000000002</v>
      </c>
      <c r="E96" s="13"/>
      <c r="F96" s="35">
        <f>IF(D$12=0,0,D96/D$12)</f>
        <v>-0.51193316347880446</v>
      </c>
      <c r="G96" s="13"/>
      <c r="H96" s="34">
        <f>+H92-H94</f>
        <v>-21391.361672211526</v>
      </c>
      <c r="I96" s="13"/>
      <c r="J96" s="35">
        <f>IF(H$12=0,0,H96/H$12)</f>
        <v>-9.0392782864966784E-2</v>
      </c>
      <c r="K96" s="15"/>
      <c r="L96" s="34">
        <f>D96-H96</f>
        <v>-75255.988327788495</v>
      </c>
      <c r="M96" s="15"/>
      <c r="N96" s="35">
        <f>IF(H96=0,0,L96/H96)</f>
        <v>3.5180550673195281</v>
      </c>
      <c r="O96" s="25"/>
      <c r="P96" s="34">
        <f>+P92-P94</f>
        <v>-278160.02000000008</v>
      </c>
      <c r="Q96" s="13"/>
      <c r="R96" s="35">
        <f>IF(P$12=0,0,P96/P$12)</f>
        <v>-0.66250710237286914</v>
      </c>
      <c r="S96" s="13"/>
      <c r="T96" s="34">
        <f>+T92-T94</f>
        <v>-200947.11080471164</v>
      </c>
      <c r="U96" s="13"/>
      <c r="V96" s="35">
        <f>IF(T$12=0,0,T96/T$12)</f>
        <v>-0.39062849579081615</v>
      </c>
      <c r="W96" s="15"/>
      <c r="X96" s="34">
        <f>P96-T96</f>
        <v>-77212.909195288434</v>
      </c>
      <c r="Y96" s="15"/>
      <c r="Z96" s="35">
        <f>IF(T96=0,0,X96/T96)</f>
        <v>0.38424493333634935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5</v>
      </c>
      <c r="C99" s="26"/>
      <c r="D99" s="30">
        <f>SUM(D96:D98)</f>
        <v>-96647.35000000002</v>
      </c>
      <c r="E99" s="13"/>
      <c r="F99" s="32">
        <f>IF(D$12=0,0,D99/D$12)</f>
        <v>-0.51193316347880446</v>
      </c>
      <c r="G99" s="13"/>
      <c r="H99" s="30">
        <f>SUM(H96:H98)</f>
        <v>-21391.361672211526</v>
      </c>
      <c r="I99" s="13"/>
      <c r="J99" s="32">
        <f>IF(H$12=0,0,H99/H$12)</f>
        <v>-9.0392782864966784E-2</v>
      </c>
      <c r="K99" s="15"/>
      <c r="L99" s="30">
        <f>+D99-H99</f>
        <v>-75255.988327788495</v>
      </c>
      <c r="M99" s="15"/>
      <c r="N99" s="32">
        <f>IF(H99=0,0,L99/H99)</f>
        <v>3.5180550673195281</v>
      </c>
      <c r="O99" s="25"/>
      <c r="P99" s="30">
        <f>SUM(P96:P98)</f>
        <v>-278160.02000000008</v>
      </c>
      <c r="Q99" s="13"/>
      <c r="R99" s="32">
        <f>IF(P$12=0,0,P99/P$12)</f>
        <v>-0.66250710237286914</v>
      </c>
      <c r="S99" s="13"/>
      <c r="T99" s="30">
        <f>SUM(T96:T98)</f>
        <v>-200947.11080471164</v>
      </c>
      <c r="U99" s="13"/>
      <c r="V99" s="32">
        <f>IF(T$12=0,0,T99/T$12)</f>
        <v>-0.39062849579081615</v>
      </c>
      <c r="W99" s="15"/>
      <c r="X99" s="30">
        <f>+P99-T99</f>
        <v>-77212.909195288434</v>
      </c>
      <c r="Y99" s="15"/>
      <c r="Z99" s="32">
        <f>IF(T99=0,0,X99/T99)</f>
        <v>0.38424493333634935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0">
        <v>44151.568864930552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8" t="s">
        <v>314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3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","450", " - ", "Beachside Dining Hall")</f>
        <v>Department 450 - Beachside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-12545.13</v>
      </c>
      <c r="E12" s="4"/>
      <c r="F12" s="12"/>
      <c r="G12" s="4"/>
      <c r="H12" s="4">
        <f>SUM(OSRRefH13x_0)</f>
        <v>83713</v>
      </c>
      <c r="I12" s="4"/>
      <c r="J12" s="12"/>
      <c r="K12" s="4"/>
      <c r="L12" s="4">
        <f t="shared" ref="L12:L14" si="0">+D12-H12</f>
        <v>-96258.13</v>
      </c>
      <c r="M12" s="4"/>
      <c r="N12" s="12">
        <f t="shared" ref="N12:N14" si="1">IF(H12=0,0,L12/H12)</f>
        <v>-1.1498588032922008</v>
      </c>
      <c r="O12" s="10"/>
      <c r="P12" s="4">
        <f>SUM(OSRRefP13x_0)</f>
        <v>0</v>
      </c>
      <c r="Q12" s="4"/>
      <c r="R12" s="12"/>
      <c r="S12" s="4"/>
      <c r="T12" s="4">
        <f>SUM(OSRRefT13x_0)</f>
        <v>172839</v>
      </c>
      <c r="U12" s="4"/>
      <c r="V12" s="12"/>
      <c r="W12" s="4"/>
      <c r="X12" s="4">
        <f t="shared" ref="X12:X14" si="2">+P12-T12</f>
        <v>-172839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83713</v>
      </c>
      <c r="I13" s="2"/>
      <c r="J13" s="22"/>
      <c r="K13" s="2"/>
      <c r="L13" s="2">
        <f t="shared" si="0"/>
        <v>-83713</v>
      </c>
      <c r="M13" s="2"/>
      <c r="N13" s="22">
        <f t="shared" si="1"/>
        <v>-1</v>
      </c>
      <c r="O13" s="11"/>
      <c r="P13" s="2">
        <f t="shared" ref="P13:P14" si="4">0</f>
        <v>0</v>
      </c>
      <c r="Q13" s="2"/>
      <c r="R13" s="22"/>
      <c r="S13" s="2"/>
      <c r="T13" s="2">
        <v>172839</v>
      </c>
      <c r="U13" s="2"/>
      <c r="V13" s="22"/>
      <c r="W13" s="2"/>
      <c r="X13" s="2">
        <f t="shared" si="2"/>
        <v>-172839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"4151", " - ", "NON-TAXABLE SALES-FOOD")</f>
        <v xml:space="preserve">          4151 - NON-TAXABLE SALES-FOOD</v>
      </c>
      <c r="C14" s="11"/>
      <c r="D14" s="2">
        <f>-12545.13</f>
        <v>-12545.13</v>
      </c>
      <c r="E14" s="2"/>
      <c r="F14" s="22"/>
      <c r="G14" s="2"/>
      <c r="H14" s="2"/>
      <c r="I14" s="2"/>
      <c r="J14" s="22"/>
      <c r="K14" s="2"/>
      <c r="L14" s="2">
        <f t="shared" si="0"/>
        <v>-12545.13</v>
      </c>
      <c r="M14" s="2"/>
      <c r="N14" s="22">
        <f t="shared" si="1"/>
        <v>0</v>
      </c>
      <c r="O14" s="11"/>
      <c r="P14" s="2">
        <f t="shared" si="4"/>
        <v>0</v>
      </c>
      <c r="Q14" s="2"/>
      <c r="R14" s="22"/>
      <c r="S14" s="2"/>
      <c r="T14" s="2"/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5">IF(D$12=0,0,D16/D$12)</f>
        <v>0</v>
      </c>
      <c r="G16" s="4"/>
      <c r="H16" s="4">
        <f>SUM(OSRRefH16x_0)</f>
        <v>21765</v>
      </c>
      <c r="I16" s="4"/>
      <c r="J16" s="12">
        <f t="shared" ref="J16:J17" si="6">IF(H$12=0,0,H16/H$12)</f>
        <v>0.25999546068113671</v>
      </c>
      <c r="K16" s="4"/>
      <c r="L16" s="4">
        <f t="shared" ref="L16:L17" si="7">+D16-H16</f>
        <v>-21765</v>
      </c>
      <c r="M16" s="4"/>
      <c r="N16" s="12">
        <f t="shared" ref="N16:N17" si="8">IF(H16=0,0,L16/H16)</f>
        <v>-1</v>
      </c>
      <c r="O16" s="10"/>
      <c r="P16" s="4">
        <f>SUM(OSRRefP16x_0)</f>
        <v>0</v>
      </c>
      <c r="Q16" s="4"/>
      <c r="R16" s="12">
        <f t="shared" ref="R16:R17" si="9">IF(P$12=0,0,P16/P$12)</f>
        <v>0</v>
      </c>
      <c r="S16" s="4"/>
      <c r="T16" s="4">
        <f>SUM(OSRRefT16x_0)</f>
        <v>46347</v>
      </c>
      <c r="U16" s="4"/>
      <c r="V16" s="12">
        <f t="shared" ref="V16:V17" si="10">IF(T$12=0,0,T16/T$12)</f>
        <v>0.26815128530019267</v>
      </c>
      <c r="W16" s="4"/>
      <c r="X16" s="4">
        <f t="shared" ref="X16:X17" si="11">+P16-T16</f>
        <v>-46347</v>
      </c>
      <c r="Y16" s="4"/>
      <c r="Z16" s="12">
        <f t="shared" ref="Z16:Z17" si="12">IF(T16=0,0,X16/T16)</f>
        <v>-1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5"/>
        <v>0</v>
      </c>
      <c r="G17" s="2"/>
      <c r="H17" s="2">
        <v>21765</v>
      </c>
      <c r="I17" s="2"/>
      <c r="J17" s="22">
        <f t="shared" si="6"/>
        <v>0.25999546068113671</v>
      </c>
      <c r="K17" s="2"/>
      <c r="L17" s="2">
        <f t="shared" si="7"/>
        <v>-21765</v>
      </c>
      <c r="M17" s="2"/>
      <c r="N17" s="22">
        <f t="shared" si="8"/>
        <v>-1</v>
      </c>
      <c r="O17" s="11"/>
      <c r="P17" s="2"/>
      <c r="Q17" s="2"/>
      <c r="R17" s="22">
        <f t="shared" si="9"/>
        <v>0</v>
      </c>
      <c r="S17" s="2"/>
      <c r="T17" s="2">
        <v>46347</v>
      </c>
      <c r="U17" s="2"/>
      <c r="V17" s="22">
        <f t="shared" si="10"/>
        <v>0.26815128530019267</v>
      </c>
      <c r="W17" s="2"/>
      <c r="X17" s="2">
        <f t="shared" si="11"/>
        <v>-46347</v>
      </c>
      <c r="Y17" s="2"/>
      <c r="Z17" s="22">
        <f t="shared" si="12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D12-D16</f>
        <v>-12545.13</v>
      </c>
      <c r="E19" s="13"/>
      <c r="F19" s="19">
        <f>IF(D$12=0,0,D19/D$12)</f>
        <v>1</v>
      </c>
      <c r="G19" s="13"/>
      <c r="H19" s="20">
        <f>H12-H16</f>
        <v>61948</v>
      </c>
      <c r="I19" s="13"/>
      <c r="J19" s="19">
        <f>IF(H$12=0,0,H19/H$12)</f>
        <v>0.74000453931886323</v>
      </c>
      <c r="K19" s="15"/>
      <c r="L19" s="20">
        <f>+D19-H19</f>
        <v>-74493.13</v>
      </c>
      <c r="M19" s="15"/>
      <c r="N19" s="19">
        <f>IF(H19=0,0,L19/H19)</f>
        <v>-1.2025106540969845</v>
      </c>
      <c r="O19" s="25"/>
      <c r="P19" s="20">
        <f>P12-P16</f>
        <v>0</v>
      </c>
      <c r="Q19" s="13"/>
      <c r="R19" s="19">
        <f>IF(P$12=0,0,P19/P$12)</f>
        <v>0</v>
      </c>
      <c r="S19" s="13"/>
      <c r="T19" s="20">
        <f>T12-T16</f>
        <v>126492</v>
      </c>
      <c r="U19" s="13"/>
      <c r="V19" s="19">
        <f>IF(T$12=0,0,T19/T$12)</f>
        <v>0.73184871469980739</v>
      </c>
      <c r="W19" s="15"/>
      <c r="X19" s="20">
        <f>+P19-T19</f>
        <v>-126492</v>
      </c>
      <c r="Y19" s="15"/>
      <c r="Z19" s="19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1">
        <f>SUM(OSRRefD22x_0)</f>
        <v>49851.29</v>
      </c>
      <c r="E21" s="21"/>
      <c r="F21" s="31">
        <f t="shared" ref="F21:F32" si="13">IF(D$12=0,0,D21/D$12)</f>
        <v>-3.9737563500736943</v>
      </c>
      <c r="G21" s="21"/>
      <c r="H21" s="21">
        <f>SUM(OSRRefH22x_0)</f>
        <v>108296.72411948456</v>
      </c>
      <c r="I21" s="21"/>
      <c r="J21" s="31">
        <f t="shared" ref="J21:J32" si="14">IF(H$12=0,0,H21/H$12)</f>
        <v>1.2936667437492928</v>
      </c>
      <c r="K21" s="4"/>
      <c r="L21" s="21">
        <f t="shared" ref="L21:L32" si="15">+D21-H21</f>
        <v>-58445.434119484555</v>
      </c>
      <c r="M21" s="4"/>
      <c r="N21" s="31">
        <f t="shared" ref="N21:N32" si="16">IF(H21=0,0,L21/H21)</f>
        <v>-0.53967868921871809</v>
      </c>
      <c r="O21" s="10"/>
      <c r="P21" s="21">
        <f>SUM(OSRRefP22x_0)</f>
        <v>169497.9</v>
      </c>
      <c r="Q21" s="21"/>
      <c r="R21" s="31">
        <f t="shared" ref="R21:R32" si="17">IF(P$12=0,0,P21/P$12)</f>
        <v>0</v>
      </c>
      <c r="S21" s="21"/>
      <c r="T21" s="21">
        <f>SUM(OSRRefT22x_0)</f>
        <v>365558.20220514433</v>
      </c>
      <c r="U21" s="21"/>
      <c r="V21" s="31">
        <f t="shared" ref="V21:V32" si="18">IF(T$12=0,0,T21/T$12)</f>
        <v>2.1150215067498905</v>
      </c>
      <c r="W21" s="4"/>
      <c r="X21" s="21">
        <f t="shared" ref="X21:X32" si="19">+P21-T21</f>
        <v>-196060.30220514434</v>
      </c>
      <c r="Y21" s="4"/>
      <c r="Z21" s="31">
        <f t="shared" ref="Z21:Z32" si="20">IF(T21=0,0,X21/T21)</f>
        <v>-0.5363312901268702</v>
      </c>
    </row>
    <row r="22" spans="1:26" s="27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21530.590000000004</v>
      </c>
      <c r="E22" s="1"/>
      <c r="F22" s="5">
        <f t="shared" si="13"/>
        <v>-1.7162508479386029</v>
      </c>
      <c r="G22" s="1"/>
      <c r="H22" s="1">
        <f>SUM(OSRRefH22_0x_0)</f>
        <v>34224.064796407649</v>
      </c>
      <c r="I22" s="1"/>
      <c r="J22" s="5">
        <f t="shared" si="14"/>
        <v>0.40882616554666118</v>
      </c>
      <c r="K22" s="1"/>
      <c r="L22" s="1">
        <f t="shared" si="15"/>
        <v>-12693.474796407645</v>
      </c>
      <c r="M22" s="1"/>
      <c r="N22" s="5">
        <f t="shared" si="16"/>
        <v>-0.37089325513841431</v>
      </c>
      <c r="O22" s="14"/>
      <c r="P22" s="1">
        <f>SUM(OSRRefP22_0x_0)</f>
        <v>78974.31</v>
      </c>
      <c r="Q22" s="1"/>
      <c r="R22" s="5">
        <f t="shared" si="17"/>
        <v>0</v>
      </c>
      <c r="S22" s="1"/>
      <c r="T22" s="1">
        <f>SUM(OSRRefT22_0x_0)</f>
        <v>123928.27614206754</v>
      </c>
      <c r="U22" s="1"/>
      <c r="V22" s="5">
        <f t="shared" si="18"/>
        <v>0.71701569751079064</v>
      </c>
      <c r="W22" s="1"/>
      <c r="X22" s="1">
        <f t="shared" si="19"/>
        <v>-44953.96614206754</v>
      </c>
      <c r="Y22" s="1"/>
      <c r="Z22" s="5">
        <f t="shared" si="20"/>
        <v>-0.36274180147986329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7">
        <v>2520.7600000000002</v>
      </c>
      <c r="E23" s="2"/>
      <c r="F23" s="6">
        <f t="shared" si="13"/>
        <v>-0.20093534303749744</v>
      </c>
      <c r="G23" s="2"/>
      <c r="H23" s="7">
        <v>3297.1691287153799</v>
      </c>
      <c r="I23" s="2"/>
      <c r="J23" s="6">
        <f t="shared" si="14"/>
        <v>3.9386584266665629E-2</v>
      </c>
      <c r="K23" s="2"/>
      <c r="L23" s="7">
        <f t="shared" si="15"/>
        <v>-776.40912871537967</v>
      </c>
      <c r="M23" s="2"/>
      <c r="N23" s="6">
        <f t="shared" si="16"/>
        <v>-0.23547749551381938</v>
      </c>
      <c r="O23" s="11"/>
      <c r="P23" s="7">
        <v>7113.52</v>
      </c>
      <c r="Q23" s="2"/>
      <c r="R23" s="6">
        <f t="shared" si="17"/>
        <v>0</v>
      </c>
      <c r="S23" s="2"/>
      <c r="T23" s="7">
        <v>12233.32636337538</v>
      </c>
      <c r="U23" s="2"/>
      <c r="V23" s="6">
        <f t="shared" si="18"/>
        <v>7.0778738382977102E-2</v>
      </c>
      <c r="W23" s="2"/>
      <c r="X23" s="7">
        <f t="shared" si="19"/>
        <v>-5119.8063633753791</v>
      </c>
      <c r="Y23" s="2"/>
      <c r="Z23" s="6">
        <f t="shared" si="20"/>
        <v>-0.41851302019565667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7">
        <v>889.03</v>
      </c>
      <c r="E24" s="2"/>
      <c r="F24" s="6">
        <f t="shared" si="13"/>
        <v>-7.086654343159457E-2</v>
      </c>
      <c r="G24" s="2"/>
      <c r="H24" s="7">
        <v>2403.1337880000001</v>
      </c>
      <c r="I24" s="2"/>
      <c r="J24" s="6">
        <f t="shared" si="14"/>
        <v>2.8706817196851149E-2</v>
      </c>
      <c r="K24" s="2"/>
      <c r="L24" s="7">
        <f t="shared" si="15"/>
        <v>-1514.1037880000001</v>
      </c>
      <c r="M24" s="2"/>
      <c r="N24" s="6">
        <f t="shared" si="16"/>
        <v>-0.63005388861853917</v>
      </c>
      <c r="O24" s="11"/>
      <c r="P24" s="7">
        <v>3335.49</v>
      </c>
      <c r="Q24" s="2"/>
      <c r="R24" s="6">
        <f t="shared" si="17"/>
        <v>0</v>
      </c>
      <c r="S24" s="2"/>
      <c r="T24" s="7">
        <v>7954.7250617999998</v>
      </c>
      <c r="U24" s="2"/>
      <c r="V24" s="6">
        <f t="shared" si="18"/>
        <v>4.602390121326784E-2</v>
      </c>
      <c r="W24" s="2"/>
      <c r="X24" s="7">
        <f t="shared" si="19"/>
        <v>-4619.2350618</v>
      </c>
      <c r="Y24" s="2"/>
      <c r="Z24" s="6">
        <f t="shared" si="20"/>
        <v>-0.58069072480988515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7">
        <v>12616.92</v>
      </c>
      <c r="E25" s="2"/>
      <c r="F25" s="6">
        <f t="shared" si="13"/>
        <v>-1.0057225393439526</v>
      </c>
      <c r="G25" s="2"/>
      <c r="H25" s="7">
        <v>23148.461538461499</v>
      </c>
      <c r="I25" s="2"/>
      <c r="J25" s="6">
        <f t="shared" si="14"/>
        <v>0.27652170557095673</v>
      </c>
      <c r="K25" s="2"/>
      <c r="L25" s="7">
        <f t="shared" si="15"/>
        <v>-10531.541538461499</v>
      </c>
      <c r="M25" s="2"/>
      <c r="N25" s="6">
        <f t="shared" si="16"/>
        <v>-0.45495643505133992</v>
      </c>
      <c r="O25" s="11"/>
      <c r="P25" s="7">
        <v>50467.740000000005</v>
      </c>
      <c r="Q25" s="2"/>
      <c r="R25" s="6">
        <f t="shared" si="17"/>
        <v>0</v>
      </c>
      <c r="S25" s="2"/>
      <c r="T25" s="7">
        <v>84918.461538461401</v>
      </c>
      <c r="U25" s="2"/>
      <c r="V25" s="6">
        <f t="shared" si="18"/>
        <v>0.49131539489618314</v>
      </c>
      <c r="W25" s="2"/>
      <c r="X25" s="7">
        <f t="shared" si="19"/>
        <v>-34450.721538461396</v>
      </c>
      <c r="Y25" s="2"/>
      <c r="Z25" s="6">
        <f t="shared" si="20"/>
        <v>-0.40569177672699502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7">
        <v>53.87</v>
      </c>
      <c r="E26" s="2"/>
      <c r="F26" s="6">
        <f t="shared" si="13"/>
        <v>-4.2940965936582561E-3</v>
      </c>
      <c r="G26" s="2"/>
      <c r="H26" s="7">
        <v>145.64447200000001</v>
      </c>
      <c r="I26" s="2"/>
      <c r="J26" s="6">
        <f t="shared" si="14"/>
        <v>1.7398071028394634E-3</v>
      </c>
      <c r="K26" s="2"/>
      <c r="L26" s="7">
        <f t="shared" si="15"/>
        <v>-91.774472000000003</v>
      </c>
      <c r="M26" s="2"/>
      <c r="N26" s="6">
        <f t="shared" si="16"/>
        <v>-0.63012671019879152</v>
      </c>
      <c r="O26" s="11"/>
      <c r="P26" s="7">
        <v>210.82</v>
      </c>
      <c r="Q26" s="2"/>
      <c r="R26" s="6">
        <f t="shared" si="17"/>
        <v>0</v>
      </c>
      <c r="S26" s="2"/>
      <c r="T26" s="7">
        <v>482.10454920000001</v>
      </c>
      <c r="U26" s="2"/>
      <c r="V26" s="6">
        <f t="shared" si="18"/>
        <v>2.789327346258657E-3</v>
      </c>
      <c r="W26" s="2"/>
      <c r="X26" s="7">
        <f t="shared" si="19"/>
        <v>-271.28454920000001</v>
      </c>
      <c r="Y26" s="2"/>
      <c r="Z26" s="6">
        <f t="shared" si="20"/>
        <v>-0.5627089593951502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7">
        <v>485.07</v>
      </c>
      <c r="E27" s="2"/>
      <c r="F27" s="6">
        <f t="shared" si="13"/>
        <v>-3.8666000272615748E-2</v>
      </c>
      <c r="G27" s="2"/>
      <c r="H27" s="7">
        <v>1010.2105769230799</v>
      </c>
      <c r="I27" s="2"/>
      <c r="J27" s="6">
        <f t="shared" si="14"/>
        <v>1.2067547178133383E-2</v>
      </c>
      <c r="K27" s="2"/>
      <c r="L27" s="7">
        <f t="shared" si="15"/>
        <v>-525.14057692307983</v>
      </c>
      <c r="M27" s="2"/>
      <c r="N27" s="6">
        <f t="shared" si="16"/>
        <v>-0.51983278429192836</v>
      </c>
      <c r="O27" s="11"/>
      <c r="P27" s="7">
        <v>2182.81</v>
      </c>
      <c r="Q27" s="2"/>
      <c r="R27" s="6">
        <f t="shared" si="17"/>
        <v>0</v>
      </c>
      <c r="S27" s="2"/>
      <c r="T27" s="7">
        <v>3636.758076923084</v>
      </c>
      <c r="U27" s="2"/>
      <c r="V27" s="6">
        <f t="shared" si="18"/>
        <v>2.10413047803047E-2</v>
      </c>
      <c r="W27" s="2"/>
      <c r="X27" s="7">
        <f t="shared" si="19"/>
        <v>-1453.948076923084</v>
      </c>
      <c r="Y27" s="2"/>
      <c r="Z27" s="6">
        <f t="shared" si="20"/>
        <v>-0.39979235521577822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/>
      <c r="Q28" s="2"/>
      <c r="R28" s="6">
        <f t="shared" si="17"/>
        <v>0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0</v>
      </c>
      <c r="Y28" s="2"/>
      <c r="Z28" s="6">
        <f t="shared" si="20"/>
        <v>0</v>
      </c>
    </row>
    <row r="29" spans="1:26" s="24" customFormat="1" hidden="1" outlineLevel="2" x14ac:dyDescent="0.25">
      <c r="A29" s="28"/>
      <c r="B29" s="11" t="str">
        <f>CONCATENATE("          ", "6117", " - ", "RETIREMENT STAFF HOURLY")</f>
        <v xml:space="preserve">          6117 - RETIREMENT STAFF HOURLY</v>
      </c>
      <c r="C29" s="11"/>
      <c r="D29" s="7">
        <v>546.80999999999995</v>
      </c>
      <c r="E29" s="2"/>
      <c r="F29" s="6">
        <f t="shared" si="13"/>
        <v>-4.3587431935739204E-2</v>
      </c>
      <c r="G29" s="2"/>
      <c r="H29" s="7"/>
      <c r="I29" s="2"/>
      <c r="J29" s="6">
        <f t="shared" si="14"/>
        <v>0</v>
      </c>
      <c r="K29" s="2"/>
      <c r="L29" s="7">
        <f t="shared" si="15"/>
        <v>546.80999999999995</v>
      </c>
      <c r="M29" s="2"/>
      <c r="N29" s="6">
        <f t="shared" si="16"/>
        <v>0</v>
      </c>
      <c r="O29" s="11"/>
      <c r="P29" s="7">
        <v>2330.83</v>
      </c>
      <c r="Q29" s="2"/>
      <c r="R29" s="6">
        <f t="shared" si="17"/>
        <v>0</v>
      </c>
      <c r="S29" s="2"/>
      <c r="T29" s="7"/>
      <c r="U29" s="2"/>
      <c r="V29" s="6">
        <f t="shared" si="18"/>
        <v>0</v>
      </c>
      <c r="W29" s="2"/>
      <c r="X29" s="7">
        <f t="shared" si="19"/>
        <v>2330.83</v>
      </c>
      <c r="Y29" s="2"/>
      <c r="Z29" s="6">
        <f t="shared" si="20"/>
        <v>0</v>
      </c>
    </row>
    <row r="30" spans="1:26" s="24" customFormat="1" hidden="1" outlineLevel="2" x14ac:dyDescent="0.25">
      <c r="A30" s="28"/>
      <c r="B30" s="11" t="str">
        <f>CONCATENATE("          ", "6118", " - ", "VACATION")</f>
        <v xml:space="preserve">          6118 - VACATION</v>
      </c>
      <c r="C30" s="11"/>
      <c r="D30" s="7">
        <v>1863.18</v>
      </c>
      <c r="E30" s="2"/>
      <c r="F30" s="6">
        <f t="shared" si="13"/>
        <v>-0.14851818992708726</v>
      </c>
      <c r="G30" s="2"/>
      <c r="H30" s="7">
        <v>2428.9994615384599</v>
      </c>
      <c r="I30" s="2"/>
      <c r="J30" s="6">
        <f t="shared" si="14"/>
        <v>2.9015797564756488E-2</v>
      </c>
      <c r="K30" s="2"/>
      <c r="L30" s="7">
        <f t="shared" si="15"/>
        <v>-565.81946153845979</v>
      </c>
      <c r="M30" s="2"/>
      <c r="N30" s="6">
        <f t="shared" si="16"/>
        <v>-0.2329434281471951</v>
      </c>
      <c r="O30" s="11"/>
      <c r="P30" s="7">
        <v>5525.79</v>
      </c>
      <c r="Q30" s="2"/>
      <c r="R30" s="6">
        <f t="shared" si="17"/>
        <v>0</v>
      </c>
      <c r="S30" s="2"/>
      <c r="T30" s="7">
        <v>8744.3980615384589</v>
      </c>
      <c r="U30" s="2"/>
      <c r="V30" s="6">
        <f t="shared" si="18"/>
        <v>5.0592736949059289E-2</v>
      </c>
      <c r="W30" s="2"/>
      <c r="X30" s="7">
        <f t="shared" si="19"/>
        <v>-3218.608061538459</v>
      </c>
      <c r="Y30" s="2"/>
      <c r="Z30" s="6">
        <f t="shared" si="20"/>
        <v>-0.36807657186779397</v>
      </c>
    </row>
    <row r="31" spans="1:26" s="24" customFormat="1" hidden="1" outlineLevel="2" x14ac:dyDescent="0.25">
      <c r="A31" s="28"/>
      <c r="B31" s="11" t="str">
        <f>CONCATENATE("          ", "6119", " - ", "SICK LEAVE")</f>
        <v xml:space="preserve">          6119 - SICK LEAVE</v>
      </c>
      <c r="C31" s="11"/>
      <c r="D31" s="7">
        <v>1419.77</v>
      </c>
      <c r="E31" s="2"/>
      <c r="F31" s="6">
        <f t="shared" si="13"/>
        <v>-0.11317300020007764</v>
      </c>
      <c r="G31" s="2"/>
      <c r="H31" s="7">
        <v>1790.44583076923</v>
      </c>
      <c r="I31" s="2"/>
      <c r="J31" s="6">
        <f t="shared" si="14"/>
        <v>2.1387906666458376E-2</v>
      </c>
      <c r="K31" s="2"/>
      <c r="L31" s="7">
        <f t="shared" si="15"/>
        <v>-370.67583076923006</v>
      </c>
      <c r="M31" s="2"/>
      <c r="N31" s="6">
        <f t="shared" si="16"/>
        <v>-0.20702990528899523</v>
      </c>
      <c r="O31" s="11"/>
      <c r="P31" s="7">
        <v>4259.33</v>
      </c>
      <c r="Q31" s="2"/>
      <c r="R31" s="6">
        <f t="shared" si="17"/>
        <v>0</v>
      </c>
      <c r="S31" s="2"/>
      <c r="T31" s="7">
        <v>5958.5024907692195</v>
      </c>
      <c r="U31" s="2"/>
      <c r="V31" s="6">
        <f t="shared" si="18"/>
        <v>3.4474293942739889E-2</v>
      </c>
      <c r="W31" s="2"/>
      <c r="X31" s="7">
        <f t="shared" si="19"/>
        <v>-1699.1724907692196</v>
      </c>
      <c r="Y31" s="2"/>
      <c r="Z31" s="6">
        <f t="shared" si="20"/>
        <v>-0.28516770671851527</v>
      </c>
    </row>
    <row r="32" spans="1:26" s="24" customFormat="1" hidden="1" outlineLevel="2" x14ac:dyDescent="0.25">
      <c r="A32" s="28"/>
      <c r="B32" s="11" t="str">
        <f>CONCATENATE("          ", "6156", " - ", "EMPLOYEE MEALS")</f>
        <v xml:space="preserve">          6156 - EMPLOYEE MEALS</v>
      </c>
      <c r="C32" s="11"/>
      <c r="D32" s="7">
        <v>1135.18</v>
      </c>
      <c r="E32" s="2"/>
      <c r="F32" s="6">
        <f t="shared" si="13"/>
        <v>-9.0487703196379804E-2</v>
      </c>
      <c r="G32" s="2"/>
      <c r="H32" s="7"/>
      <c r="I32" s="2"/>
      <c r="J32" s="6">
        <f t="shared" si="14"/>
        <v>0</v>
      </c>
      <c r="K32" s="2"/>
      <c r="L32" s="7">
        <f t="shared" si="15"/>
        <v>1135.18</v>
      </c>
      <c r="M32" s="2"/>
      <c r="N32" s="6">
        <f t="shared" si="16"/>
        <v>0</v>
      </c>
      <c r="O32" s="11"/>
      <c r="P32" s="7">
        <v>3547.98</v>
      </c>
      <c r="Q32" s="2"/>
      <c r="R32" s="6">
        <f t="shared" si="17"/>
        <v>0</v>
      </c>
      <c r="S32" s="2"/>
      <c r="T32" s="7"/>
      <c r="U32" s="2"/>
      <c r="V32" s="6">
        <f t="shared" si="18"/>
        <v>0</v>
      </c>
      <c r="W32" s="2"/>
      <c r="X32" s="7">
        <f t="shared" si="19"/>
        <v>3547.98</v>
      </c>
      <c r="Y32" s="2"/>
      <c r="Z32" s="6">
        <f t="shared" si="20"/>
        <v>0</v>
      </c>
    </row>
    <row r="33" spans="1:26" s="27" customFormat="1" outlineLevel="1" collapsed="1" x14ac:dyDescent="0.25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26690.87</v>
      </c>
      <c r="E33" s="1"/>
      <c r="F33" s="5">
        <f t="shared" ref="F33:F43" si="21">IF(D$12=0,0,D33/D$12)</f>
        <v>-2.1275881557225791</v>
      </c>
      <c r="G33" s="1"/>
      <c r="H33" s="1">
        <f>SUM(OSRRefH22_1x_0)</f>
        <v>51797.659323076907</v>
      </c>
      <c r="I33" s="1"/>
      <c r="J33" s="5">
        <f t="shared" ref="J33:J43" si="22">IF(H$12=0,0,H33/H$12)</f>
        <v>0.61875287378396315</v>
      </c>
      <c r="K33" s="1"/>
      <c r="L33" s="1">
        <f t="shared" ref="L33:L43" si="23">+D33-H33</f>
        <v>-25106.789323076908</v>
      </c>
      <c r="M33" s="1"/>
      <c r="N33" s="5">
        <f t="shared" ref="N33:N43" si="24">IF(H33=0,0,L33/H33)</f>
        <v>-0.48470895502205297</v>
      </c>
      <c r="O33" s="14"/>
      <c r="P33" s="1">
        <f>SUM(OSRRefP22_1x_0)</f>
        <v>85468.790000000008</v>
      </c>
      <c r="Q33" s="1"/>
      <c r="R33" s="5">
        <f t="shared" ref="R33:R43" si="25">IF(P$12=0,0,P33/P$12)</f>
        <v>0</v>
      </c>
      <c r="S33" s="1"/>
      <c r="T33" s="1">
        <f>SUM(OSRRefT22_1x_0)</f>
        <v>170721.92606307688</v>
      </c>
      <c r="U33" s="1"/>
      <c r="V33" s="5">
        <f t="shared" ref="V33:V43" si="26">IF(T$12=0,0,T33/T$12)</f>
        <v>0.98775117920768396</v>
      </c>
      <c r="W33" s="1"/>
      <c r="X33" s="1">
        <f t="shared" ref="X33:X43" si="27">+P33-T33</f>
        <v>-85253.136063076876</v>
      </c>
      <c r="Y33" s="1"/>
      <c r="Z33" s="5">
        <f t="shared" ref="Z33:Z43" si="28">IF(T33=0,0,X33/T33)</f>
        <v>-0.49936840585771197</v>
      </c>
    </row>
    <row r="34" spans="1:26" s="24" customFormat="1" hidden="1" outlineLevel="2" x14ac:dyDescent="0.25">
      <c r="A34" s="28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1"/>
        <v>0</v>
      </c>
      <c r="G34" s="2"/>
      <c r="H34" s="7">
        <v>0</v>
      </c>
      <c r="I34" s="2"/>
      <c r="J34" s="6">
        <f t="shared" si="22"/>
        <v>0</v>
      </c>
      <c r="K34" s="2"/>
      <c r="L34" s="7">
        <f t="shared" si="23"/>
        <v>0</v>
      </c>
      <c r="M34" s="2"/>
      <c r="N34" s="6">
        <f t="shared" si="24"/>
        <v>0</v>
      </c>
      <c r="O34" s="11"/>
      <c r="P34" s="7"/>
      <c r="Q34" s="2"/>
      <c r="R34" s="6">
        <f t="shared" si="25"/>
        <v>0</v>
      </c>
      <c r="S34" s="2"/>
      <c r="T34" s="7">
        <v>0</v>
      </c>
      <c r="U34" s="2"/>
      <c r="V34" s="6">
        <f t="shared" si="26"/>
        <v>0</v>
      </c>
      <c r="W34" s="2"/>
      <c r="X34" s="7">
        <f t="shared" si="27"/>
        <v>0</v>
      </c>
      <c r="Y34" s="2"/>
      <c r="Z34" s="6">
        <f t="shared" si="28"/>
        <v>0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7">
        <v>5277.11</v>
      </c>
      <c r="E35" s="2"/>
      <c r="F35" s="6">
        <f t="shared" si="21"/>
        <v>-0.42065008493335659</v>
      </c>
      <c r="G35" s="2"/>
      <c r="H35" s="7">
        <v>10422.1394230769</v>
      </c>
      <c r="I35" s="2"/>
      <c r="J35" s="6">
        <f t="shared" si="22"/>
        <v>0.12449845810181095</v>
      </c>
      <c r="K35" s="2"/>
      <c r="L35" s="7">
        <f t="shared" si="23"/>
        <v>-5145.0294230769005</v>
      </c>
      <c r="M35" s="2"/>
      <c r="N35" s="6">
        <f t="shared" si="24"/>
        <v>-0.49366346142757195</v>
      </c>
      <c r="O35" s="11"/>
      <c r="P35" s="7">
        <v>18688.599999999999</v>
      </c>
      <c r="Q35" s="2"/>
      <c r="R35" s="6">
        <f t="shared" si="25"/>
        <v>0</v>
      </c>
      <c r="S35" s="2"/>
      <c r="T35" s="7">
        <v>37519.701923076878</v>
      </c>
      <c r="U35" s="2"/>
      <c r="V35" s="6">
        <f t="shared" si="26"/>
        <v>0.21707891114318456</v>
      </c>
      <c r="W35" s="2"/>
      <c r="X35" s="7">
        <f t="shared" si="27"/>
        <v>-18831.10192307688</v>
      </c>
      <c r="Y35" s="2"/>
      <c r="Z35" s="6">
        <f t="shared" si="28"/>
        <v>-0.50189902792097119</v>
      </c>
    </row>
    <row r="36" spans="1:26" s="24" customFormat="1" hidden="1" outlineLevel="2" x14ac:dyDescent="0.25">
      <c r="A36" s="28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8"/>
      <c r="B37" s="11" t="str">
        <f>CONCATENATE("          ", "6004", " - ", "STAFF HOURLY")</f>
        <v xml:space="preserve">          6004 - STAFF HOURLY</v>
      </c>
      <c r="C37" s="11"/>
      <c r="D37" s="7">
        <v>24686.76</v>
      </c>
      <c r="E37" s="2"/>
      <c r="F37" s="6">
        <f t="shared" si="21"/>
        <v>-1.9678361244562632</v>
      </c>
      <c r="G37" s="2"/>
      <c r="H37" s="7">
        <v>28829.7824</v>
      </c>
      <c r="I37" s="2"/>
      <c r="J37" s="6">
        <f t="shared" si="22"/>
        <v>0.34438835545255814</v>
      </c>
      <c r="K37" s="2"/>
      <c r="L37" s="7">
        <f t="shared" si="23"/>
        <v>-4143.0224000000017</v>
      </c>
      <c r="M37" s="2"/>
      <c r="N37" s="6">
        <f t="shared" si="24"/>
        <v>-0.14370633612552003</v>
      </c>
      <c r="O37" s="11"/>
      <c r="P37" s="7">
        <v>66780.19</v>
      </c>
      <c r="Q37" s="2"/>
      <c r="R37" s="6">
        <f t="shared" si="25"/>
        <v>0</v>
      </c>
      <c r="S37" s="2"/>
      <c r="T37" s="7">
        <v>103787.21664</v>
      </c>
      <c r="U37" s="2"/>
      <c r="V37" s="6">
        <f t="shared" si="26"/>
        <v>0.60048494055161161</v>
      </c>
      <c r="W37" s="2"/>
      <c r="X37" s="7">
        <f t="shared" si="27"/>
        <v>-37007.026639999996</v>
      </c>
      <c r="Y37" s="2"/>
      <c r="Z37" s="6">
        <f t="shared" si="28"/>
        <v>-0.35656632712643094</v>
      </c>
    </row>
    <row r="38" spans="1:26" s="24" customFormat="1" hidden="1" outlineLevel="2" x14ac:dyDescent="0.25">
      <c r="A38" s="28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1"/>
        <v>0</v>
      </c>
      <c r="G38" s="2"/>
      <c r="H38" s="7">
        <v>2903.9375</v>
      </c>
      <c r="I38" s="2"/>
      <c r="J38" s="6">
        <f t="shared" si="22"/>
        <v>3.4689205977566209E-2</v>
      </c>
      <c r="K38" s="2"/>
      <c r="L38" s="7">
        <f t="shared" si="23"/>
        <v>-2903.9375</v>
      </c>
      <c r="M38" s="2"/>
      <c r="N38" s="6">
        <f t="shared" si="24"/>
        <v>-1</v>
      </c>
      <c r="O38" s="11"/>
      <c r="P38" s="7"/>
      <c r="Q38" s="2"/>
      <c r="R38" s="6">
        <f t="shared" si="25"/>
        <v>0</v>
      </c>
      <c r="S38" s="2"/>
      <c r="T38" s="7">
        <v>8288.4075000000012</v>
      </c>
      <c r="U38" s="2"/>
      <c r="V38" s="6">
        <f t="shared" si="26"/>
        <v>4.7954498116744494E-2</v>
      </c>
      <c r="W38" s="2"/>
      <c r="X38" s="7">
        <f t="shared" si="27"/>
        <v>-8288.4075000000012</v>
      </c>
      <c r="Y38" s="2"/>
      <c r="Z38" s="6">
        <f t="shared" si="28"/>
        <v>-1</v>
      </c>
    </row>
    <row r="39" spans="1:26" s="24" customFormat="1" hidden="1" outlineLevel="2" x14ac:dyDescent="0.25">
      <c r="A39" s="28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8"/>
      <c r="B40" s="11" t="str">
        <f>CONCATENATE("          ", "6007", " - ", "STUDENT HOURLY")</f>
        <v xml:space="preserve">          6007 - STUDENT HOURLY</v>
      </c>
      <c r="C40" s="11"/>
      <c r="D40" s="7">
        <v>-3273</v>
      </c>
      <c r="E40" s="2"/>
      <c r="F40" s="6">
        <f t="shared" si="21"/>
        <v>0.26089805366704055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-3273</v>
      </c>
      <c r="M40" s="2"/>
      <c r="N40" s="6">
        <f t="shared" si="24"/>
        <v>0</v>
      </c>
      <c r="O40" s="11"/>
      <c r="P40" s="7">
        <v>0</v>
      </c>
      <c r="Q40" s="2"/>
      <c r="R40" s="6">
        <f t="shared" si="25"/>
        <v>0</v>
      </c>
      <c r="S40" s="2"/>
      <c r="T40" s="7">
        <v>4607.5</v>
      </c>
      <c r="U40" s="2"/>
      <c r="V40" s="6">
        <f t="shared" si="26"/>
        <v>2.6657756640573019E-2</v>
      </c>
      <c r="W40" s="2"/>
      <c r="X40" s="7">
        <f t="shared" si="27"/>
        <v>-4607.5</v>
      </c>
      <c r="Y40" s="2"/>
      <c r="Z40" s="6">
        <f t="shared" si="28"/>
        <v>-1</v>
      </c>
    </row>
    <row r="41" spans="1:26" s="24" customFormat="1" hidden="1" outlineLevel="2" x14ac:dyDescent="0.25">
      <c r="A41" s="28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1"/>
        <v>0</v>
      </c>
      <c r="G41" s="2"/>
      <c r="H41" s="7">
        <v>9641.7999999999993</v>
      </c>
      <c r="I41" s="2"/>
      <c r="J41" s="6">
        <f t="shared" si="22"/>
        <v>0.11517685425202775</v>
      </c>
      <c r="K41" s="2"/>
      <c r="L41" s="7">
        <f t="shared" si="23"/>
        <v>-9641.7999999999993</v>
      </c>
      <c r="M41" s="2"/>
      <c r="N41" s="6">
        <f t="shared" si="24"/>
        <v>-1</v>
      </c>
      <c r="O41" s="11"/>
      <c r="P41" s="7"/>
      <c r="Q41" s="2"/>
      <c r="R41" s="6">
        <f t="shared" si="25"/>
        <v>0</v>
      </c>
      <c r="S41" s="2"/>
      <c r="T41" s="7">
        <v>16519.099999999999</v>
      </c>
      <c r="U41" s="2"/>
      <c r="V41" s="6">
        <f t="shared" si="26"/>
        <v>9.5575072755570201E-2</v>
      </c>
      <c r="W41" s="2"/>
      <c r="X41" s="7">
        <f t="shared" si="27"/>
        <v>-16519.099999999999</v>
      </c>
      <c r="Y41" s="2"/>
      <c r="Z41" s="6">
        <f t="shared" si="28"/>
        <v>-1</v>
      </c>
    </row>
    <row r="42" spans="1:26" s="24" customFormat="1" hidden="1" outlineLevel="2" x14ac:dyDescent="0.25">
      <c r="A42" s="28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8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7" customFormat="1" outlineLevel="1" collapsed="1" x14ac:dyDescent="0.25">
      <c r="A44" s="29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69" si="29">IF(D$12=0,0,D44/D$12)</f>
        <v>0</v>
      </c>
      <c r="G44" s="1"/>
      <c r="H44" s="1">
        <f>SUM(OSRRefH22_2x_0)</f>
        <v>300</v>
      </c>
      <c r="I44" s="1"/>
      <c r="J44" s="5">
        <f t="shared" ref="J44:J69" si="30">IF(H$12=0,0,H44/H$12)</f>
        <v>3.5836727867834149E-3</v>
      </c>
      <c r="K44" s="1"/>
      <c r="L44" s="1">
        <f t="shared" ref="L44:L69" si="31">+D44-H44</f>
        <v>-300</v>
      </c>
      <c r="M44" s="1"/>
      <c r="N44" s="5">
        <f t="shared" ref="N44:N69" si="32">IF(H44=0,0,L44/H44)</f>
        <v>-1</v>
      </c>
      <c r="O44" s="14"/>
      <c r="P44" s="1">
        <f>SUM(OSRRefP22_2x_0)</f>
        <v>0</v>
      </c>
      <c r="Q44" s="1"/>
      <c r="R44" s="5">
        <f t="shared" ref="R44:R69" si="33">IF(P$12=0,0,P44/P$12)</f>
        <v>0</v>
      </c>
      <c r="S44" s="1"/>
      <c r="T44" s="1">
        <f>SUM(OSRRefT22_2x_0)</f>
        <v>1300</v>
      </c>
      <c r="U44" s="1"/>
      <c r="V44" s="5">
        <f t="shared" ref="V44:V69" si="34">IF(T$12=0,0,T44/T$12)</f>
        <v>7.5214505985338959E-3</v>
      </c>
      <c r="W44" s="1"/>
      <c r="X44" s="1">
        <f t="shared" ref="X44:X69" si="35">+P44-T44</f>
        <v>-1300</v>
      </c>
      <c r="Y44" s="1"/>
      <c r="Z44" s="5">
        <f t="shared" ref="Z44:Z69" si="36">IF(T44=0,0,X44/T44)</f>
        <v>-1</v>
      </c>
    </row>
    <row r="45" spans="1:26" s="24" customFormat="1" hidden="1" outlineLevel="2" x14ac:dyDescent="0.25">
      <c r="A45" s="28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29"/>
        <v>0</v>
      </c>
      <c r="G45" s="2"/>
      <c r="H45" s="7">
        <v>300</v>
      </c>
      <c r="I45" s="2"/>
      <c r="J45" s="6">
        <f t="shared" si="30"/>
        <v>3.5836727867834149E-3</v>
      </c>
      <c r="K45" s="2"/>
      <c r="L45" s="7">
        <f t="shared" si="31"/>
        <v>-300</v>
      </c>
      <c r="M45" s="2"/>
      <c r="N45" s="6">
        <f t="shared" si="32"/>
        <v>-1</v>
      </c>
      <c r="O45" s="11"/>
      <c r="P45" s="7"/>
      <c r="Q45" s="2"/>
      <c r="R45" s="6">
        <f t="shared" si="33"/>
        <v>0</v>
      </c>
      <c r="S45" s="2"/>
      <c r="T45" s="7">
        <v>1300</v>
      </c>
      <c r="U45" s="2"/>
      <c r="V45" s="6">
        <f t="shared" si="34"/>
        <v>7.5214505985338959E-3</v>
      </c>
      <c r="W45" s="2"/>
      <c r="X45" s="7">
        <f t="shared" si="35"/>
        <v>-1300</v>
      </c>
      <c r="Y45" s="2"/>
      <c r="Z45" s="6">
        <f t="shared" si="36"/>
        <v>-1</v>
      </c>
    </row>
    <row r="46" spans="1:26" s="27" customFormat="1" outlineLevel="1" collapsed="1" x14ac:dyDescent="0.25">
      <c r="A46" s="29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29"/>
        <v>0</v>
      </c>
      <c r="G46" s="1"/>
      <c r="H46" s="1">
        <f>SUM(OSRRefH22_3x_0)</f>
        <v>8</v>
      </c>
      <c r="I46" s="1"/>
      <c r="J46" s="5">
        <f t="shared" si="30"/>
        <v>9.5564607647557727E-5</v>
      </c>
      <c r="K46" s="1"/>
      <c r="L46" s="1">
        <f t="shared" si="31"/>
        <v>-8</v>
      </c>
      <c r="M46" s="1"/>
      <c r="N46" s="5">
        <f t="shared" si="32"/>
        <v>-1</v>
      </c>
      <c r="O46" s="14"/>
      <c r="P46" s="1">
        <f>SUM(OSRRefP22_3x_0)</f>
        <v>29.74</v>
      </c>
      <c r="Q46" s="1"/>
      <c r="R46" s="5">
        <f t="shared" si="33"/>
        <v>0</v>
      </c>
      <c r="S46" s="1"/>
      <c r="T46" s="1">
        <f>SUM(OSRRefT22_3x_0)</f>
        <v>24</v>
      </c>
      <c r="U46" s="1"/>
      <c r="V46" s="5">
        <f t="shared" si="34"/>
        <v>1.3885754951139501E-4</v>
      </c>
      <c r="W46" s="1"/>
      <c r="X46" s="1">
        <f t="shared" si="35"/>
        <v>5.7399999999999984</v>
      </c>
      <c r="Y46" s="1"/>
      <c r="Z46" s="5">
        <f t="shared" si="36"/>
        <v>0.23916666666666661</v>
      </c>
    </row>
    <row r="47" spans="1:26" s="24" customFormat="1" hidden="1" outlineLevel="2" x14ac:dyDescent="0.25">
      <c r="A47" s="28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29"/>
        <v>0</v>
      </c>
      <c r="G47" s="2"/>
      <c r="H47" s="7">
        <v>8</v>
      </c>
      <c r="I47" s="2"/>
      <c r="J47" s="6">
        <f t="shared" si="30"/>
        <v>9.5564607647557727E-5</v>
      </c>
      <c r="K47" s="2"/>
      <c r="L47" s="7">
        <f t="shared" si="31"/>
        <v>-8</v>
      </c>
      <c r="M47" s="2"/>
      <c r="N47" s="6">
        <f t="shared" si="32"/>
        <v>-1</v>
      </c>
      <c r="O47" s="11"/>
      <c r="P47" s="7">
        <v>29.74</v>
      </c>
      <c r="Q47" s="2"/>
      <c r="R47" s="6">
        <f t="shared" si="33"/>
        <v>0</v>
      </c>
      <c r="S47" s="2"/>
      <c r="T47" s="7">
        <v>24</v>
      </c>
      <c r="U47" s="2"/>
      <c r="V47" s="6">
        <f t="shared" si="34"/>
        <v>1.3885754951139501E-4</v>
      </c>
      <c r="W47" s="2"/>
      <c r="X47" s="7">
        <f t="shared" si="35"/>
        <v>5.7399999999999984</v>
      </c>
      <c r="Y47" s="2"/>
      <c r="Z47" s="6">
        <f t="shared" si="36"/>
        <v>0.23916666666666661</v>
      </c>
    </row>
    <row r="48" spans="1:26" s="27" customFormat="1" outlineLevel="1" collapsed="1" x14ac:dyDescent="0.25">
      <c r="A48" s="29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29"/>
        <v>0</v>
      </c>
      <c r="G48" s="1"/>
      <c r="H48" s="1">
        <f>SUM(OSRRefH22_4x_0)</f>
        <v>10</v>
      </c>
      <c r="I48" s="1"/>
      <c r="J48" s="5">
        <f t="shared" si="30"/>
        <v>1.1945575955944716E-4</v>
      </c>
      <c r="K48" s="1"/>
      <c r="L48" s="1">
        <f t="shared" si="31"/>
        <v>-10</v>
      </c>
      <c r="M48" s="1"/>
      <c r="N48" s="5">
        <f t="shared" si="32"/>
        <v>-1</v>
      </c>
      <c r="O48" s="14"/>
      <c r="P48" s="1">
        <f>SUM(OSRRefP22_4x_0)</f>
        <v>0</v>
      </c>
      <c r="Q48" s="1"/>
      <c r="R48" s="5">
        <f t="shared" si="33"/>
        <v>0</v>
      </c>
      <c r="S48" s="1"/>
      <c r="T48" s="1">
        <f>SUM(OSRRefT22_4x_0)</f>
        <v>30</v>
      </c>
      <c r="U48" s="1"/>
      <c r="V48" s="5">
        <f t="shared" si="34"/>
        <v>1.7357193688924375E-4</v>
      </c>
      <c r="W48" s="1"/>
      <c r="X48" s="1">
        <f t="shared" si="35"/>
        <v>-30</v>
      </c>
      <c r="Y48" s="1"/>
      <c r="Z48" s="5">
        <f t="shared" si="36"/>
        <v>-1</v>
      </c>
    </row>
    <row r="49" spans="1:26" s="24" customFormat="1" hidden="1" outlineLevel="2" x14ac:dyDescent="0.25">
      <c r="A49" s="28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29"/>
        <v>0</v>
      </c>
      <c r="G49" s="2"/>
      <c r="H49" s="7">
        <v>10</v>
      </c>
      <c r="I49" s="2"/>
      <c r="J49" s="6">
        <f t="shared" si="30"/>
        <v>1.1945575955944716E-4</v>
      </c>
      <c r="K49" s="2"/>
      <c r="L49" s="7">
        <f t="shared" si="31"/>
        <v>-10</v>
      </c>
      <c r="M49" s="2"/>
      <c r="N49" s="6">
        <f t="shared" si="32"/>
        <v>-1</v>
      </c>
      <c r="O49" s="11"/>
      <c r="P49" s="7"/>
      <c r="Q49" s="2"/>
      <c r="R49" s="6">
        <f t="shared" si="33"/>
        <v>0</v>
      </c>
      <c r="S49" s="2"/>
      <c r="T49" s="7">
        <v>30</v>
      </c>
      <c r="U49" s="2"/>
      <c r="V49" s="6">
        <f t="shared" si="34"/>
        <v>1.7357193688924375E-4</v>
      </c>
      <c r="W49" s="2"/>
      <c r="X49" s="7">
        <f t="shared" si="35"/>
        <v>-30</v>
      </c>
      <c r="Y49" s="2"/>
      <c r="Z49" s="6">
        <f t="shared" si="36"/>
        <v>-1</v>
      </c>
    </row>
    <row r="50" spans="1:26" s="27" customFormat="1" outlineLevel="1" collapsed="1" x14ac:dyDescent="0.25">
      <c r="A50" s="29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213.02</v>
      </c>
      <c r="E50" s="1"/>
      <c r="F50" s="5">
        <f t="shared" si="29"/>
        <v>-1.6980294345295747E-2</v>
      </c>
      <c r="G50" s="1"/>
      <c r="H50" s="1">
        <f>SUM(OSRRefH22_5x_0)</f>
        <v>213</v>
      </c>
      <c r="I50" s="1"/>
      <c r="J50" s="5">
        <f t="shared" si="30"/>
        <v>2.5444076786162247E-3</v>
      </c>
      <c r="K50" s="1"/>
      <c r="L50" s="1">
        <f t="shared" si="31"/>
        <v>2.0000000000010232E-2</v>
      </c>
      <c r="M50" s="1"/>
      <c r="N50" s="5">
        <f t="shared" si="32"/>
        <v>9.3896713615071505E-5</v>
      </c>
      <c r="O50" s="14"/>
      <c r="P50" s="1">
        <f>SUM(OSRRefP22_5x_0)</f>
        <v>852.08</v>
      </c>
      <c r="Q50" s="1"/>
      <c r="R50" s="5">
        <f t="shared" si="33"/>
        <v>0</v>
      </c>
      <c r="S50" s="1"/>
      <c r="T50" s="1">
        <f>SUM(OSRRefT22_5x_0)</f>
        <v>852</v>
      </c>
      <c r="U50" s="1"/>
      <c r="V50" s="5">
        <f t="shared" si="34"/>
        <v>4.9294430076545223E-3</v>
      </c>
      <c r="W50" s="1"/>
      <c r="X50" s="1">
        <f t="shared" si="35"/>
        <v>8.0000000000040927E-2</v>
      </c>
      <c r="Y50" s="1"/>
      <c r="Z50" s="5">
        <f t="shared" si="36"/>
        <v>9.3896713615071505E-5</v>
      </c>
    </row>
    <row r="51" spans="1:26" s="24" customFormat="1" hidden="1" outlineLevel="2" x14ac:dyDescent="0.25">
      <c r="A51" s="28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213.02</v>
      </c>
      <c r="E51" s="2"/>
      <c r="F51" s="6">
        <f t="shared" si="29"/>
        <v>-1.6980294345295747E-2</v>
      </c>
      <c r="G51" s="2"/>
      <c r="H51" s="7">
        <v>213</v>
      </c>
      <c r="I51" s="2"/>
      <c r="J51" s="6">
        <f t="shared" si="30"/>
        <v>2.5444076786162247E-3</v>
      </c>
      <c r="K51" s="2"/>
      <c r="L51" s="7">
        <f t="shared" si="31"/>
        <v>2.0000000000010232E-2</v>
      </c>
      <c r="M51" s="2"/>
      <c r="N51" s="6">
        <f t="shared" si="32"/>
        <v>9.3896713615071505E-5</v>
      </c>
      <c r="O51" s="11"/>
      <c r="P51" s="7">
        <v>852.08</v>
      </c>
      <c r="Q51" s="2"/>
      <c r="R51" s="6">
        <f t="shared" si="33"/>
        <v>0</v>
      </c>
      <c r="S51" s="2"/>
      <c r="T51" s="7">
        <v>852</v>
      </c>
      <c r="U51" s="2"/>
      <c r="V51" s="6">
        <f t="shared" si="34"/>
        <v>4.9294430076545223E-3</v>
      </c>
      <c r="W51" s="2"/>
      <c r="X51" s="7">
        <f t="shared" si="35"/>
        <v>8.0000000000040927E-2</v>
      </c>
      <c r="Y51" s="2"/>
      <c r="Z51" s="6">
        <f t="shared" si="36"/>
        <v>9.3896713615071505E-5</v>
      </c>
    </row>
    <row r="52" spans="1:26" s="27" customFormat="1" outlineLevel="1" collapsed="1" x14ac:dyDescent="0.25">
      <c r="A52" s="29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si="29"/>
        <v>0</v>
      </c>
      <c r="G52" s="1"/>
      <c r="H52" s="1">
        <f>SUM(OSRRefH22_6x_0)</f>
        <v>2673</v>
      </c>
      <c r="I52" s="1"/>
      <c r="J52" s="5">
        <f t="shared" si="30"/>
        <v>3.1930524530240229E-2</v>
      </c>
      <c r="K52" s="1"/>
      <c r="L52" s="1">
        <f t="shared" si="31"/>
        <v>-2673</v>
      </c>
      <c r="M52" s="1"/>
      <c r="N52" s="5">
        <f t="shared" si="32"/>
        <v>-1</v>
      </c>
      <c r="O52" s="14"/>
      <c r="P52" s="1">
        <f>SUM(OSRRefP22_6x_0)</f>
        <v>0</v>
      </c>
      <c r="Q52" s="1"/>
      <c r="R52" s="5">
        <f t="shared" si="33"/>
        <v>0</v>
      </c>
      <c r="S52" s="1"/>
      <c r="T52" s="1">
        <f>SUM(OSRRefT22_6x_0)</f>
        <v>8019</v>
      </c>
      <c r="U52" s="1"/>
      <c r="V52" s="5">
        <f t="shared" si="34"/>
        <v>4.6395778730494851E-2</v>
      </c>
      <c r="W52" s="1"/>
      <c r="X52" s="1">
        <f t="shared" si="35"/>
        <v>-8019</v>
      </c>
      <c r="Y52" s="1"/>
      <c r="Z52" s="5">
        <f t="shared" si="36"/>
        <v>-1</v>
      </c>
    </row>
    <row r="53" spans="1:26" s="24" customFormat="1" hidden="1" outlineLevel="2" x14ac:dyDescent="0.25">
      <c r="A53" s="28"/>
      <c r="B53" s="11" t="str">
        <f>CONCATENATE("          ", "6399", " - ", "DONATION-ON CAMPUS")</f>
        <v xml:space="preserve">          6399 - DONATION-ON CAMPUS</v>
      </c>
      <c r="C53" s="11"/>
      <c r="D53" s="7"/>
      <c r="E53" s="2"/>
      <c r="F53" s="6">
        <f t="shared" si="29"/>
        <v>0</v>
      </c>
      <c r="G53" s="2"/>
      <c r="H53" s="7">
        <v>2673</v>
      </c>
      <c r="I53" s="2"/>
      <c r="J53" s="6">
        <f t="shared" si="30"/>
        <v>3.1930524530240229E-2</v>
      </c>
      <c r="K53" s="2"/>
      <c r="L53" s="7">
        <f t="shared" si="31"/>
        <v>-2673</v>
      </c>
      <c r="M53" s="2"/>
      <c r="N53" s="6">
        <f t="shared" si="32"/>
        <v>-1</v>
      </c>
      <c r="O53" s="11"/>
      <c r="P53" s="7"/>
      <c r="Q53" s="2"/>
      <c r="R53" s="6">
        <f t="shared" si="33"/>
        <v>0</v>
      </c>
      <c r="S53" s="2"/>
      <c r="T53" s="7">
        <v>8019</v>
      </c>
      <c r="U53" s="2"/>
      <c r="V53" s="6">
        <f t="shared" si="34"/>
        <v>4.6395778730494851E-2</v>
      </c>
      <c r="W53" s="2"/>
      <c r="X53" s="7">
        <f t="shared" si="35"/>
        <v>-8019</v>
      </c>
      <c r="Y53" s="2"/>
      <c r="Z53" s="6">
        <f t="shared" si="36"/>
        <v>-1</v>
      </c>
    </row>
    <row r="54" spans="1:26" s="27" customFormat="1" outlineLevel="1" collapsed="1" x14ac:dyDescent="0.25">
      <c r="A54" s="29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29"/>
        <v>0</v>
      </c>
      <c r="G54" s="1"/>
      <c r="H54" s="1">
        <f>SUM(OSRRefH22_7x_0)</f>
        <v>50</v>
      </c>
      <c r="I54" s="1"/>
      <c r="J54" s="5">
        <f t="shared" si="30"/>
        <v>5.9727879779723574E-4</v>
      </c>
      <c r="K54" s="1"/>
      <c r="L54" s="1">
        <f t="shared" si="31"/>
        <v>-50</v>
      </c>
      <c r="M54" s="1"/>
      <c r="N54" s="5">
        <f t="shared" si="32"/>
        <v>-1</v>
      </c>
      <c r="O54" s="14"/>
      <c r="P54" s="1">
        <f>SUM(OSRRefP22_7x_0)</f>
        <v>0</v>
      </c>
      <c r="Q54" s="1"/>
      <c r="R54" s="5">
        <f t="shared" si="33"/>
        <v>0</v>
      </c>
      <c r="S54" s="1"/>
      <c r="T54" s="1">
        <f>SUM(OSRRefT22_7x_0)</f>
        <v>150</v>
      </c>
      <c r="U54" s="1"/>
      <c r="V54" s="5">
        <f t="shared" si="34"/>
        <v>8.6785968444621868E-4</v>
      </c>
      <c r="W54" s="1"/>
      <c r="X54" s="1">
        <f t="shared" si="35"/>
        <v>-150</v>
      </c>
      <c r="Y54" s="1"/>
      <c r="Z54" s="5">
        <f t="shared" si="36"/>
        <v>-1</v>
      </c>
    </row>
    <row r="55" spans="1:26" s="24" customFormat="1" hidden="1" outlineLevel="2" x14ac:dyDescent="0.25">
      <c r="A55" s="28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9"/>
        <v>0</v>
      </c>
      <c r="G55" s="2"/>
      <c r="H55" s="7">
        <v>50</v>
      </c>
      <c r="I55" s="2"/>
      <c r="J55" s="6">
        <f t="shared" si="30"/>
        <v>5.9727879779723574E-4</v>
      </c>
      <c r="K55" s="2"/>
      <c r="L55" s="7">
        <f t="shared" si="31"/>
        <v>-50</v>
      </c>
      <c r="M55" s="2"/>
      <c r="N55" s="6">
        <f t="shared" si="32"/>
        <v>-1</v>
      </c>
      <c r="O55" s="11"/>
      <c r="P55" s="7"/>
      <c r="Q55" s="2"/>
      <c r="R55" s="6">
        <f t="shared" si="33"/>
        <v>0</v>
      </c>
      <c r="S55" s="2"/>
      <c r="T55" s="7">
        <v>150</v>
      </c>
      <c r="U55" s="2"/>
      <c r="V55" s="6">
        <f t="shared" si="34"/>
        <v>8.6785968444621868E-4</v>
      </c>
      <c r="W55" s="2"/>
      <c r="X55" s="7">
        <f t="shared" si="35"/>
        <v>-150</v>
      </c>
      <c r="Y55" s="2"/>
      <c r="Z55" s="6">
        <f t="shared" si="36"/>
        <v>-1</v>
      </c>
    </row>
    <row r="56" spans="1:26" s="27" customFormat="1" outlineLevel="1" collapsed="1" x14ac:dyDescent="0.25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0</v>
      </c>
      <c r="E56" s="1"/>
      <c r="F56" s="5">
        <f t="shared" si="29"/>
        <v>0</v>
      </c>
      <c r="G56" s="1"/>
      <c r="H56" s="1">
        <f>SUM(OSRRefH22_8x_0)</f>
        <v>0</v>
      </c>
      <c r="I56" s="1"/>
      <c r="J56" s="5">
        <f t="shared" si="30"/>
        <v>0</v>
      </c>
      <c r="K56" s="1"/>
      <c r="L56" s="1">
        <f t="shared" si="31"/>
        <v>0</v>
      </c>
      <c r="M56" s="1"/>
      <c r="N56" s="5">
        <f t="shared" si="32"/>
        <v>0</v>
      </c>
      <c r="O56" s="14"/>
      <c r="P56" s="1">
        <f>SUM(OSRRefP22_8x_0)</f>
        <v>20</v>
      </c>
      <c r="Q56" s="1"/>
      <c r="R56" s="5">
        <f t="shared" si="33"/>
        <v>0</v>
      </c>
      <c r="S56" s="1"/>
      <c r="T56" s="1">
        <f>SUM(OSRRefT22_8x_0)</f>
        <v>0</v>
      </c>
      <c r="U56" s="1"/>
      <c r="V56" s="5">
        <f t="shared" si="34"/>
        <v>0</v>
      </c>
      <c r="W56" s="1"/>
      <c r="X56" s="1">
        <f t="shared" si="35"/>
        <v>20</v>
      </c>
      <c r="Y56" s="1"/>
      <c r="Z56" s="5">
        <f t="shared" si="36"/>
        <v>0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0</v>
      </c>
      <c r="M57" s="2"/>
      <c r="N57" s="6">
        <f t="shared" si="32"/>
        <v>0</v>
      </c>
      <c r="O57" s="11"/>
      <c r="P57" s="7">
        <v>20</v>
      </c>
      <c r="Q57" s="2"/>
      <c r="R57" s="6">
        <f t="shared" si="33"/>
        <v>0</v>
      </c>
      <c r="S57" s="2"/>
      <c r="T57" s="7"/>
      <c r="U57" s="2"/>
      <c r="V57" s="6">
        <f t="shared" si="34"/>
        <v>0</v>
      </c>
      <c r="W57" s="2"/>
      <c r="X57" s="7">
        <f t="shared" si="35"/>
        <v>20</v>
      </c>
      <c r="Y57" s="2"/>
      <c r="Z57" s="6">
        <f t="shared" si="36"/>
        <v>0</v>
      </c>
    </row>
    <row r="58" spans="1:26" s="27" customFormat="1" outlineLevel="1" collapsed="1" x14ac:dyDescent="0.25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SUM(OSRRefD22_9x_0)</f>
        <v>0</v>
      </c>
      <c r="E58" s="1"/>
      <c r="F58" s="5">
        <f t="shared" si="29"/>
        <v>0</v>
      </c>
      <c r="G58" s="1"/>
      <c r="H58" s="1">
        <f>SUM(OSRRefH22_9x_0)</f>
        <v>10</v>
      </c>
      <c r="I58" s="1"/>
      <c r="J58" s="5">
        <f t="shared" si="30"/>
        <v>1.1945575955944716E-4</v>
      </c>
      <c r="K58" s="1"/>
      <c r="L58" s="1">
        <f t="shared" si="31"/>
        <v>-10</v>
      </c>
      <c r="M58" s="1"/>
      <c r="N58" s="5">
        <f t="shared" si="32"/>
        <v>-1</v>
      </c>
      <c r="O58" s="14"/>
      <c r="P58" s="1">
        <f>SUM(OSRRefP22_9x_0)</f>
        <v>1439.55</v>
      </c>
      <c r="Q58" s="1"/>
      <c r="R58" s="5">
        <f t="shared" si="33"/>
        <v>0</v>
      </c>
      <c r="S58" s="1"/>
      <c r="T58" s="1">
        <f>SUM(OSRRefT22_9x_0)</f>
        <v>1630</v>
      </c>
      <c r="U58" s="1"/>
      <c r="V58" s="5">
        <f t="shared" si="34"/>
        <v>9.4307419043155767E-3</v>
      </c>
      <c r="W58" s="1"/>
      <c r="X58" s="1">
        <f t="shared" si="35"/>
        <v>-190.45000000000005</v>
      </c>
      <c r="Y58" s="1"/>
      <c r="Z58" s="5">
        <f t="shared" si="36"/>
        <v>-0.11684049079754603</v>
      </c>
    </row>
    <row r="59" spans="1:26" s="24" customFormat="1" hidden="1" outlineLevel="2" x14ac:dyDescent="0.25">
      <c r="A59" s="28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29"/>
        <v>0</v>
      </c>
      <c r="G59" s="2"/>
      <c r="H59" s="7">
        <v>10</v>
      </c>
      <c r="I59" s="2"/>
      <c r="J59" s="6">
        <f t="shared" si="30"/>
        <v>1.1945575955944716E-4</v>
      </c>
      <c r="K59" s="2"/>
      <c r="L59" s="7">
        <f t="shared" si="31"/>
        <v>-10</v>
      </c>
      <c r="M59" s="2"/>
      <c r="N59" s="6">
        <f t="shared" si="32"/>
        <v>-1</v>
      </c>
      <c r="O59" s="11"/>
      <c r="P59" s="7">
        <v>1439.55</v>
      </c>
      <c r="Q59" s="2"/>
      <c r="R59" s="6">
        <f t="shared" si="33"/>
        <v>0</v>
      </c>
      <c r="S59" s="2"/>
      <c r="T59" s="7">
        <v>1630</v>
      </c>
      <c r="U59" s="2"/>
      <c r="V59" s="6">
        <f t="shared" si="34"/>
        <v>9.4307419043155767E-3</v>
      </c>
      <c r="W59" s="2"/>
      <c r="X59" s="7">
        <f t="shared" si="35"/>
        <v>-190.45000000000005</v>
      </c>
      <c r="Y59" s="2"/>
      <c r="Z59" s="6">
        <f t="shared" si="36"/>
        <v>-0.11684049079754603</v>
      </c>
    </row>
    <row r="60" spans="1:26" s="27" customFormat="1" outlineLevel="1" collapsed="1" x14ac:dyDescent="0.25">
      <c r="A60" s="29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SUM(OSRRefD22_10x_0)</f>
        <v>5.9</v>
      </c>
      <c r="E60" s="1"/>
      <c r="F60" s="5">
        <f t="shared" si="29"/>
        <v>-4.7030202158128301E-4</v>
      </c>
      <c r="G60" s="1"/>
      <c r="H60" s="1">
        <f>SUM(OSRRefH22_10x_0)</f>
        <v>7</v>
      </c>
      <c r="I60" s="1"/>
      <c r="J60" s="5">
        <f t="shared" si="30"/>
        <v>8.3619031691613011E-5</v>
      </c>
      <c r="K60" s="1"/>
      <c r="L60" s="1">
        <f t="shared" si="31"/>
        <v>-1.0999999999999996</v>
      </c>
      <c r="M60" s="1"/>
      <c r="N60" s="5">
        <f t="shared" si="32"/>
        <v>-0.15714285714285708</v>
      </c>
      <c r="O60" s="14"/>
      <c r="P60" s="1">
        <f>SUM(OSRRefP22_10x_0)</f>
        <v>23.6</v>
      </c>
      <c r="Q60" s="1"/>
      <c r="R60" s="5">
        <f t="shared" si="33"/>
        <v>0</v>
      </c>
      <c r="S60" s="1"/>
      <c r="T60" s="1">
        <f>SUM(OSRRefT22_10x_0)</f>
        <v>28</v>
      </c>
      <c r="U60" s="1"/>
      <c r="V60" s="5">
        <f t="shared" si="34"/>
        <v>1.6200047442996082E-4</v>
      </c>
      <c r="W60" s="1"/>
      <c r="X60" s="1">
        <f t="shared" si="35"/>
        <v>-4.3999999999999986</v>
      </c>
      <c r="Y60" s="1"/>
      <c r="Z60" s="5">
        <f t="shared" si="36"/>
        <v>-0.15714285714285708</v>
      </c>
    </row>
    <row r="61" spans="1:26" s="24" customFormat="1" hidden="1" outlineLevel="2" x14ac:dyDescent="0.25">
      <c r="A61" s="28"/>
      <c r="B61" s="11" t="str">
        <f>CONCATENATE("          ", "6314", " - ", "LIABILITY INSURANCE")</f>
        <v xml:space="preserve">          6314 - LIABILITY INSURANCE</v>
      </c>
      <c r="C61" s="11"/>
      <c r="D61" s="7">
        <v>5.9</v>
      </c>
      <c r="E61" s="2"/>
      <c r="F61" s="6">
        <f t="shared" si="29"/>
        <v>-4.7030202158128301E-4</v>
      </c>
      <c r="G61" s="2"/>
      <c r="H61" s="7">
        <v>7</v>
      </c>
      <c r="I61" s="2"/>
      <c r="J61" s="6">
        <f t="shared" si="30"/>
        <v>8.3619031691613011E-5</v>
      </c>
      <c r="K61" s="2"/>
      <c r="L61" s="7">
        <f t="shared" si="31"/>
        <v>-1.0999999999999996</v>
      </c>
      <c r="M61" s="2"/>
      <c r="N61" s="6">
        <f t="shared" si="32"/>
        <v>-0.15714285714285708</v>
      </c>
      <c r="O61" s="11"/>
      <c r="P61" s="7">
        <v>23.6</v>
      </c>
      <c r="Q61" s="2"/>
      <c r="R61" s="6">
        <f t="shared" si="33"/>
        <v>0</v>
      </c>
      <c r="S61" s="2"/>
      <c r="T61" s="7">
        <v>28</v>
      </c>
      <c r="U61" s="2"/>
      <c r="V61" s="6">
        <f t="shared" si="34"/>
        <v>1.6200047442996082E-4</v>
      </c>
      <c r="W61" s="2"/>
      <c r="X61" s="7">
        <f t="shared" si="35"/>
        <v>-4.3999999999999986</v>
      </c>
      <c r="Y61" s="2"/>
      <c r="Z61" s="6">
        <f t="shared" si="36"/>
        <v>-0.15714285714285708</v>
      </c>
    </row>
    <row r="62" spans="1:26" s="27" customFormat="1" outlineLevel="1" collapsed="1" x14ac:dyDescent="0.25">
      <c r="A62" s="29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SUM(OSRRefD22_11x_0)</f>
        <v>0</v>
      </c>
      <c r="E62" s="1"/>
      <c r="F62" s="5">
        <f t="shared" si="29"/>
        <v>0</v>
      </c>
      <c r="G62" s="1"/>
      <c r="H62" s="1">
        <f>SUM(OSRRefH22_11x_0)</f>
        <v>6697</v>
      </c>
      <c r="I62" s="1"/>
      <c r="J62" s="5">
        <f t="shared" si="30"/>
        <v>7.9999522176961768E-2</v>
      </c>
      <c r="K62" s="1"/>
      <c r="L62" s="1">
        <f t="shared" si="31"/>
        <v>-6697</v>
      </c>
      <c r="M62" s="1"/>
      <c r="N62" s="5">
        <f t="shared" si="32"/>
        <v>-1</v>
      </c>
      <c r="O62" s="14"/>
      <c r="P62" s="1">
        <f>SUM(OSRRefP22_11x_0)</f>
        <v>0</v>
      </c>
      <c r="Q62" s="1"/>
      <c r="R62" s="5">
        <f t="shared" si="33"/>
        <v>0</v>
      </c>
      <c r="S62" s="1"/>
      <c r="T62" s="1">
        <f>SUM(OSRRefT22_11x_0)</f>
        <v>13827</v>
      </c>
      <c r="U62" s="1"/>
      <c r="V62" s="5">
        <f t="shared" si="34"/>
        <v>7.9999305712252444E-2</v>
      </c>
      <c r="W62" s="1"/>
      <c r="X62" s="1">
        <f t="shared" si="35"/>
        <v>-13827</v>
      </c>
      <c r="Y62" s="1"/>
      <c r="Z62" s="5">
        <f t="shared" si="36"/>
        <v>-1</v>
      </c>
    </row>
    <row r="63" spans="1:26" s="24" customFormat="1" hidden="1" outlineLevel="2" x14ac:dyDescent="0.25">
      <c r="A63" s="28"/>
      <c r="B63" s="11" t="str">
        <f>CONCATENATE("          ", "6387", " - ", "COMMISSION DUE HOUSING")</f>
        <v xml:space="preserve">          6387 - COMMISSION DUE HOUSING</v>
      </c>
      <c r="C63" s="11"/>
      <c r="D63" s="7"/>
      <c r="E63" s="2"/>
      <c r="F63" s="6">
        <f t="shared" si="29"/>
        <v>0</v>
      </c>
      <c r="G63" s="2"/>
      <c r="H63" s="7">
        <v>6697</v>
      </c>
      <c r="I63" s="2"/>
      <c r="J63" s="6">
        <f t="shared" si="30"/>
        <v>7.9999522176961768E-2</v>
      </c>
      <c r="K63" s="2"/>
      <c r="L63" s="7">
        <f t="shared" si="31"/>
        <v>-6697</v>
      </c>
      <c r="M63" s="2"/>
      <c r="N63" s="6">
        <f t="shared" si="32"/>
        <v>-1</v>
      </c>
      <c r="O63" s="11"/>
      <c r="P63" s="7"/>
      <c r="Q63" s="2"/>
      <c r="R63" s="6">
        <f t="shared" si="33"/>
        <v>0</v>
      </c>
      <c r="S63" s="2"/>
      <c r="T63" s="7">
        <v>13827</v>
      </c>
      <c r="U63" s="2"/>
      <c r="V63" s="6">
        <f t="shared" si="34"/>
        <v>7.9999305712252444E-2</v>
      </c>
      <c r="W63" s="2"/>
      <c r="X63" s="7">
        <f t="shared" si="35"/>
        <v>-13827</v>
      </c>
      <c r="Y63" s="2"/>
      <c r="Z63" s="6">
        <f t="shared" si="36"/>
        <v>-1</v>
      </c>
    </row>
    <row r="64" spans="1:26" s="27" customFormat="1" outlineLevel="1" collapsed="1" x14ac:dyDescent="0.25">
      <c r="A64" s="29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SUM(OSRRefD22_12x_0)</f>
        <v>0</v>
      </c>
      <c r="E64" s="1"/>
      <c r="F64" s="5">
        <f t="shared" si="29"/>
        <v>0</v>
      </c>
      <c r="G64" s="1"/>
      <c r="H64" s="1">
        <f>SUM(OSRRefH22_12x_0)</f>
        <v>20</v>
      </c>
      <c r="I64" s="1"/>
      <c r="J64" s="5">
        <f t="shared" si="30"/>
        <v>2.3891151911889432E-4</v>
      </c>
      <c r="K64" s="1"/>
      <c r="L64" s="1">
        <f t="shared" si="31"/>
        <v>-20</v>
      </c>
      <c r="M64" s="1"/>
      <c r="N64" s="5">
        <f t="shared" si="32"/>
        <v>-1</v>
      </c>
      <c r="O64" s="14"/>
      <c r="P64" s="1">
        <f>SUM(OSRRefP22_12x_0)</f>
        <v>72.349999999999994</v>
      </c>
      <c r="Q64" s="1"/>
      <c r="R64" s="5">
        <f t="shared" si="33"/>
        <v>0</v>
      </c>
      <c r="S64" s="1"/>
      <c r="T64" s="1">
        <f>SUM(OSRRefT22_12x_0)</f>
        <v>80</v>
      </c>
      <c r="U64" s="1"/>
      <c r="V64" s="5">
        <f t="shared" si="34"/>
        <v>4.6285849837131667E-4</v>
      </c>
      <c r="W64" s="1"/>
      <c r="X64" s="1">
        <f t="shared" si="35"/>
        <v>-7.6500000000000057</v>
      </c>
      <c r="Y64" s="1"/>
      <c r="Z64" s="5">
        <f t="shared" si="36"/>
        <v>-9.5625000000000071E-2</v>
      </c>
    </row>
    <row r="65" spans="1:26" s="24" customFormat="1" hidden="1" outlineLevel="2" x14ac:dyDescent="0.25">
      <c r="A65" s="28"/>
      <c r="B65" s="11" t="str">
        <f>CONCATENATE("          ", "6373", " - ", "MAINTENANCE CONTRACTS")</f>
        <v xml:space="preserve">          6373 - MAINTENANCE CONTRACTS</v>
      </c>
      <c r="C65" s="11"/>
      <c r="D65" s="7"/>
      <c r="E65" s="2"/>
      <c r="F65" s="6">
        <f t="shared" si="29"/>
        <v>0</v>
      </c>
      <c r="G65" s="2"/>
      <c r="H65" s="7">
        <v>20</v>
      </c>
      <c r="I65" s="2"/>
      <c r="J65" s="6">
        <f t="shared" si="30"/>
        <v>2.3891151911889432E-4</v>
      </c>
      <c r="K65" s="2"/>
      <c r="L65" s="7">
        <f t="shared" si="31"/>
        <v>-20</v>
      </c>
      <c r="M65" s="2"/>
      <c r="N65" s="6">
        <f t="shared" si="32"/>
        <v>-1</v>
      </c>
      <c r="O65" s="11"/>
      <c r="P65" s="7">
        <v>72.349999999999994</v>
      </c>
      <c r="Q65" s="2"/>
      <c r="R65" s="6">
        <f t="shared" si="33"/>
        <v>0</v>
      </c>
      <c r="S65" s="2"/>
      <c r="T65" s="7">
        <v>80</v>
      </c>
      <c r="U65" s="2"/>
      <c r="V65" s="6">
        <f t="shared" si="34"/>
        <v>4.6285849837131667E-4</v>
      </c>
      <c r="W65" s="2"/>
      <c r="X65" s="7">
        <f t="shared" si="35"/>
        <v>-7.6500000000000057</v>
      </c>
      <c r="Y65" s="2"/>
      <c r="Z65" s="6">
        <f t="shared" si="36"/>
        <v>-9.5625000000000071E-2</v>
      </c>
    </row>
    <row r="66" spans="1:26" s="27" customFormat="1" outlineLevel="1" collapsed="1" x14ac:dyDescent="0.25">
      <c r="A66" s="29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SUM(OSRRefD22_13x_0)</f>
        <v>1339.28</v>
      </c>
      <c r="E66" s="1"/>
      <c r="F66" s="5">
        <f t="shared" si="29"/>
        <v>-0.10675696465481027</v>
      </c>
      <c r="G66" s="1"/>
      <c r="H66" s="1">
        <f>SUM(OSRRefH22_13x_0)</f>
        <v>6247</v>
      </c>
      <c r="I66" s="1"/>
      <c r="J66" s="5">
        <f t="shared" si="30"/>
        <v>7.4624012996786643E-2</v>
      </c>
      <c r="K66" s="1"/>
      <c r="L66" s="1">
        <f t="shared" si="31"/>
        <v>-4907.72</v>
      </c>
      <c r="M66" s="1"/>
      <c r="N66" s="5">
        <f t="shared" si="32"/>
        <v>-0.78561229390107257</v>
      </c>
      <c r="O66" s="14"/>
      <c r="P66" s="1">
        <f>SUM(OSRRefP22_13x_0)</f>
        <v>2080.69</v>
      </c>
      <c r="Q66" s="1"/>
      <c r="R66" s="5">
        <f t="shared" si="33"/>
        <v>0</v>
      </c>
      <c r="S66" s="1"/>
      <c r="T66" s="1">
        <f>SUM(OSRRefT22_13x_0)</f>
        <v>24988</v>
      </c>
      <c r="U66" s="1"/>
      <c r="V66" s="5">
        <f t="shared" si="34"/>
        <v>0.14457385196628075</v>
      </c>
      <c r="W66" s="1"/>
      <c r="X66" s="1">
        <f t="shared" si="35"/>
        <v>-22907.31</v>
      </c>
      <c r="Y66" s="1"/>
      <c r="Z66" s="5">
        <f t="shared" si="36"/>
        <v>-0.91673243156715234</v>
      </c>
    </row>
    <row r="67" spans="1:26" s="24" customFormat="1" hidden="1" outlineLevel="2" x14ac:dyDescent="0.25">
      <c r="A67" s="28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1339.28</v>
      </c>
      <c r="E67" s="2"/>
      <c r="F67" s="6">
        <f t="shared" si="29"/>
        <v>-0.10675696465481027</v>
      </c>
      <c r="G67" s="2"/>
      <c r="H67" s="7">
        <v>850</v>
      </c>
      <c r="I67" s="2"/>
      <c r="J67" s="6">
        <f t="shared" si="30"/>
        <v>1.0153739562553008E-2</v>
      </c>
      <c r="K67" s="2"/>
      <c r="L67" s="7">
        <f t="shared" si="31"/>
        <v>489.28</v>
      </c>
      <c r="M67" s="2"/>
      <c r="N67" s="6">
        <f t="shared" si="32"/>
        <v>0.57562352941176465</v>
      </c>
      <c r="O67" s="11"/>
      <c r="P67" s="7">
        <v>2080.69</v>
      </c>
      <c r="Q67" s="2"/>
      <c r="R67" s="6">
        <f t="shared" si="33"/>
        <v>0</v>
      </c>
      <c r="S67" s="2"/>
      <c r="T67" s="7">
        <v>3400</v>
      </c>
      <c r="U67" s="2"/>
      <c r="V67" s="6">
        <f t="shared" si="34"/>
        <v>1.9671486180780958E-2</v>
      </c>
      <c r="W67" s="2"/>
      <c r="X67" s="7">
        <f t="shared" si="35"/>
        <v>-1319.31</v>
      </c>
      <c r="Y67" s="2"/>
      <c r="Z67" s="6">
        <f t="shared" si="36"/>
        <v>-0.38803235294117644</v>
      </c>
    </row>
    <row r="68" spans="1:26" s="24" customFormat="1" hidden="1" outlineLevel="2" x14ac:dyDescent="0.25">
      <c r="A68" s="28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29"/>
        <v>0</v>
      </c>
      <c r="G68" s="2"/>
      <c r="H68" s="7">
        <v>3897</v>
      </c>
      <c r="I68" s="2"/>
      <c r="J68" s="6">
        <f t="shared" si="30"/>
        <v>4.6551909500316555E-2</v>
      </c>
      <c r="K68" s="2"/>
      <c r="L68" s="7">
        <f t="shared" si="31"/>
        <v>-3897</v>
      </c>
      <c r="M68" s="2"/>
      <c r="N68" s="6">
        <f t="shared" si="32"/>
        <v>-1</v>
      </c>
      <c r="O68" s="11"/>
      <c r="P68" s="7"/>
      <c r="Q68" s="2"/>
      <c r="R68" s="6">
        <f t="shared" si="33"/>
        <v>0</v>
      </c>
      <c r="S68" s="2"/>
      <c r="T68" s="7">
        <v>15588</v>
      </c>
      <c r="U68" s="2"/>
      <c r="V68" s="6">
        <f t="shared" si="34"/>
        <v>9.0187978407651054E-2</v>
      </c>
      <c r="W68" s="2"/>
      <c r="X68" s="7">
        <f t="shared" si="35"/>
        <v>-15588</v>
      </c>
      <c r="Y68" s="2"/>
      <c r="Z68" s="6">
        <f t="shared" si="36"/>
        <v>-1</v>
      </c>
    </row>
    <row r="69" spans="1:26" s="24" customFormat="1" hidden="1" outlineLevel="2" x14ac:dyDescent="0.25">
      <c r="A69" s="28"/>
      <c r="B69" s="11" t="str">
        <f>CONCATENATE("          ", "6286", " - ", "LAUNDRY EXPENSE")</f>
        <v xml:space="preserve">          6286 - LAUNDRY EXPENSE</v>
      </c>
      <c r="C69" s="11"/>
      <c r="D69" s="7"/>
      <c r="E69" s="2"/>
      <c r="F69" s="6">
        <f t="shared" si="29"/>
        <v>0</v>
      </c>
      <c r="G69" s="2"/>
      <c r="H69" s="7">
        <v>1500</v>
      </c>
      <c r="I69" s="2"/>
      <c r="J69" s="6">
        <f t="shared" si="30"/>
        <v>1.7918363933917075E-2</v>
      </c>
      <c r="K69" s="2"/>
      <c r="L69" s="7">
        <f t="shared" si="31"/>
        <v>-1500</v>
      </c>
      <c r="M69" s="2"/>
      <c r="N69" s="6">
        <f t="shared" si="32"/>
        <v>-1</v>
      </c>
      <c r="O69" s="11"/>
      <c r="P69" s="7"/>
      <c r="Q69" s="2"/>
      <c r="R69" s="6">
        <f t="shared" si="33"/>
        <v>0</v>
      </c>
      <c r="S69" s="2"/>
      <c r="T69" s="7">
        <v>6000</v>
      </c>
      <c r="U69" s="2"/>
      <c r="V69" s="6">
        <f t="shared" si="34"/>
        <v>3.4714387377848752E-2</v>
      </c>
      <c r="W69" s="2"/>
      <c r="X69" s="7">
        <f t="shared" si="35"/>
        <v>-6000</v>
      </c>
      <c r="Y69" s="2"/>
      <c r="Z69" s="6">
        <f t="shared" si="36"/>
        <v>-1</v>
      </c>
    </row>
    <row r="70" spans="1:26" s="27" customFormat="1" outlineLevel="1" collapsed="1" x14ac:dyDescent="0.25">
      <c r="A70" s="29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SUM(OSRRefD22_14x_0)</f>
        <v>0</v>
      </c>
      <c r="E70" s="1"/>
      <c r="F70" s="5">
        <f t="shared" ref="F70:F77" si="37">IF(D$12=0,0,D70/D$12)</f>
        <v>0</v>
      </c>
      <c r="G70" s="1"/>
      <c r="H70" s="1">
        <f>SUM(OSRRefH22_14x_0)</f>
        <v>5700</v>
      </c>
      <c r="I70" s="1"/>
      <c r="J70" s="5">
        <f t="shared" ref="J70:J77" si="38">IF(H$12=0,0,H70/H$12)</f>
        <v>6.8089782948884875E-2</v>
      </c>
      <c r="K70" s="1"/>
      <c r="L70" s="1">
        <f t="shared" ref="L70:L77" si="39">+D70-H70</f>
        <v>-5700</v>
      </c>
      <c r="M70" s="1"/>
      <c r="N70" s="5">
        <f t="shared" ref="N70:N77" si="40">IF(H70=0,0,L70/H70)</f>
        <v>-1</v>
      </c>
      <c r="O70" s="14"/>
      <c r="P70" s="1">
        <f>SUM(OSRRefP22_14x_0)</f>
        <v>57.16</v>
      </c>
      <c r="Q70" s="1"/>
      <c r="R70" s="5">
        <f t="shared" ref="R70:R77" si="41">IF(P$12=0,0,P70/P$12)</f>
        <v>0</v>
      </c>
      <c r="S70" s="1"/>
      <c r="T70" s="1">
        <f>SUM(OSRRefT22_14x_0)</f>
        <v>18620</v>
      </c>
      <c r="U70" s="1"/>
      <c r="V70" s="5">
        <f t="shared" ref="V70:V77" si="42">IF(T$12=0,0,T70/T$12)</f>
        <v>0.10773031549592395</v>
      </c>
      <c r="W70" s="1"/>
      <c r="X70" s="1">
        <f t="shared" ref="X70:X77" si="43">+P70-T70</f>
        <v>-18562.84</v>
      </c>
      <c r="Y70" s="1"/>
      <c r="Z70" s="5">
        <f t="shared" ref="Z70:Z77" si="44">IF(T70=0,0,X70/T70)</f>
        <v>-0.99693018259935551</v>
      </c>
    </row>
    <row r="71" spans="1:26" s="24" customFormat="1" hidden="1" outlineLevel="2" x14ac:dyDescent="0.25">
      <c r="A71" s="28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37"/>
        <v>0</v>
      </c>
      <c r="G71" s="2"/>
      <c r="H71" s="7">
        <v>3000</v>
      </c>
      <c r="I71" s="2"/>
      <c r="J71" s="6">
        <f t="shared" si="38"/>
        <v>3.5836727867834151E-2</v>
      </c>
      <c r="K71" s="2"/>
      <c r="L71" s="7">
        <f t="shared" si="39"/>
        <v>-3000</v>
      </c>
      <c r="M71" s="2"/>
      <c r="N71" s="6">
        <f t="shared" si="40"/>
        <v>-1</v>
      </c>
      <c r="O71" s="11"/>
      <c r="P71" s="7"/>
      <c r="Q71" s="2"/>
      <c r="R71" s="6">
        <f t="shared" si="41"/>
        <v>0</v>
      </c>
      <c r="S71" s="2"/>
      <c r="T71" s="7">
        <v>9000</v>
      </c>
      <c r="U71" s="2"/>
      <c r="V71" s="6">
        <f t="shared" si="42"/>
        <v>5.2071581066773127E-2</v>
      </c>
      <c r="W71" s="2"/>
      <c r="X71" s="7">
        <f t="shared" si="43"/>
        <v>-9000</v>
      </c>
      <c r="Y71" s="2"/>
      <c r="Z71" s="6">
        <f t="shared" si="44"/>
        <v>-1</v>
      </c>
    </row>
    <row r="72" spans="1:26" s="24" customFormat="1" hidden="1" outlineLevel="2" x14ac:dyDescent="0.25">
      <c r="A72" s="28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37"/>
        <v>0</v>
      </c>
      <c r="G72" s="2"/>
      <c r="H72" s="7">
        <v>2000</v>
      </c>
      <c r="I72" s="2"/>
      <c r="J72" s="6">
        <f t="shared" si="38"/>
        <v>2.3891151911889431E-2</v>
      </c>
      <c r="K72" s="2"/>
      <c r="L72" s="7">
        <f t="shared" si="39"/>
        <v>-2000</v>
      </c>
      <c r="M72" s="2"/>
      <c r="N72" s="6">
        <f t="shared" si="40"/>
        <v>-1</v>
      </c>
      <c r="O72" s="11"/>
      <c r="P72" s="7"/>
      <c r="Q72" s="2"/>
      <c r="R72" s="6">
        <f t="shared" si="41"/>
        <v>0</v>
      </c>
      <c r="S72" s="2"/>
      <c r="T72" s="7">
        <v>7000</v>
      </c>
      <c r="U72" s="2"/>
      <c r="V72" s="6">
        <f t="shared" si="42"/>
        <v>4.0500118607490206E-2</v>
      </c>
      <c r="W72" s="2"/>
      <c r="X72" s="7">
        <f t="shared" si="43"/>
        <v>-7000</v>
      </c>
      <c r="Y72" s="2"/>
      <c r="Z72" s="6">
        <f t="shared" si="44"/>
        <v>-1</v>
      </c>
    </row>
    <row r="73" spans="1:26" s="24" customFormat="1" hidden="1" outlineLevel="2" x14ac:dyDescent="0.25">
      <c r="A73" s="28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37"/>
        <v>0</v>
      </c>
      <c r="G73" s="2"/>
      <c r="H73" s="7">
        <v>300</v>
      </c>
      <c r="I73" s="2"/>
      <c r="J73" s="6">
        <f t="shared" si="38"/>
        <v>3.5836727867834149E-3</v>
      </c>
      <c r="K73" s="2"/>
      <c r="L73" s="7">
        <f t="shared" si="39"/>
        <v>-300</v>
      </c>
      <c r="M73" s="2"/>
      <c r="N73" s="6">
        <f t="shared" si="40"/>
        <v>-1</v>
      </c>
      <c r="O73" s="11"/>
      <c r="P73" s="7"/>
      <c r="Q73" s="2"/>
      <c r="R73" s="6">
        <f t="shared" si="41"/>
        <v>0</v>
      </c>
      <c r="S73" s="2"/>
      <c r="T73" s="7">
        <v>900</v>
      </c>
      <c r="U73" s="2"/>
      <c r="V73" s="6">
        <f t="shared" si="42"/>
        <v>5.2071581066773127E-3</v>
      </c>
      <c r="W73" s="2"/>
      <c r="X73" s="7">
        <f t="shared" si="43"/>
        <v>-900</v>
      </c>
      <c r="Y73" s="2"/>
      <c r="Z73" s="6">
        <f t="shared" si="44"/>
        <v>-1</v>
      </c>
    </row>
    <row r="74" spans="1:26" s="24" customFormat="1" hidden="1" outlineLevel="2" x14ac:dyDescent="0.25">
      <c r="A74" s="28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37"/>
        <v>0</v>
      </c>
      <c r="G74" s="2"/>
      <c r="H74" s="7">
        <v>250</v>
      </c>
      <c r="I74" s="2"/>
      <c r="J74" s="6">
        <f t="shared" si="38"/>
        <v>2.9863939889861789E-3</v>
      </c>
      <c r="K74" s="2"/>
      <c r="L74" s="7">
        <f t="shared" si="39"/>
        <v>-250</v>
      </c>
      <c r="M74" s="2"/>
      <c r="N74" s="6">
        <f t="shared" si="40"/>
        <v>-1</v>
      </c>
      <c r="O74" s="11"/>
      <c r="P74" s="7">
        <v>57.16</v>
      </c>
      <c r="Q74" s="2"/>
      <c r="R74" s="6">
        <f t="shared" si="41"/>
        <v>0</v>
      </c>
      <c r="S74" s="2"/>
      <c r="T74" s="7">
        <v>750</v>
      </c>
      <c r="U74" s="2"/>
      <c r="V74" s="6">
        <f t="shared" si="42"/>
        <v>4.339298422231094E-3</v>
      </c>
      <c r="W74" s="2"/>
      <c r="X74" s="7">
        <f t="shared" si="43"/>
        <v>-692.84</v>
      </c>
      <c r="Y74" s="2"/>
      <c r="Z74" s="6">
        <f t="shared" si="44"/>
        <v>-0.92378666666666676</v>
      </c>
    </row>
    <row r="75" spans="1:26" s="24" customFormat="1" hidden="1" outlineLevel="2" x14ac:dyDescent="0.25">
      <c r="A75" s="28"/>
      <c r="B75" s="11" t="str">
        <f>CONCATENATE("          ", "6244", " - ", "SAFETY SUPPLY EXPENSE")</f>
        <v xml:space="preserve">          6244 - SAFETY SUPPLY EXPENSE</v>
      </c>
      <c r="C75" s="11"/>
      <c r="D75" s="7"/>
      <c r="E75" s="2"/>
      <c r="F75" s="6">
        <f t="shared" si="37"/>
        <v>0</v>
      </c>
      <c r="G75" s="2"/>
      <c r="H75" s="7"/>
      <c r="I75" s="2"/>
      <c r="J75" s="6">
        <f t="shared" si="38"/>
        <v>0</v>
      </c>
      <c r="K75" s="2"/>
      <c r="L75" s="7">
        <f t="shared" si="39"/>
        <v>0</v>
      </c>
      <c r="M75" s="2"/>
      <c r="N75" s="6">
        <f t="shared" si="40"/>
        <v>0</v>
      </c>
      <c r="O75" s="11"/>
      <c r="P75" s="7"/>
      <c r="Q75" s="2"/>
      <c r="R75" s="6">
        <f t="shared" si="41"/>
        <v>0</v>
      </c>
      <c r="S75" s="2"/>
      <c r="T75" s="7">
        <v>20</v>
      </c>
      <c r="U75" s="2"/>
      <c r="V75" s="6">
        <f t="shared" si="42"/>
        <v>1.1571462459282917E-4</v>
      </c>
      <c r="W75" s="2"/>
      <c r="X75" s="7">
        <f t="shared" si="43"/>
        <v>-20</v>
      </c>
      <c r="Y75" s="2"/>
      <c r="Z75" s="6">
        <f t="shared" si="44"/>
        <v>-1</v>
      </c>
    </row>
    <row r="76" spans="1:26" s="24" customFormat="1" hidden="1" outlineLevel="2" x14ac:dyDescent="0.25">
      <c r="A76" s="28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37"/>
        <v>0</v>
      </c>
      <c r="G76" s="2"/>
      <c r="H76" s="7"/>
      <c r="I76" s="2"/>
      <c r="J76" s="6">
        <f t="shared" si="38"/>
        <v>0</v>
      </c>
      <c r="K76" s="2"/>
      <c r="L76" s="7">
        <f t="shared" si="39"/>
        <v>0</v>
      </c>
      <c r="M76" s="2"/>
      <c r="N76" s="6">
        <f t="shared" si="40"/>
        <v>0</v>
      </c>
      <c r="O76" s="11"/>
      <c r="P76" s="7"/>
      <c r="Q76" s="2"/>
      <c r="R76" s="6">
        <f t="shared" si="41"/>
        <v>0</v>
      </c>
      <c r="S76" s="2"/>
      <c r="T76" s="7">
        <v>500</v>
      </c>
      <c r="U76" s="2"/>
      <c r="V76" s="6">
        <f t="shared" si="42"/>
        <v>2.8928656148207292E-3</v>
      </c>
      <c r="W76" s="2"/>
      <c r="X76" s="7">
        <f t="shared" si="43"/>
        <v>-500</v>
      </c>
      <c r="Y76" s="2"/>
      <c r="Z76" s="6">
        <f t="shared" si="44"/>
        <v>-1</v>
      </c>
    </row>
    <row r="77" spans="1:26" s="24" customFormat="1" hidden="1" outlineLevel="2" x14ac:dyDescent="0.25">
      <c r="A77" s="28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37"/>
        <v>0</v>
      </c>
      <c r="G77" s="2"/>
      <c r="H77" s="7">
        <v>150</v>
      </c>
      <c r="I77" s="2"/>
      <c r="J77" s="6">
        <f t="shared" si="38"/>
        <v>1.7918363933917074E-3</v>
      </c>
      <c r="K77" s="2"/>
      <c r="L77" s="7">
        <f t="shared" si="39"/>
        <v>-150</v>
      </c>
      <c r="M77" s="2"/>
      <c r="N77" s="6">
        <f t="shared" si="40"/>
        <v>-1</v>
      </c>
      <c r="O77" s="11"/>
      <c r="P77" s="7"/>
      <c r="Q77" s="2"/>
      <c r="R77" s="6">
        <f t="shared" si="41"/>
        <v>0</v>
      </c>
      <c r="S77" s="2"/>
      <c r="T77" s="7">
        <v>450</v>
      </c>
      <c r="U77" s="2"/>
      <c r="V77" s="6">
        <f t="shared" si="42"/>
        <v>2.6035790533386564E-3</v>
      </c>
      <c r="W77" s="2"/>
      <c r="X77" s="7">
        <f t="shared" si="43"/>
        <v>-450</v>
      </c>
      <c r="Y77" s="2"/>
      <c r="Z77" s="6">
        <f t="shared" si="44"/>
        <v>-1</v>
      </c>
    </row>
    <row r="78" spans="1:26" s="27" customFormat="1" outlineLevel="1" collapsed="1" x14ac:dyDescent="0.25">
      <c r="A78" s="29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SUM(OSRRefD22_15x_0)</f>
        <v>71.63</v>
      </c>
      <c r="E78" s="1"/>
      <c r="F78" s="5">
        <f t="shared" ref="F78:F80" si="45">IF(D$12=0,0,D78/D$12)</f>
        <v>-5.7097853908249655E-3</v>
      </c>
      <c r="G78" s="1"/>
      <c r="H78" s="1">
        <f>SUM(OSRRefH22_15x_0)</f>
        <v>140</v>
      </c>
      <c r="I78" s="1"/>
      <c r="J78" s="5">
        <f t="shared" ref="J78:J80" si="46">IF(H$12=0,0,H78/H$12)</f>
        <v>1.6723806338322601E-3</v>
      </c>
      <c r="K78" s="1"/>
      <c r="L78" s="1">
        <f t="shared" ref="L78:L80" si="47">+D78-H78</f>
        <v>-68.37</v>
      </c>
      <c r="M78" s="1"/>
      <c r="N78" s="5">
        <f t="shared" ref="N78:N80" si="48">IF(H78=0,0,L78/H78)</f>
        <v>-0.48835714285714288</v>
      </c>
      <c r="O78" s="14"/>
      <c r="P78" s="1">
        <f>SUM(OSRRefP22_15x_0)</f>
        <v>479.63</v>
      </c>
      <c r="Q78" s="1"/>
      <c r="R78" s="5">
        <f t="shared" ref="R78:R80" si="49">IF(P$12=0,0,P78/P$12)</f>
        <v>0</v>
      </c>
      <c r="S78" s="1"/>
      <c r="T78" s="1">
        <f>SUM(OSRRefT22_15x_0)</f>
        <v>560</v>
      </c>
      <c r="U78" s="1"/>
      <c r="V78" s="5">
        <f t="shared" ref="V78:V80" si="50">IF(T$12=0,0,T78/T$12)</f>
        <v>3.2400094885992165E-3</v>
      </c>
      <c r="W78" s="1"/>
      <c r="X78" s="1">
        <f t="shared" ref="X78:X80" si="51">+P78-T78</f>
        <v>-80.37</v>
      </c>
      <c r="Y78" s="1"/>
      <c r="Z78" s="5">
        <f t="shared" ref="Z78:Z80" si="52">IF(T78=0,0,X78/T78)</f>
        <v>-0.14351785714285714</v>
      </c>
    </row>
    <row r="79" spans="1:26" s="24" customFormat="1" hidden="1" outlineLevel="2" x14ac:dyDescent="0.25">
      <c r="A79" s="28"/>
      <c r="B79" s="11" t="str">
        <f>CONCATENATE("          ", "6303", " - ", "DATA PHONE LINES")</f>
        <v xml:space="preserve">          6303 - DATA PHONE LINES</v>
      </c>
      <c r="C79" s="11"/>
      <c r="D79" s="7"/>
      <c r="E79" s="2"/>
      <c r="F79" s="6">
        <f t="shared" si="45"/>
        <v>0</v>
      </c>
      <c r="G79" s="2"/>
      <c r="H79" s="7">
        <v>140</v>
      </c>
      <c r="I79" s="2"/>
      <c r="J79" s="6">
        <f t="shared" si="46"/>
        <v>1.6723806338322601E-3</v>
      </c>
      <c r="K79" s="2"/>
      <c r="L79" s="7">
        <f t="shared" si="47"/>
        <v>-140</v>
      </c>
      <c r="M79" s="2"/>
      <c r="N79" s="6">
        <f t="shared" si="48"/>
        <v>-1</v>
      </c>
      <c r="O79" s="11"/>
      <c r="P79" s="7"/>
      <c r="Q79" s="2"/>
      <c r="R79" s="6">
        <f t="shared" si="49"/>
        <v>0</v>
      </c>
      <c r="S79" s="2"/>
      <c r="T79" s="7">
        <v>560</v>
      </c>
      <c r="U79" s="2"/>
      <c r="V79" s="6">
        <f t="shared" si="50"/>
        <v>3.2400094885992165E-3</v>
      </c>
      <c r="W79" s="2"/>
      <c r="X79" s="7">
        <f t="shared" si="51"/>
        <v>-560</v>
      </c>
      <c r="Y79" s="2"/>
      <c r="Z79" s="6">
        <f t="shared" si="52"/>
        <v>-1</v>
      </c>
    </row>
    <row r="80" spans="1:26" s="24" customFormat="1" hidden="1" outlineLevel="2" x14ac:dyDescent="0.25">
      <c r="A80" s="28"/>
      <c r="B80" s="11" t="str">
        <f>CONCATENATE("          ", "6309", " - ", "TELEPHONE")</f>
        <v xml:space="preserve">          6309 - TELEPHONE</v>
      </c>
      <c r="C80" s="11"/>
      <c r="D80" s="7">
        <v>71.63</v>
      </c>
      <c r="E80" s="2"/>
      <c r="F80" s="6">
        <f t="shared" si="45"/>
        <v>-5.7097853908249655E-3</v>
      </c>
      <c r="G80" s="2"/>
      <c r="H80" s="7"/>
      <c r="I80" s="2"/>
      <c r="J80" s="6">
        <f t="shared" si="46"/>
        <v>0</v>
      </c>
      <c r="K80" s="2"/>
      <c r="L80" s="7">
        <f t="shared" si="47"/>
        <v>71.63</v>
      </c>
      <c r="M80" s="2"/>
      <c r="N80" s="6">
        <f t="shared" si="48"/>
        <v>0</v>
      </c>
      <c r="O80" s="11"/>
      <c r="P80" s="7">
        <v>479.63</v>
      </c>
      <c r="Q80" s="2"/>
      <c r="R80" s="6">
        <f t="shared" si="49"/>
        <v>0</v>
      </c>
      <c r="S80" s="2"/>
      <c r="T80" s="7"/>
      <c r="U80" s="2"/>
      <c r="V80" s="6">
        <f t="shared" si="50"/>
        <v>0</v>
      </c>
      <c r="W80" s="2"/>
      <c r="X80" s="7">
        <f t="shared" si="51"/>
        <v>479.63</v>
      </c>
      <c r="Y80" s="2"/>
      <c r="Z80" s="6">
        <f t="shared" si="52"/>
        <v>0</v>
      </c>
    </row>
    <row r="81" spans="1:26" s="27" customFormat="1" outlineLevel="1" collapsed="1" x14ac:dyDescent="0.25">
      <c r="A81" s="29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SUM(OSRRefD22_16x_0)</f>
        <v>0</v>
      </c>
      <c r="E81" s="1"/>
      <c r="F81" s="5">
        <f t="shared" ref="F81:F82" si="53">IF(D$12=0,0,D81/D$12)</f>
        <v>0</v>
      </c>
      <c r="G81" s="1"/>
      <c r="H81" s="1">
        <f>SUM(OSRRefH22_16x_0)</f>
        <v>200</v>
      </c>
      <c r="I81" s="1"/>
      <c r="J81" s="5">
        <f t="shared" ref="J81:J82" si="54">IF(H$12=0,0,H81/H$12)</f>
        <v>2.389115191188943E-3</v>
      </c>
      <c r="K81" s="1"/>
      <c r="L81" s="1">
        <f t="shared" ref="L81:L82" si="55">+D81-H81</f>
        <v>-200</v>
      </c>
      <c r="M81" s="1"/>
      <c r="N81" s="5">
        <f t="shared" ref="N81:N82" si="56">IF(H81=0,0,L81/H81)</f>
        <v>-1</v>
      </c>
      <c r="O81" s="14"/>
      <c r="P81" s="1">
        <f>SUM(OSRRefP22_16x_0)</f>
        <v>0</v>
      </c>
      <c r="Q81" s="1"/>
      <c r="R81" s="5">
        <f t="shared" ref="R81:R82" si="57">IF(P$12=0,0,P81/P$12)</f>
        <v>0</v>
      </c>
      <c r="S81" s="1"/>
      <c r="T81" s="1">
        <f>SUM(OSRRefT22_16x_0)</f>
        <v>800</v>
      </c>
      <c r="U81" s="1"/>
      <c r="V81" s="5">
        <f t="shared" ref="V81:V82" si="58">IF(T$12=0,0,T81/T$12)</f>
        <v>4.6285849837131663E-3</v>
      </c>
      <c r="W81" s="1"/>
      <c r="X81" s="1">
        <f t="shared" ref="X81:X82" si="59">+P81-T81</f>
        <v>-800</v>
      </c>
      <c r="Y81" s="1"/>
      <c r="Z81" s="5">
        <f t="shared" ref="Z81:Z82" si="60">IF(T81=0,0,X81/T81)</f>
        <v>-1</v>
      </c>
    </row>
    <row r="82" spans="1:26" s="24" customFormat="1" hidden="1" outlineLevel="2" x14ac:dyDescent="0.25">
      <c r="A82" s="28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53"/>
        <v>0</v>
      </c>
      <c r="G82" s="2"/>
      <c r="H82" s="7">
        <v>200</v>
      </c>
      <c r="I82" s="2"/>
      <c r="J82" s="6">
        <f t="shared" si="54"/>
        <v>2.389115191188943E-3</v>
      </c>
      <c r="K82" s="2"/>
      <c r="L82" s="7">
        <f t="shared" si="55"/>
        <v>-200</v>
      </c>
      <c r="M82" s="2"/>
      <c r="N82" s="6">
        <f t="shared" si="56"/>
        <v>-1</v>
      </c>
      <c r="O82" s="11"/>
      <c r="P82" s="7"/>
      <c r="Q82" s="2"/>
      <c r="R82" s="6">
        <f t="shared" si="57"/>
        <v>0</v>
      </c>
      <c r="S82" s="2"/>
      <c r="T82" s="7">
        <v>800</v>
      </c>
      <c r="U82" s="2"/>
      <c r="V82" s="6">
        <f t="shared" si="58"/>
        <v>4.6285849837131663E-3</v>
      </c>
      <c r="W82" s="2"/>
      <c r="X82" s="7">
        <f t="shared" si="59"/>
        <v>-800</v>
      </c>
      <c r="Y82" s="2"/>
      <c r="Z82" s="6">
        <f t="shared" si="60"/>
        <v>-1</v>
      </c>
    </row>
    <row r="83" spans="1:26" s="63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5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6" t="s">
        <v>3</v>
      </c>
      <c r="C86" s="26"/>
      <c r="D86" s="20">
        <f>+D19-D21+D84</f>
        <v>-62396.42</v>
      </c>
      <c r="E86" s="13"/>
      <c r="F86" s="19">
        <f>IF(D$12=0,0,D86/D$12)</f>
        <v>4.9737563500736943</v>
      </c>
      <c r="G86" s="13"/>
      <c r="H86" s="20">
        <f>+H19-H21+H84</f>
        <v>-46348.724119484556</v>
      </c>
      <c r="I86" s="13"/>
      <c r="J86" s="19">
        <f>IF(H$12=0,0,H86/H$12)</f>
        <v>-0.55366220443042968</v>
      </c>
      <c r="K86" s="15"/>
      <c r="L86" s="20">
        <f>+D86-H86</f>
        <v>-16047.695880515443</v>
      </c>
      <c r="M86" s="15"/>
      <c r="N86" s="19">
        <f>IF(H86=0,0,L86/H86)</f>
        <v>0.34623813676392329</v>
      </c>
      <c r="O86" s="25"/>
      <c r="P86" s="20">
        <f>+P19-P21+P84</f>
        <v>-169497.9</v>
      </c>
      <c r="Q86" s="13"/>
      <c r="R86" s="19">
        <f>IF(P$12=0,0,P86/P$12)</f>
        <v>0</v>
      </c>
      <c r="S86" s="13"/>
      <c r="T86" s="20">
        <f>+T19-T21+T84</f>
        <v>-239066.20220514433</v>
      </c>
      <c r="U86" s="13"/>
      <c r="V86" s="19">
        <f>IF(T$12=0,0,T86/T$12)</f>
        <v>-1.3831727920500831</v>
      </c>
      <c r="W86" s="15"/>
      <c r="X86" s="20">
        <f>+P86-T86</f>
        <v>69568.30220514434</v>
      </c>
      <c r="Y86" s="15"/>
      <c r="Z86" s="19">
        <f>IF(T86=0,0,X86/T86)</f>
        <v>-0.29100015628912407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-2324.04</v>
      </c>
      <c r="E88" s="4"/>
      <c r="F88" s="12">
        <f>IF(D$12=0,0,D88/D$12)</f>
        <v>0.18525435766707879</v>
      </c>
      <c r="G88" s="4"/>
      <c r="H88" s="4">
        <v>15412</v>
      </c>
      <c r="I88" s="4"/>
      <c r="J88" s="12">
        <f>IF(H$12=0,0,H88/H$12)</f>
        <v>0.18410521663301996</v>
      </c>
      <c r="K88" s="4"/>
      <c r="L88" s="4">
        <f>+D88-H88</f>
        <v>-17736.04</v>
      </c>
      <c r="M88" s="4"/>
      <c r="N88" s="12">
        <f>IF(H88=0,0,L88/H88)</f>
        <v>-1.1507941863483</v>
      </c>
      <c r="O88" s="10"/>
      <c r="P88" s="4">
        <v>0</v>
      </c>
      <c r="Q88" s="4"/>
      <c r="R88" s="12">
        <f>IF(P$12=0,0,P88/P$12)</f>
        <v>0</v>
      </c>
      <c r="S88" s="4"/>
      <c r="T88" s="4">
        <v>28297</v>
      </c>
      <c r="U88" s="4"/>
      <c r="V88" s="12">
        <f>IF(T$12=0,0,T88/T$12)</f>
        <v>0.16371883660516434</v>
      </c>
      <c r="W88" s="4"/>
      <c r="X88" s="4">
        <f>+P88-T88</f>
        <v>-28297</v>
      </c>
      <c r="Y88" s="4"/>
      <c r="Z88" s="12">
        <f>IF(T88=0,0,X88/T88)</f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4</v>
      </c>
      <c r="C90" s="26"/>
      <c r="D90" s="34">
        <f>+D86-D88</f>
        <v>-60072.38</v>
      </c>
      <c r="E90" s="13"/>
      <c r="F90" s="35">
        <f>IF(D$12=0,0,D90/D$12)</f>
        <v>4.7885019924066157</v>
      </c>
      <c r="G90" s="13"/>
      <c r="H90" s="34">
        <f>+H86-H88</f>
        <v>-61760.724119484556</v>
      </c>
      <c r="I90" s="13"/>
      <c r="J90" s="35">
        <f>IF(H$12=0,0,H90/H$12)</f>
        <v>-0.73776742106344961</v>
      </c>
      <c r="K90" s="15"/>
      <c r="L90" s="34">
        <f>D90-H90</f>
        <v>1688.3441194845582</v>
      </c>
      <c r="M90" s="15"/>
      <c r="N90" s="35">
        <f>IF(H90=0,0,L90/H90)</f>
        <v>-2.7336857583117484E-2</v>
      </c>
      <c r="O90" s="25"/>
      <c r="P90" s="34">
        <f>+P86-P88</f>
        <v>-169497.9</v>
      </c>
      <c r="Q90" s="13"/>
      <c r="R90" s="35">
        <f>IF(P$12=0,0,P90/P$12)</f>
        <v>0</v>
      </c>
      <c r="S90" s="13"/>
      <c r="T90" s="34">
        <f>+T86-T88</f>
        <v>-267363.20220514433</v>
      </c>
      <c r="U90" s="13"/>
      <c r="V90" s="35">
        <f>IF(T$12=0,0,T90/T$12)</f>
        <v>-1.5468916286552477</v>
      </c>
      <c r="W90" s="15"/>
      <c r="X90" s="34">
        <f>P90-T90</f>
        <v>97865.30220514434</v>
      </c>
      <c r="Y90" s="15"/>
      <c r="Z90" s="35">
        <f>IF(T90=0,0,X90/T90)</f>
        <v>-0.36603878693094632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5</v>
      </c>
      <c r="C93" s="26"/>
      <c r="D93" s="30">
        <f>SUM(D90:D92)</f>
        <v>-60072.38</v>
      </c>
      <c r="E93" s="13"/>
      <c r="F93" s="32">
        <f>IF(D$12=0,0,D93/D$12)</f>
        <v>4.7885019924066157</v>
      </c>
      <c r="G93" s="13"/>
      <c r="H93" s="30">
        <f>SUM(H90:H92)</f>
        <v>-61760.724119484556</v>
      </c>
      <c r="I93" s="13"/>
      <c r="J93" s="32">
        <f>IF(H$12=0,0,H93/H$12)</f>
        <v>-0.73776742106344961</v>
      </c>
      <c r="K93" s="15"/>
      <c r="L93" s="30">
        <f>+D93-H93</f>
        <v>1688.3441194845582</v>
      </c>
      <c r="M93" s="15"/>
      <c r="N93" s="32">
        <f>IF(H93=0,0,L93/H93)</f>
        <v>-2.7336857583117484E-2</v>
      </c>
      <c r="O93" s="25"/>
      <c r="P93" s="30">
        <f>SUM(P90:P92)</f>
        <v>-169497.9</v>
      </c>
      <c r="Q93" s="13"/>
      <c r="R93" s="32">
        <f>IF(P$12=0,0,P93/P$12)</f>
        <v>0</v>
      </c>
      <c r="S93" s="13"/>
      <c r="T93" s="30">
        <f>SUM(T90:T92)</f>
        <v>-267363.20220514433</v>
      </c>
      <c r="U93" s="13"/>
      <c r="V93" s="32">
        <f>IF(T$12=0,0,T93/T$12)</f>
        <v>-1.5468916286552477</v>
      </c>
      <c r="W93" s="15"/>
      <c r="X93" s="30">
        <f>+P93-T93</f>
        <v>97865.30220514434</v>
      </c>
      <c r="Y93" s="15"/>
      <c r="Z93" s="32">
        <f>IF(T93=0,0,X93/T93)</f>
        <v>-0.36603878693094632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0">
        <v>44151.568896643519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8" t="s">
        <v>314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3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">
        <v>298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151563</v>
      </c>
      <c r="E12" s="4"/>
      <c r="F12" s="12"/>
      <c r="G12" s="4"/>
      <c r="H12" s="4">
        <f>SUM(OSRRefH13x_0)</f>
        <v>37799</v>
      </c>
      <c r="I12" s="4"/>
      <c r="J12" s="12"/>
      <c r="K12" s="4"/>
      <c r="L12" s="4">
        <f t="shared" ref="L12:L13" si="0">+D12-H12</f>
        <v>113764</v>
      </c>
      <c r="M12" s="4"/>
      <c r="N12" s="12">
        <f t="shared" ref="N12:N13" si="1">IF(H12=0,0,L12/H12)</f>
        <v>3.0097092515675019</v>
      </c>
      <c r="O12" s="10"/>
      <c r="P12" s="4">
        <f>SUM(OSRRefP13x_0)</f>
        <v>269605</v>
      </c>
      <c r="Q12" s="4"/>
      <c r="R12" s="12"/>
      <c r="S12" s="4"/>
      <c r="T12" s="4">
        <f>SUM(OSRRefT13x_0)</f>
        <v>303377</v>
      </c>
      <c r="U12" s="4"/>
      <c r="V12" s="12"/>
      <c r="W12" s="4"/>
      <c r="X12" s="4">
        <f t="shared" ref="X12:X13" si="2">+P12-T12</f>
        <v>-33772</v>
      </c>
      <c r="Y12" s="4"/>
      <c r="Z12" s="12">
        <f t="shared" ref="Z12:Z13" si="3">IF(T12=0,0,X12/T12)</f>
        <v>-0.11132023851511486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--151563</f>
        <v>151563</v>
      </c>
      <c r="E13" s="2"/>
      <c r="F13" s="22"/>
      <c r="G13" s="2"/>
      <c r="H13" s="2">
        <v>37799</v>
      </c>
      <c r="I13" s="2"/>
      <c r="J13" s="22"/>
      <c r="K13" s="2"/>
      <c r="L13" s="2">
        <f t="shared" si="0"/>
        <v>113764</v>
      </c>
      <c r="M13" s="2"/>
      <c r="N13" s="22">
        <f t="shared" si="1"/>
        <v>3.0097092515675019</v>
      </c>
      <c r="O13" s="11"/>
      <c r="P13" s="2">
        <f>--269605</f>
        <v>269605</v>
      </c>
      <c r="Q13" s="2"/>
      <c r="R13" s="22"/>
      <c r="S13" s="2"/>
      <c r="T13" s="2">
        <v>303377</v>
      </c>
      <c r="U13" s="2"/>
      <c r="V13" s="22"/>
      <c r="W13" s="2"/>
      <c r="X13" s="2">
        <f t="shared" si="2"/>
        <v>-33772</v>
      </c>
      <c r="Y13" s="2"/>
      <c r="Z13" s="22">
        <f t="shared" si="3"/>
        <v>-0.11132023851511486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151563</v>
      </c>
      <c r="E17" s="13"/>
      <c r="F17" s="19">
        <f>IF(D$12=0,0,D17/D$12)</f>
        <v>1</v>
      </c>
      <c r="G17" s="13"/>
      <c r="H17" s="20">
        <f>H12-H15</f>
        <v>37799</v>
      </c>
      <c r="I17" s="13"/>
      <c r="J17" s="19">
        <f>IF(H$12=0,0,H17/H$12)</f>
        <v>1</v>
      </c>
      <c r="K17" s="15"/>
      <c r="L17" s="20">
        <f>+D17-H17</f>
        <v>113764</v>
      </c>
      <c r="M17" s="15"/>
      <c r="N17" s="19">
        <f>IF(H17=0,0,L17/H17)</f>
        <v>3.0097092515675019</v>
      </c>
      <c r="O17" s="25"/>
      <c r="P17" s="20">
        <f>P12-P15</f>
        <v>269605</v>
      </c>
      <c r="Q17" s="13"/>
      <c r="R17" s="19">
        <f>IF(P$12=0,0,P17/P$12)</f>
        <v>1</v>
      </c>
      <c r="S17" s="13"/>
      <c r="T17" s="20">
        <f>T12-T15</f>
        <v>303377</v>
      </c>
      <c r="U17" s="13"/>
      <c r="V17" s="19">
        <f>IF(T$12=0,0,T17/T$12)</f>
        <v>1</v>
      </c>
      <c r="W17" s="15"/>
      <c r="X17" s="20">
        <f>+P17-T17</f>
        <v>-33772</v>
      </c>
      <c r="Y17" s="15"/>
      <c r="Z17" s="19">
        <f>IF(T17=0,0,X17/T17)</f>
        <v>-0.11132023851511486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1">
        <f>SUM(OSRRefD22x_0)</f>
        <v>144748.99</v>
      </c>
      <c r="E19" s="21"/>
      <c r="F19" s="31">
        <f t="shared" ref="F19:F30" si="4">IF(D$12=0,0,D19/D$12)</f>
        <v>0.95504173182109087</v>
      </c>
      <c r="G19" s="21"/>
      <c r="H19" s="21">
        <f>SUM(OSRRefH22x_0)</f>
        <v>35146.708167019227</v>
      </c>
      <c r="I19" s="21"/>
      <c r="J19" s="31">
        <f t="shared" ref="J19:J30" si="5">IF(H$12=0,0,H19/H$12)</f>
        <v>0.92983169308762736</v>
      </c>
      <c r="K19" s="4"/>
      <c r="L19" s="21">
        <f t="shared" ref="L19:L30" si="6">+D19-H19</f>
        <v>109602.28183298076</v>
      </c>
      <c r="M19" s="4"/>
      <c r="N19" s="31">
        <f t="shared" ref="N19:N30" si="7">IF(H19=0,0,L19/H19)</f>
        <v>3.1184223942721538</v>
      </c>
      <c r="O19" s="10"/>
      <c r="P19" s="21">
        <f>SUM(OSRRefP22x_0)</f>
        <v>248711.98</v>
      </c>
      <c r="Q19" s="21"/>
      <c r="R19" s="31">
        <f t="shared" ref="R19:R30" si="8">IF(P$12=0,0,P19/P$12)</f>
        <v>0.9225050722353072</v>
      </c>
      <c r="S19" s="21"/>
      <c r="T19" s="21">
        <f>SUM(OSRRefT22x_0)</f>
        <v>268948.41373751924</v>
      </c>
      <c r="U19" s="21"/>
      <c r="V19" s="31">
        <f t="shared" ref="V19:V30" si="9">IF(T$12=0,0,T19/T$12)</f>
        <v>0.88651550294689196</v>
      </c>
      <c r="W19" s="4"/>
      <c r="X19" s="21">
        <f t="shared" ref="X19:X30" si="10">+P19-T19</f>
        <v>-20236.433737519226</v>
      </c>
      <c r="Y19" s="4"/>
      <c r="Z19" s="31">
        <f t="shared" ref="Z19:Z30" si="11">IF(T19=0,0,X19/T19)</f>
        <v>-7.5242807556652913E-2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4682.09</v>
      </c>
      <c r="E20" s="1"/>
      <c r="F20" s="5">
        <f t="shared" si="4"/>
        <v>3.0892038294306659E-2</v>
      </c>
      <c r="G20" s="1"/>
      <c r="H20" s="1">
        <f>SUM(OSRRefH22_0x_0)</f>
        <v>4150.4384554807693</v>
      </c>
      <c r="I20" s="1"/>
      <c r="J20" s="5">
        <f t="shared" si="5"/>
        <v>0.10980286397737425</v>
      </c>
      <c r="K20" s="1"/>
      <c r="L20" s="1">
        <f t="shared" si="6"/>
        <v>531.65154451923081</v>
      </c>
      <c r="M20" s="1"/>
      <c r="N20" s="5">
        <f t="shared" si="7"/>
        <v>0.12809527239638263</v>
      </c>
      <c r="O20" s="14"/>
      <c r="P20" s="1">
        <f>SUM(OSRRefP22_0x_0)</f>
        <v>16858.739999999998</v>
      </c>
      <c r="Q20" s="1"/>
      <c r="R20" s="5">
        <f t="shared" si="8"/>
        <v>6.2531258693273487E-2</v>
      </c>
      <c r="S20" s="1"/>
      <c r="T20" s="1">
        <f>SUM(OSRRefT22_0x_0)</f>
        <v>18458.761525980772</v>
      </c>
      <c r="U20" s="1"/>
      <c r="V20" s="5">
        <f t="shared" si="9"/>
        <v>6.0844301070881353E-2</v>
      </c>
      <c r="W20" s="1"/>
      <c r="X20" s="1">
        <f t="shared" si="10"/>
        <v>-1600.0215259807737</v>
      </c>
      <c r="Y20" s="1"/>
      <c r="Z20" s="5">
        <f t="shared" si="11"/>
        <v>-8.6680870963565887E-2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>
        <v>1375.38</v>
      </c>
      <c r="E21" s="2"/>
      <c r="F21" s="6">
        <f t="shared" si="4"/>
        <v>9.074642227984403E-3</v>
      </c>
      <c r="G21" s="2"/>
      <c r="H21" s="7">
        <v>898.56448528846204</v>
      </c>
      <c r="I21" s="2"/>
      <c r="J21" s="6">
        <f t="shared" si="5"/>
        <v>2.3772176123401732E-2</v>
      </c>
      <c r="K21" s="2"/>
      <c r="L21" s="7">
        <f t="shared" si="6"/>
        <v>476.81551471153807</v>
      </c>
      <c r="M21" s="2"/>
      <c r="N21" s="6">
        <f t="shared" si="7"/>
        <v>0.53064139804998878</v>
      </c>
      <c r="O21" s="11"/>
      <c r="P21" s="7">
        <v>4521.6400000000003</v>
      </c>
      <c r="Q21" s="2"/>
      <c r="R21" s="6">
        <f t="shared" si="8"/>
        <v>1.6771350679698076E-2</v>
      </c>
      <c r="S21" s="2"/>
      <c r="T21" s="7">
        <v>5051.1090707884605</v>
      </c>
      <c r="U21" s="2"/>
      <c r="V21" s="6">
        <f t="shared" si="9"/>
        <v>1.6649611113526933E-2</v>
      </c>
      <c r="W21" s="2"/>
      <c r="X21" s="7">
        <f t="shared" si="10"/>
        <v>-529.46907078846016</v>
      </c>
      <c r="Y21" s="2"/>
      <c r="Z21" s="6">
        <f t="shared" si="11"/>
        <v>-0.10482233968188928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7">
        <v>79.05</v>
      </c>
      <c r="E22" s="2"/>
      <c r="F22" s="6">
        <f t="shared" si="4"/>
        <v>5.2156528968151856E-4</v>
      </c>
      <c r="G22" s="2"/>
      <c r="H22" s="7">
        <v>367.06472596153901</v>
      </c>
      <c r="I22" s="2"/>
      <c r="J22" s="6">
        <f t="shared" si="5"/>
        <v>9.7109639398274827E-3</v>
      </c>
      <c r="K22" s="2"/>
      <c r="L22" s="7">
        <f t="shared" si="6"/>
        <v>-288.014725961539</v>
      </c>
      <c r="M22" s="2"/>
      <c r="N22" s="6">
        <f t="shared" si="7"/>
        <v>-0.78464288609338384</v>
      </c>
      <c r="O22" s="11"/>
      <c r="P22" s="7">
        <v>323.54000000000002</v>
      </c>
      <c r="Q22" s="2"/>
      <c r="R22" s="6">
        <f t="shared" si="8"/>
        <v>1.2000519278203298E-3</v>
      </c>
      <c r="S22" s="2"/>
      <c r="T22" s="7">
        <v>1508.2437009615401</v>
      </c>
      <c r="U22" s="2"/>
      <c r="V22" s="6">
        <f t="shared" si="9"/>
        <v>4.9715163013726816E-3</v>
      </c>
      <c r="W22" s="2"/>
      <c r="X22" s="7">
        <f t="shared" si="10"/>
        <v>-1184.7037009615401</v>
      </c>
      <c r="Y22" s="2"/>
      <c r="Z22" s="6">
        <f t="shared" si="11"/>
        <v>-0.78548559507078608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7">
        <v>1230.45</v>
      </c>
      <c r="E23" s="2"/>
      <c r="F23" s="6">
        <f t="shared" si="4"/>
        <v>8.118406207319729E-3</v>
      </c>
      <c r="G23" s="2"/>
      <c r="H23" s="7">
        <v>1025</v>
      </c>
      <c r="I23" s="2"/>
      <c r="J23" s="6">
        <f t="shared" si="5"/>
        <v>2.7117119500515888E-2</v>
      </c>
      <c r="K23" s="2"/>
      <c r="L23" s="7">
        <f t="shared" si="6"/>
        <v>205.45000000000005</v>
      </c>
      <c r="M23" s="2"/>
      <c r="N23" s="6">
        <f t="shared" si="7"/>
        <v>0.20043902439024394</v>
      </c>
      <c r="O23" s="11"/>
      <c r="P23" s="7">
        <v>4942.1000000000004</v>
      </c>
      <c r="Q23" s="2"/>
      <c r="R23" s="6">
        <f t="shared" si="8"/>
        <v>1.8330891489401164E-2</v>
      </c>
      <c r="S23" s="2"/>
      <c r="T23" s="7">
        <v>4432.5</v>
      </c>
      <c r="U23" s="2"/>
      <c r="V23" s="6">
        <f t="shared" si="9"/>
        <v>1.4610534087949977E-2</v>
      </c>
      <c r="W23" s="2"/>
      <c r="X23" s="7">
        <f t="shared" si="10"/>
        <v>509.60000000000036</v>
      </c>
      <c r="Y23" s="2"/>
      <c r="Z23" s="6">
        <f t="shared" si="11"/>
        <v>0.11496897913141577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35.130000000000003</v>
      </c>
      <c r="E24" s="2"/>
      <c r="F24" s="6">
        <f t="shared" si="4"/>
        <v>2.3178480235941493E-4</v>
      </c>
      <c r="G24" s="2"/>
      <c r="H24" s="7">
        <v>51.587474999999998</v>
      </c>
      <c r="I24" s="2"/>
      <c r="J24" s="6">
        <f t="shared" si="5"/>
        <v>1.3647841212730495E-3</v>
      </c>
      <c r="K24" s="2"/>
      <c r="L24" s="7">
        <f t="shared" si="6"/>
        <v>-16.457474999999995</v>
      </c>
      <c r="M24" s="2"/>
      <c r="N24" s="6">
        <f t="shared" si="7"/>
        <v>-0.31902075067639957</v>
      </c>
      <c r="O24" s="11"/>
      <c r="P24" s="7">
        <v>146.30000000000001</v>
      </c>
      <c r="Q24" s="2"/>
      <c r="R24" s="6">
        <f t="shared" si="8"/>
        <v>5.4264572244580036E-4</v>
      </c>
      <c r="S24" s="2"/>
      <c r="T24" s="7">
        <v>211.96938499999999</v>
      </c>
      <c r="U24" s="2"/>
      <c r="V24" s="6">
        <f t="shared" si="9"/>
        <v>6.9869958830102476E-4</v>
      </c>
      <c r="W24" s="2"/>
      <c r="X24" s="7">
        <f t="shared" si="10"/>
        <v>-65.669384999999977</v>
      </c>
      <c r="Y24" s="2"/>
      <c r="Z24" s="6">
        <f t="shared" si="11"/>
        <v>-0.30980598919980817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4.2249757526573112E-3</v>
      </c>
      <c r="G25" s="2"/>
      <c r="H25" s="7">
        <v>700.15494230769207</v>
      </c>
      <c r="I25" s="2"/>
      <c r="J25" s="6">
        <f t="shared" si="5"/>
        <v>1.8523107550667797E-2</v>
      </c>
      <c r="K25" s="2"/>
      <c r="L25" s="7">
        <f t="shared" si="6"/>
        <v>-59.804942307692045</v>
      </c>
      <c r="M25" s="2"/>
      <c r="N25" s="6">
        <f t="shared" si="7"/>
        <v>-8.5416725204533361E-2</v>
      </c>
      <c r="O25" s="11"/>
      <c r="P25" s="7">
        <v>2860.49</v>
      </c>
      <c r="Q25" s="2"/>
      <c r="R25" s="6">
        <f t="shared" si="8"/>
        <v>1.0609929341073051E-2</v>
      </c>
      <c r="S25" s="2"/>
      <c r="T25" s="7">
        <v>2765.9050423076919</v>
      </c>
      <c r="U25" s="2"/>
      <c r="V25" s="6">
        <f t="shared" si="9"/>
        <v>9.1170558160562336E-3</v>
      </c>
      <c r="W25" s="2"/>
      <c r="X25" s="7">
        <f t="shared" si="10"/>
        <v>94.584957692307853</v>
      </c>
      <c r="Y25" s="2"/>
      <c r="Z25" s="6">
        <f t="shared" si="11"/>
        <v>3.4196747988641106E-2</v>
      </c>
    </row>
    <row r="26" spans="1:26" s="24" customFormat="1" hidden="1" outlineLevel="2" x14ac:dyDescent="0.25">
      <c r="A26" s="28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8"/>
      <c r="B27" s="11" t="str">
        <f>CONCATENATE("          ", "6117", " - ", "RETIREMENT STAFF HOURLY")</f>
        <v xml:space="preserve">          6117 - RETIREMENT STAFF HOURLY</v>
      </c>
      <c r="C27" s="11"/>
      <c r="D27" s="7">
        <v>92.8</v>
      </c>
      <c r="E27" s="2"/>
      <c r="F27" s="6">
        <f t="shared" si="4"/>
        <v>6.1228663987912611E-4</v>
      </c>
      <c r="G27" s="2"/>
      <c r="H27" s="7"/>
      <c r="I27" s="2"/>
      <c r="J27" s="6">
        <f t="shared" si="5"/>
        <v>0</v>
      </c>
      <c r="K27" s="2"/>
      <c r="L27" s="7">
        <f t="shared" si="6"/>
        <v>92.8</v>
      </c>
      <c r="M27" s="2"/>
      <c r="N27" s="6">
        <f t="shared" si="7"/>
        <v>0</v>
      </c>
      <c r="O27" s="11"/>
      <c r="P27" s="7">
        <v>377.9</v>
      </c>
      <c r="Q27" s="2"/>
      <c r="R27" s="6">
        <f t="shared" si="8"/>
        <v>1.4016802359006694E-3</v>
      </c>
      <c r="S27" s="2"/>
      <c r="T27" s="7"/>
      <c r="U27" s="2"/>
      <c r="V27" s="6">
        <f t="shared" si="9"/>
        <v>0</v>
      </c>
      <c r="W27" s="2"/>
      <c r="X27" s="7">
        <f t="shared" si="10"/>
        <v>377.9</v>
      </c>
      <c r="Y27" s="2"/>
      <c r="Z27" s="6">
        <f t="shared" si="11"/>
        <v>0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7">
        <v>780.03</v>
      </c>
      <c r="E28" s="2"/>
      <c r="F28" s="6">
        <f t="shared" si="4"/>
        <v>5.1465727123374437E-3</v>
      </c>
      <c r="G28" s="2"/>
      <c r="H28" s="7">
        <v>244.24009615384603</v>
      </c>
      <c r="I28" s="2"/>
      <c r="J28" s="6">
        <f t="shared" si="5"/>
        <v>6.4615491455817884E-3</v>
      </c>
      <c r="K28" s="2"/>
      <c r="L28" s="7">
        <f t="shared" si="6"/>
        <v>535.78990384615395</v>
      </c>
      <c r="M28" s="2"/>
      <c r="N28" s="6">
        <f t="shared" si="7"/>
        <v>2.1937016578500756</v>
      </c>
      <c r="O28" s="11"/>
      <c r="P28" s="7">
        <v>2340.09</v>
      </c>
      <c r="Q28" s="2"/>
      <c r="R28" s="6">
        <f t="shared" si="8"/>
        <v>8.6796980768160826E-3</v>
      </c>
      <c r="S28" s="2"/>
      <c r="T28" s="7">
        <v>964.85059615384591</v>
      </c>
      <c r="U28" s="2"/>
      <c r="V28" s="6">
        <f t="shared" si="9"/>
        <v>3.1803683079265929E-3</v>
      </c>
      <c r="W28" s="2"/>
      <c r="X28" s="7">
        <f t="shared" si="10"/>
        <v>1375.2394038461543</v>
      </c>
      <c r="Y28" s="2"/>
      <c r="Z28" s="6">
        <f t="shared" si="11"/>
        <v>1.4253392279884871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7">
        <v>448.9</v>
      </c>
      <c r="E29" s="2"/>
      <c r="F29" s="6">
        <f t="shared" si="4"/>
        <v>2.9618046620877125E-3</v>
      </c>
      <c r="G29" s="2"/>
      <c r="H29" s="7">
        <v>513.82673076923095</v>
      </c>
      <c r="I29" s="2"/>
      <c r="J29" s="6">
        <f t="shared" si="5"/>
        <v>1.3593659376418184E-2</v>
      </c>
      <c r="K29" s="2"/>
      <c r="L29" s="7">
        <f t="shared" si="6"/>
        <v>-64.926730769230971</v>
      </c>
      <c r="M29" s="2"/>
      <c r="N29" s="6">
        <f t="shared" si="7"/>
        <v>-0.12635919246947619</v>
      </c>
      <c r="O29" s="11"/>
      <c r="P29" s="7">
        <v>1346.68</v>
      </c>
      <c r="Q29" s="2"/>
      <c r="R29" s="6">
        <f t="shared" si="8"/>
        <v>4.9950112201183217E-3</v>
      </c>
      <c r="S29" s="2"/>
      <c r="T29" s="7">
        <v>2124.1837307692317</v>
      </c>
      <c r="U29" s="2"/>
      <c r="V29" s="6">
        <f t="shared" si="9"/>
        <v>7.0017955572414248E-3</v>
      </c>
      <c r="W29" s="2"/>
      <c r="X29" s="7">
        <f t="shared" si="10"/>
        <v>-777.50373076923165</v>
      </c>
      <c r="Y29" s="2"/>
      <c r="Z29" s="6">
        <f t="shared" si="11"/>
        <v>-0.36602470845950497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4"/>
        <v>0</v>
      </c>
      <c r="G30" s="2"/>
      <c r="H30" s="7">
        <v>350</v>
      </c>
      <c r="I30" s="2"/>
      <c r="J30" s="6">
        <f t="shared" si="5"/>
        <v>9.2595042196883508E-3</v>
      </c>
      <c r="K30" s="2"/>
      <c r="L30" s="7">
        <f t="shared" si="6"/>
        <v>-350</v>
      </c>
      <c r="M30" s="2"/>
      <c r="N30" s="6">
        <f t="shared" si="7"/>
        <v>-1</v>
      </c>
      <c r="O30" s="11"/>
      <c r="P30" s="7"/>
      <c r="Q30" s="2"/>
      <c r="R30" s="6">
        <f t="shared" si="8"/>
        <v>0</v>
      </c>
      <c r="S30" s="2"/>
      <c r="T30" s="7">
        <v>1400</v>
      </c>
      <c r="U30" s="2"/>
      <c r="V30" s="6">
        <f t="shared" si="9"/>
        <v>4.6147202985064783E-3</v>
      </c>
      <c r="W30" s="2"/>
      <c r="X30" s="7">
        <f t="shared" si="10"/>
        <v>-1400</v>
      </c>
      <c r="Y30" s="2"/>
      <c r="Z30" s="6">
        <f t="shared" si="11"/>
        <v>-1</v>
      </c>
    </row>
    <row r="31" spans="1:26" s="27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15690.42</v>
      </c>
      <c r="E31" s="1"/>
      <c r="F31" s="5">
        <f t="shared" ref="F31:F41" si="12">IF(D$12=0,0,D31/D$12)</f>
        <v>0.10352407909582154</v>
      </c>
      <c r="G31" s="1"/>
      <c r="H31" s="1">
        <f>SUM(OSRRefH22_1x_0)</f>
        <v>19083.269711538458</v>
      </c>
      <c r="I31" s="1"/>
      <c r="J31" s="5">
        <f t="shared" ref="J31:J41" si="13">IF(H$12=0,0,H31/H$12)</f>
        <v>0.50486176119840365</v>
      </c>
      <c r="K31" s="1"/>
      <c r="L31" s="1">
        <f t="shared" ref="L31:L41" si="14">+D31-H31</f>
        <v>-3392.849711538458</v>
      </c>
      <c r="M31" s="1"/>
      <c r="N31" s="5">
        <f t="shared" ref="N31:N41" si="15">IF(H31=0,0,L31/H31)</f>
        <v>-0.17779184399867357</v>
      </c>
      <c r="O31" s="14"/>
      <c r="P31" s="1">
        <f>SUM(OSRRefP22_1x_0)</f>
        <v>61737.279999999999</v>
      </c>
      <c r="Q31" s="1"/>
      <c r="R31" s="5">
        <f t="shared" ref="R31:R41" si="16">IF(P$12=0,0,P31/P$12)</f>
        <v>0.22899159882049666</v>
      </c>
      <c r="S31" s="1"/>
      <c r="T31" s="1">
        <f>SUM(OSRRefT22_1x_0)</f>
        <v>78437.652211538458</v>
      </c>
      <c r="U31" s="1"/>
      <c r="V31" s="5">
        <f t="shared" ref="V31:V41" si="17">IF(T$12=0,0,T31/T$12)</f>
        <v>0.25854844701984153</v>
      </c>
      <c r="W31" s="1"/>
      <c r="X31" s="1">
        <f t="shared" ref="X31:X41" si="18">+P31-T31</f>
        <v>-16700.372211538459</v>
      </c>
      <c r="Y31" s="1"/>
      <c r="Z31" s="5">
        <f t="shared" ref="Z31:Z41" si="19">IF(T31=0,0,X31/T31)</f>
        <v>-0.21291269869346974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7">
        <v>4205.1400000000003</v>
      </c>
      <c r="E32" s="2"/>
      <c r="F32" s="6">
        <f t="shared" si="12"/>
        <v>2.7745162077815827E-2</v>
      </c>
      <c r="G32" s="2"/>
      <c r="H32" s="7">
        <v>5024.0384615384601</v>
      </c>
      <c r="I32" s="2"/>
      <c r="J32" s="6">
        <f t="shared" si="13"/>
        <v>0.13291458666997699</v>
      </c>
      <c r="K32" s="2"/>
      <c r="L32" s="7">
        <f t="shared" si="14"/>
        <v>-818.89846153845974</v>
      </c>
      <c r="M32" s="2"/>
      <c r="N32" s="6">
        <f t="shared" si="15"/>
        <v>-0.16299605741626763</v>
      </c>
      <c r="O32" s="11"/>
      <c r="P32" s="7">
        <v>17874.3</v>
      </c>
      <c r="Q32" s="2"/>
      <c r="R32" s="6">
        <f t="shared" si="16"/>
        <v>6.6298102779992957E-2</v>
      </c>
      <c r="S32" s="2"/>
      <c r="T32" s="7">
        <v>18086.538461538461</v>
      </c>
      <c r="U32" s="2"/>
      <c r="V32" s="6">
        <f t="shared" si="17"/>
        <v>5.9617368691556913E-2</v>
      </c>
      <c r="W32" s="2"/>
      <c r="X32" s="7">
        <f t="shared" si="18"/>
        <v>-212.23846153846171</v>
      </c>
      <c r="Y32" s="2"/>
      <c r="Z32" s="6">
        <f t="shared" si="19"/>
        <v>-1.1734609250398733E-2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>
        <v>2852.45</v>
      </c>
      <c r="E33" s="2"/>
      <c r="F33" s="6">
        <f t="shared" si="12"/>
        <v>1.8820226572448421E-2</v>
      </c>
      <c r="G33" s="2"/>
      <c r="H33" s="7">
        <v>2710.2312499999998</v>
      </c>
      <c r="I33" s="2"/>
      <c r="J33" s="6">
        <f t="shared" si="13"/>
        <v>7.1701136273446389E-2</v>
      </c>
      <c r="K33" s="2"/>
      <c r="L33" s="7">
        <f t="shared" si="14"/>
        <v>142.21875</v>
      </c>
      <c r="M33" s="2"/>
      <c r="N33" s="6">
        <f t="shared" si="15"/>
        <v>5.2474765760301821E-2</v>
      </c>
      <c r="O33" s="11"/>
      <c r="P33" s="7">
        <v>9813.89</v>
      </c>
      <c r="Q33" s="2"/>
      <c r="R33" s="6">
        <f t="shared" si="16"/>
        <v>3.6400994046846311E-2</v>
      </c>
      <c r="S33" s="2"/>
      <c r="T33" s="7">
        <v>12467.063749999999</v>
      </c>
      <c r="U33" s="2"/>
      <c r="V33" s="6">
        <f t="shared" si="17"/>
        <v>4.1094294392785211E-2</v>
      </c>
      <c r="W33" s="2"/>
      <c r="X33" s="7">
        <f t="shared" si="18"/>
        <v>-2653.1737499999999</v>
      </c>
      <c r="Y33" s="2"/>
      <c r="Z33" s="6">
        <f t="shared" si="19"/>
        <v>-0.21281464530892449</v>
      </c>
    </row>
    <row r="34" spans="1:26" s="24" customFormat="1" hidden="1" outlineLevel="2" x14ac:dyDescent="0.25">
      <c r="A34" s="28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8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3492</v>
      </c>
      <c r="I35" s="2"/>
      <c r="J35" s="6">
        <f t="shared" si="13"/>
        <v>9.2383396386147787E-2</v>
      </c>
      <c r="K35" s="2"/>
      <c r="L35" s="7">
        <f t="shared" si="14"/>
        <v>-3492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11872.8</v>
      </c>
      <c r="U35" s="2"/>
      <c r="V35" s="6">
        <f t="shared" si="17"/>
        <v>3.9135465114362653E-2</v>
      </c>
      <c r="W35" s="2"/>
      <c r="X35" s="7">
        <f t="shared" si="18"/>
        <v>-11872.8</v>
      </c>
      <c r="Y35" s="2"/>
      <c r="Z35" s="6">
        <f t="shared" si="19"/>
        <v>-1</v>
      </c>
    </row>
    <row r="36" spans="1:26" s="24" customFormat="1" hidden="1" outlineLevel="2" x14ac:dyDescent="0.25">
      <c r="A36" s="28"/>
      <c r="B36" s="11" t="str">
        <f>CONCATENATE("          ", "6005", " - ", "TEMPORARY WAGES-HOURLY")</f>
        <v xml:space="preserve">          6005 - TEMPORARY WAGES-HOURLY</v>
      </c>
      <c r="C36" s="11"/>
      <c r="D36" s="7">
        <v>8347.7999999999993</v>
      </c>
      <c r="E36" s="2"/>
      <c r="F36" s="6">
        <f t="shared" si="12"/>
        <v>5.5078086340333718E-2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8347.7999999999993</v>
      </c>
      <c r="M36" s="2"/>
      <c r="N36" s="6">
        <f t="shared" si="15"/>
        <v>0</v>
      </c>
      <c r="O36" s="11"/>
      <c r="P36" s="7">
        <v>29353.32</v>
      </c>
      <c r="Q36" s="2"/>
      <c r="R36" s="6">
        <f t="shared" si="16"/>
        <v>0.10887528050295803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29353.32</v>
      </c>
      <c r="Y36" s="2"/>
      <c r="Z36" s="6">
        <f t="shared" si="19"/>
        <v>0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7">
        <v>-756.15</v>
      </c>
      <c r="E38" s="2"/>
      <c r="F38" s="6">
        <f t="shared" si="12"/>
        <v>-4.989014469230617E-3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-756.15</v>
      </c>
      <c r="M38" s="2"/>
      <c r="N38" s="6">
        <f t="shared" si="15"/>
        <v>0</v>
      </c>
      <c r="O38" s="11"/>
      <c r="P38" s="7">
        <v>2811.23</v>
      </c>
      <c r="Q38" s="2"/>
      <c r="R38" s="6">
        <f t="shared" si="16"/>
        <v>1.0427217596112832E-2</v>
      </c>
      <c r="S38" s="2"/>
      <c r="T38" s="7">
        <v>20952</v>
      </c>
      <c r="U38" s="2"/>
      <c r="V38" s="6">
        <f t="shared" si="17"/>
        <v>6.9062585495934095E-2</v>
      </c>
      <c r="W38" s="2"/>
      <c r="X38" s="7">
        <f t="shared" si="18"/>
        <v>-18140.77</v>
      </c>
      <c r="Y38" s="2"/>
      <c r="Z38" s="6">
        <f t="shared" si="19"/>
        <v>-0.86582521954944636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7">
        <v>1041.18</v>
      </c>
      <c r="E39" s="2"/>
      <c r="F39" s="6">
        <f t="shared" si="12"/>
        <v>6.8696185744541874E-3</v>
      </c>
      <c r="G39" s="2"/>
      <c r="H39" s="7">
        <v>7857</v>
      </c>
      <c r="I39" s="2"/>
      <c r="J39" s="6">
        <f t="shared" si="13"/>
        <v>0.20786264186883252</v>
      </c>
      <c r="K39" s="2"/>
      <c r="L39" s="7">
        <f t="shared" si="14"/>
        <v>-6815.82</v>
      </c>
      <c r="M39" s="2"/>
      <c r="N39" s="6">
        <f t="shared" si="15"/>
        <v>-0.86748377243222596</v>
      </c>
      <c r="O39" s="11"/>
      <c r="P39" s="7">
        <v>1884.54</v>
      </c>
      <c r="Q39" s="2"/>
      <c r="R39" s="6">
        <f t="shared" si="16"/>
        <v>6.9900038945865245E-3</v>
      </c>
      <c r="S39" s="2"/>
      <c r="T39" s="7">
        <v>15059.249999999998</v>
      </c>
      <c r="U39" s="2"/>
      <c r="V39" s="6">
        <f t="shared" si="17"/>
        <v>4.9638733325202633E-2</v>
      </c>
      <c r="W39" s="2"/>
      <c r="X39" s="7">
        <f t="shared" si="18"/>
        <v>-13174.71</v>
      </c>
      <c r="Y39" s="2"/>
      <c r="Z39" s="6">
        <f t="shared" si="19"/>
        <v>-0.8748583096767768</v>
      </c>
    </row>
    <row r="40" spans="1:26" s="24" customFormat="1" hidden="1" outlineLevel="2" x14ac:dyDescent="0.25">
      <c r="A40" s="28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8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7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2.6455726341966719E-3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400</v>
      </c>
      <c r="U42" s="1"/>
      <c r="V42" s="5">
        <f t="shared" ref="V42:V50" si="25">IF(T$12=0,0,T42/T$12)</f>
        <v>1.318491513858994E-3</v>
      </c>
      <c r="W42" s="1"/>
      <c r="X42" s="1">
        <f t="shared" ref="X42:X50" si="26">+P42-T42</f>
        <v>-400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8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2.6455726341966719E-3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400</v>
      </c>
      <c r="U43" s="2"/>
      <c r="V43" s="6">
        <f t="shared" si="25"/>
        <v>1.318491513858994E-3</v>
      </c>
      <c r="W43" s="2"/>
      <c r="X43" s="7">
        <f t="shared" si="26"/>
        <v>-400</v>
      </c>
      <c r="Y43" s="2"/>
      <c r="Z43" s="6">
        <f t="shared" si="27"/>
        <v>-1</v>
      </c>
    </row>
    <row r="44" spans="1:26" s="27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55.04</v>
      </c>
      <c r="E44" s="1"/>
      <c r="F44" s="5">
        <f t="shared" si="20"/>
        <v>3.631493174455507E-4</v>
      </c>
      <c r="G44" s="1"/>
      <c r="H44" s="1">
        <f>SUM(OSRRefH22_3x_0)</f>
        <v>1700</v>
      </c>
      <c r="I44" s="1"/>
      <c r="J44" s="5">
        <f t="shared" si="21"/>
        <v>4.4974734781343423E-2</v>
      </c>
      <c r="K44" s="1"/>
      <c r="L44" s="1">
        <f t="shared" si="22"/>
        <v>-1644.96</v>
      </c>
      <c r="M44" s="1"/>
      <c r="N44" s="5">
        <f t="shared" si="23"/>
        <v>-0.96762352941176477</v>
      </c>
      <c r="O44" s="14"/>
      <c r="P44" s="1">
        <f>SUM(OSRRefP22_3x_0)</f>
        <v>519.47</v>
      </c>
      <c r="Q44" s="1"/>
      <c r="R44" s="5">
        <f t="shared" si="24"/>
        <v>1.9267817733350644E-3</v>
      </c>
      <c r="S44" s="1"/>
      <c r="T44" s="1">
        <f>SUM(OSRRefT22_3x_0)</f>
        <v>6200</v>
      </c>
      <c r="U44" s="1"/>
      <c r="V44" s="5">
        <f t="shared" si="25"/>
        <v>2.0436618464814406E-2</v>
      </c>
      <c r="W44" s="1"/>
      <c r="X44" s="1">
        <f t="shared" si="26"/>
        <v>-5680.53</v>
      </c>
      <c r="Y44" s="1"/>
      <c r="Z44" s="5">
        <f t="shared" si="27"/>
        <v>-0.91621451612903226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7">
        <v>55.04</v>
      </c>
      <c r="E45" s="2"/>
      <c r="F45" s="6">
        <f t="shared" si="20"/>
        <v>3.631493174455507E-4</v>
      </c>
      <c r="G45" s="2"/>
      <c r="H45" s="7">
        <v>1700</v>
      </c>
      <c r="I45" s="2"/>
      <c r="J45" s="6">
        <f t="shared" si="21"/>
        <v>4.4974734781343423E-2</v>
      </c>
      <c r="K45" s="2"/>
      <c r="L45" s="7">
        <f t="shared" si="22"/>
        <v>-1644.96</v>
      </c>
      <c r="M45" s="2"/>
      <c r="N45" s="6">
        <f t="shared" si="23"/>
        <v>-0.96762352941176477</v>
      </c>
      <c r="O45" s="11"/>
      <c r="P45" s="7">
        <v>519.47</v>
      </c>
      <c r="Q45" s="2"/>
      <c r="R45" s="6">
        <f t="shared" si="24"/>
        <v>1.9267817733350644E-3</v>
      </c>
      <c r="S45" s="2"/>
      <c r="T45" s="7">
        <v>6200</v>
      </c>
      <c r="U45" s="2"/>
      <c r="V45" s="6">
        <f t="shared" si="25"/>
        <v>2.0436618464814406E-2</v>
      </c>
      <c r="W45" s="2"/>
      <c r="X45" s="7">
        <f t="shared" si="26"/>
        <v>-5680.53</v>
      </c>
      <c r="Y45" s="2"/>
      <c r="Z45" s="6">
        <f t="shared" si="27"/>
        <v>-0.91621451612903226</v>
      </c>
    </row>
    <row r="46" spans="1:26" s="27" customFormat="1" outlineLevel="1" collapsed="1" x14ac:dyDescent="0.25">
      <c r="A46" s="29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5.2911452683933433E-4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80</v>
      </c>
      <c r="U46" s="1"/>
      <c r="V46" s="5">
        <f t="shared" si="25"/>
        <v>2.6369830277179877E-4</v>
      </c>
      <c r="W46" s="1"/>
      <c r="X46" s="1">
        <f t="shared" si="26"/>
        <v>-80</v>
      </c>
      <c r="Y46" s="1"/>
      <c r="Z46" s="5">
        <f t="shared" si="27"/>
        <v>-1</v>
      </c>
    </row>
    <row r="47" spans="1:26" s="24" customFormat="1" hidden="1" outlineLevel="2" x14ac:dyDescent="0.25">
      <c r="A47" s="28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5.2911452683933433E-4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80</v>
      </c>
      <c r="U47" s="2"/>
      <c r="V47" s="6">
        <f t="shared" si="25"/>
        <v>2.6369830277179877E-4</v>
      </c>
      <c r="W47" s="2"/>
      <c r="X47" s="7">
        <f t="shared" si="26"/>
        <v>-80</v>
      </c>
      <c r="Y47" s="2"/>
      <c r="Z47" s="6">
        <f t="shared" si="27"/>
        <v>-1</v>
      </c>
    </row>
    <row r="48" spans="1:26" s="27" customFormat="1" outlineLevel="1" collapsed="1" x14ac:dyDescent="0.25">
      <c r="A48" s="29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1.33</v>
      </c>
      <c r="E48" s="1"/>
      <c r="F48" s="5">
        <f t="shared" si="20"/>
        <v>8.7752287827504075E-6</v>
      </c>
      <c r="G48" s="1"/>
      <c r="H48" s="1">
        <f>SUM(OSRRefH22_5x_0)</f>
        <v>10</v>
      </c>
      <c r="I48" s="1"/>
      <c r="J48" s="5">
        <f t="shared" si="21"/>
        <v>2.6455726341966716E-4</v>
      </c>
      <c r="K48" s="1"/>
      <c r="L48" s="1">
        <f t="shared" si="22"/>
        <v>-8.67</v>
      </c>
      <c r="M48" s="1"/>
      <c r="N48" s="5">
        <f t="shared" si="23"/>
        <v>-0.86699999999999999</v>
      </c>
      <c r="O48" s="14"/>
      <c r="P48" s="1">
        <f>SUM(OSRRefP22_5x_0)</f>
        <v>2.12</v>
      </c>
      <c r="Q48" s="1"/>
      <c r="R48" s="5">
        <f t="shared" si="24"/>
        <v>7.8633556499323092E-6</v>
      </c>
      <c r="S48" s="1"/>
      <c r="T48" s="1">
        <f>SUM(OSRRefT22_5x_0)</f>
        <v>40</v>
      </c>
      <c r="U48" s="1"/>
      <c r="V48" s="5">
        <f t="shared" si="25"/>
        <v>1.3184915138589939E-4</v>
      </c>
      <c r="W48" s="1"/>
      <c r="X48" s="1">
        <f t="shared" si="26"/>
        <v>-37.880000000000003</v>
      </c>
      <c r="Y48" s="1"/>
      <c r="Z48" s="5">
        <f t="shared" si="27"/>
        <v>-0.94700000000000006</v>
      </c>
    </row>
    <row r="49" spans="1:26" s="24" customFormat="1" hidden="1" outlineLevel="2" x14ac:dyDescent="0.25">
      <c r="A49" s="28"/>
      <c r="B49" s="11" t="str">
        <f>CONCATENATE("          ", "6305", " - ", "FREIGHT OUT")</f>
        <v xml:space="preserve">          6305 - FREIGHT OUT</v>
      </c>
      <c r="C49" s="11"/>
      <c r="D49" s="7">
        <v>1.33</v>
      </c>
      <c r="E49" s="2"/>
      <c r="F49" s="6">
        <f t="shared" si="20"/>
        <v>8.7752287827504075E-6</v>
      </c>
      <c r="G49" s="2"/>
      <c r="H49" s="7"/>
      <c r="I49" s="2"/>
      <c r="J49" s="6">
        <f t="shared" si="21"/>
        <v>0</v>
      </c>
      <c r="K49" s="2"/>
      <c r="L49" s="7">
        <f t="shared" si="22"/>
        <v>1.33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6.0087906381558211E-6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8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2.6455726341966716E-4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1.8545650117764878E-6</v>
      </c>
      <c r="S50" s="2"/>
      <c r="T50" s="7">
        <v>40</v>
      </c>
      <c r="U50" s="2"/>
      <c r="V50" s="6">
        <f t="shared" si="25"/>
        <v>1.3184915138589939E-4</v>
      </c>
      <c r="W50" s="2"/>
      <c r="X50" s="7">
        <f t="shared" si="26"/>
        <v>-39.5</v>
      </c>
      <c r="Y50" s="2"/>
      <c r="Z50" s="6">
        <f t="shared" si="27"/>
        <v>-0.98750000000000004</v>
      </c>
    </row>
    <row r="51" spans="1:26" s="27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1.3227863170983359E-3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4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200</v>
      </c>
      <c r="U51" s="1"/>
      <c r="V51" s="5">
        <f t="shared" ref="V51:V61" si="33">IF(T$12=0,0,T51/T$12)</f>
        <v>6.5924575692949698E-4</v>
      </c>
      <c r="W51" s="1"/>
      <c r="X51" s="1">
        <f t="shared" ref="X51:X61" si="34">+P51-T51</f>
        <v>-200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1.3227863170983359E-3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200</v>
      </c>
      <c r="U52" s="2"/>
      <c r="V52" s="6">
        <f t="shared" si="33"/>
        <v>6.5924575692949698E-4</v>
      </c>
      <c r="W52" s="2"/>
      <c r="X52" s="7">
        <f t="shared" si="34"/>
        <v>-200</v>
      </c>
      <c r="Y52" s="2"/>
      <c r="Z52" s="6">
        <f t="shared" si="35"/>
        <v>-1</v>
      </c>
    </row>
    <row r="53" spans="1:26" s="27" customFormat="1" outlineLevel="1" collapsed="1" x14ac:dyDescent="0.25">
      <c r="A53" s="29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1.9140555412600703E-4</v>
      </c>
      <c r="G53" s="1"/>
      <c r="H53" s="1">
        <f>SUM(OSRRefH22_7x_0)</f>
        <v>33</v>
      </c>
      <c r="I53" s="1"/>
      <c r="J53" s="5">
        <f t="shared" si="29"/>
        <v>8.7303896928490172E-4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116.04</v>
      </c>
      <c r="Q53" s="1"/>
      <c r="R53" s="5">
        <f t="shared" si="32"/>
        <v>4.3040744793308732E-4</v>
      </c>
      <c r="S53" s="1"/>
      <c r="T53" s="1">
        <f>SUM(OSRRefT22_7x_0)</f>
        <v>132</v>
      </c>
      <c r="U53" s="1"/>
      <c r="V53" s="5">
        <f t="shared" si="33"/>
        <v>4.3510219957346798E-4</v>
      </c>
      <c r="W53" s="1"/>
      <c r="X53" s="1">
        <f t="shared" si="34"/>
        <v>-15.959999999999994</v>
      </c>
      <c r="Y53" s="1"/>
      <c r="Z53" s="5">
        <f t="shared" si="35"/>
        <v>-0.12090909090909085</v>
      </c>
    </row>
    <row r="54" spans="1:26" s="24" customFormat="1" hidden="1" outlineLevel="2" x14ac:dyDescent="0.25">
      <c r="A54" s="28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1.9140555412600703E-4</v>
      </c>
      <c r="G54" s="2"/>
      <c r="H54" s="7">
        <v>33</v>
      </c>
      <c r="I54" s="2"/>
      <c r="J54" s="6">
        <f t="shared" si="29"/>
        <v>8.7303896928490172E-4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116.04</v>
      </c>
      <c r="Q54" s="2"/>
      <c r="R54" s="6">
        <f t="shared" si="32"/>
        <v>4.3040744793308732E-4</v>
      </c>
      <c r="S54" s="2"/>
      <c r="T54" s="7">
        <v>132</v>
      </c>
      <c r="U54" s="2"/>
      <c r="V54" s="6">
        <f t="shared" si="33"/>
        <v>4.3510219957346798E-4</v>
      </c>
      <c r="W54" s="2"/>
      <c r="X54" s="7">
        <f t="shared" si="34"/>
        <v>-15.959999999999994</v>
      </c>
      <c r="Y54" s="2"/>
      <c r="Z54" s="6">
        <f t="shared" si="35"/>
        <v>-0.12090909090909085</v>
      </c>
    </row>
    <row r="55" spans="1:26" s="27" customFormat="1" outlineLevel="1" collapsed="1" x14ac:dyDescent="0.25">
      <c r="A55" s="29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5.2783331024062602E-3</v>
      </c>
      <c r="G55" s="1"/>
      <c r="H55" s="1">
        <f>SUM(OSRRefH22_8x_0)</f>
        <v>800</v>
      </c>
      <c r="I55" s="1"/>
      <c r="J55" s="5">
        <f t="shared" si="29"/>
        <v>2.1164581073573375E-2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3200</v>
      </c>
      <c r="Q55" s="1"/>
      <c r="R55" s="5">
        <f t="shared" si="32"/>
        <v>1.1869216075369522E-2</v>
      </c>
      <c r="S55" s="1"/>
      <c r="T55" s="1">
        <f>SUM(OSRRefT22_8x_0)</f>
        <v>3200</v>
      </c>
      <c r="U55" s="1"/>
      <c r="V55" s="5">
        <f t="shared" si="33"/>
        <v>1.0547932110871952E-2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8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5.2783331024062602E-3</v>
      </c>
      <c r="G56" s="2"/>
      <c r="H56" s="7">
        <v>800</v>
      </c>
      <c r="I56" s="2"/>
      <c r="J56" s="6">
        <f t="shared" si="29"/>
        <v>2.1164581073573375E-2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3200</v>
      </c>
      <c r="Q56" s="2"/>
      <c r="R56" s="6">
        <f t="shared" si="32"/>
        <v>1.1869216075369522E-2</v>
      </c>
      <c r="S56" s="2"/>
      <c r="T56" s="7">
        <v>3200</v>
      </c>
      <c r="U56" s="2"/>
      <c r="V56" s="6">
        <f t="shared" si="33"/>
        <v>1.0547932110871952E-2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7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117265.90000000001</v>
      </c>
      <c r="E57" s="1"/>
      <c r="F57" s="5">
        <f t="shared" si="28"/>
        <v>0.77371060219182786</v>
      </c>
      <c r="G57" s="1"/>
      <c r="H57" s="1">
        <f>SUM(OSRRefH22_9x_0)</f>
        <v>1500</v>
      </c>
      <c r="I57" s="1"/>
      <c r="J57" s="5">
        <f t="shared" si="29"/>
        <v>3.9683589512950077E-2</v>
      </c>
      <c r="K57" s="1"/>
      <c r="L57" s="1">
        <f t="shared" si="30"/>
        <v>115765.90000000001</v>
      </c>
      <c r="M57" s="1"/>
      <c r="N57" s="5">
        <f t="shared" si="31"/>
        <v>77.177266666666668</v>
      </c>
      <c r="O57" s="14"/>
      <c r="P57" s="1">
        <f>SUM(OSRRefP22_9x_0)</f>
        <v>123827.90000000001</v>
      </c>
      <c r="Q57" s="1"/>
      <c r="R57" s="5">
        <f t="shared" si="32"/>
        <v>0.45929378164351553</v>
      </c>
      <c r="S57" s="1"/>
      <c r="T57" s="1">
        <f>SUM(OSRRefT22_9x_0)</f>
        <v>131000</v>
      </c>
      <c r="U57" s="1"/>
      <c r="V57" s="5">
        <f t="shared" si="33"/>
        <v>0.43180597078882049</v>
      </c>
      <c r="W57" s="1"/>
      <c r="X57" s="1">
        <f t="shared" si="34"/>
        <v>-7172.0999999999913</v>
      </c>
      <c r="Y57" s="1"/>
      <c r="Z57" s="5">
        <f t="shared" si="35"/>
        <v>-5.4748854961831996E-2</v>
      </c>
    </row>
    <row r="58" spans="1:26" s="24" customFormat="1" hidden="1" outlineLevel="2" x14ac:dyDescent="0.25">
      <c r="A58" s="28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0.41202859808093562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8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3.9683589512950077E-2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6000</v>
      </c>
      <c r="U59" s="2"/>
      <c r="V59" s="6">
        <f t="shared" si="33"/>
        <v>1.9777372707884908E-2</v>
      </c>
      <c r="W59" s="2"/>
      <c r="X59" s="7">
        <f t="shared" si="34"/>
        <v>-6000</v>
      </c>
      <c r="Y59" s="2"/>
      <c r="Z59" s="6">
        <f t="shared" si="35"/>
        <v>-1</v>
      </c>
    </row>
    <row r="60" spans="1:26" s="24" customFormat="1" hidden="1" outlineLevel="2" x14ac:dyDescent="0.25">
      <c r="A60" s="28"/>
      <c r="B60" s="11" t="str">
        <f>CONCATENATE("          ", "6373", " - ", "MAINTENANCE CONTRACTS")</f>
        <v xml:space="preserve">          6373 - MAINTENANCE CONTRACTS</v>
      </c>
      <c r="C60" s="11"/>
      <c r="D60" s="7">
        <v>117265.90000000001</v>
      </c>
      <c r="E60" s="2"/>
      <c r="F60" s="6">
        <f t="shared" si="28"/>
        <v>0.77371060219182786</v>
      </c>
      <c r="G60" s="2"/>
      <c r="H60" s="7"/>
      <c r="I60" s="2"/>
      <c r="J60" s="6">
        <f t="shared" si="29"/>
        <v>0</v>
      </c>
      <c r="K60" s="2"/>
      <c r="L60" s="7">
        <f t="shared" si="30"/>
        <v>117265.90000000001</v>
      </c>
      <c r="M60" s="2"/>
      <c r="N60" s="6">
        <f t="shared" si="31"/>
        <v>0</v>
      </c>
      <c r="O60" s="11"/>
      <c r="P60" s="7">
        <v>117265.90000000001</v>
      </c>
      <c r="Q60" s="2"/>
      <c r="R60" s="6">
        <f t="shared" si="32"/>
        <v>0.4349544704289609</v>
      </c>
      <c r="S60" s="2"/>
      <c r="T60" s="7"/>
      <c r="U60" s="2"/>
      <c r="V60" s="6">
        <f t="shared" si="33"/>
        <v>0</v>
      </c>
      <c r="W60" s="2"/>
      <c r="X60" s="7">
        <f t="shared" si="34"/>
        <v>117265.90000000001</v>
      </c>
      <c r="Y60" s="2"/>
      <c r="Z60" s="6">
        <f t="shared" si="35"/>
        <v>0</v>
      </c>
    </row>
    <row r="61" spans="1:26" s="24" customFormat="1" hidden="1" outlineLevel="2" x14ac:dyDescent="0.25">
      <c r="A61" s="28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2.4339311214554626E-2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7" customFormat="1" outlineLevel="1" collapsed="1" x14ac:dyDescent="0.25">
      <c r="A62" s="29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6088.55</v>
      </c>
      <c r="E62" s="1"/>
      <c r="F62" s="5">
        <f t="shared" ref="F62:F64" si="36">IF(D$12=0,0,D62/D$12)</f>
        <v>4.0171743763319542E-2</v>
      </c>
      <c r="G62" s="1"/>
      <c r="H62" s="1">
        <f>SUM(OSRRefH22_10x_0)</f>
        <v>7000</v>
      </c>
      <c r="I62" s="1"/>
      <c r="J62" s="5">
        <f t="shared" ref="J62:J64" si="37">IF(H$12=0,0,H62/H$12)</f>
        <v>0.18519008439376702</v>
      </c>
      <c r="K62" s="1"/>
      <c r="L62" s="1">
        <f t="shared" ref="L62:L64" si="38">+D62-H62</f>
        <v>-911.44999999999982</v>
      </c>
      <c r="M62" s="1"/>
      <c r="N62" s="5">
        <f t="shared" ref="N62:N64" si="39">IF(H62=0,0,L62/H62)</f>
        <v>-0.13020714285714283</v>
      </c>
      <c r="O62" s="14"/>
      <c r="P62" s="1">
        <f>SUM(OSRRefP22_10x_0)</f>
        <v>41271.699999999997</v>
      </c>
      <c r="Q62" s="1"/>
      <c r="R62" s="5">
        <f t="shared" ref="R62:R64" si="40">IF(P$12=0,0,P62/P$12)</f>
        <v>0.15308210159307134</v>
      </c>
      <c r="S62" s="1"/>
      <c r="T62" s="1">
        <f>SUM(OSRRefT22_10x_0)</f>
        <v>28000</v>
      </c>
      <c r="U62" s="1"/>
      <c r="V62" s="5">
        <f t="shared" ref="V62:V64" si="41">IF(T$12=0,0,T62/T$12)</f>
        <v>9.229440597012957E-2</v>
      </c>
      <c r="W62" s="1"/>
      <c r="X62" s="1">
        <f t="shared" ref="X62:X64" si="42">+P62-T62</f>
        <v>13271.699999999997</v>
      </c>
      <c r="Y62" s="1"/>
      <c r="Z62" s="5">
        <f t="shared" ref="Z62:Z64" si="43">IF(T62=0,0,X62/T62)</f>
        <v>0.47398928571428561</v>
      </c>
    </row>
    <row r="63" spans="1:26" s="24" customFormat="1" hidden="1" outlineLevel="2" x14ac:dyDescent="0.25">
      <c r="A63" s="28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7000</v>
      </c>
      <c r="I63" s="2"/>
      <c r="J63" s="6">
        <f t="shared" si="37"/>
        <v>0.18519008439376702</v>
      </c>
      <c r="K63" s="2"/>
      <c r="L63" s="7">
        <f t="shared" si="38"/>
        <v>-7000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28000</v>
      </c>
      <c r="U63" s="2"/>
      <c r="V63" s="6">
        <f t="shared" si="41"/>
        <v>9.229440597012957E-2</v>
      </c>
      <c r="W63" s="2"/>
      <c r="X63" s="7">
        <f t="shared" si="42"/>
        <v>-28000</v>
      </c>
      <c r="Y63" s="2"/>
      <c r="Z63" s="6">
        <f t="shared" si="43"/>
        <v>-1</v>
      </c>
    </row>
    <row r="64" spans="1:26" s="24" customFormat="1" hidden="1" outlineLevel="2" x14ac:dyDescent="0.25">
      <c r="A64" s="28"/>
      <c r="B64" s="11" t="str">
        <f>CONCATENATE("          ", "6241", " - ", "OFFICE EXPENSE")</f>
        <v xml:space="preserve">          6241 - OFFICE EXPENSE</v>
      </c>
      <c r="C64" s="11"/>
      <c r="D64" s="7">
        <v>6088.55</v>
      </c>
      <c r="E64" s="2"/>
      <c r="F64" s="6">
        <f t="shared" si="36"/>
        <v>4.0171743763319542E-2</v>
      </c>
      <c r="G64" s="2"/>
      <c r="H64" s="7"/>
      <c r="I64" s="2"/>
      <c r="J64" s="6">
        <f t="shared" si="37"/>
        <v>0</v>
      </c>
      <c r="K64" s="2"/>
      <c r="L64" s="7">
        <f t="shared" si="38"/>
        <v>6088.55</v>
      </c>
      <c r="M64" s="2"/>
      <c r="N64" s="6">
        <f t="shared" si="39"/>
        <v>0</v>
      </c>
      <c r="O64" s="11"/>
      <c r="P64" s="7">
        <v>41271.699999999997</v>
      </c>
      <c r="Q64" s="2"/>
      <c r="R64" s="6">
        <f t="shared" si="40"/>
        <v>0.15308210159307134</v>
      </c>
      <c r="S64" s="2"/>
      <c r="T64" s="7"/>
      <c r="U64" s="2"/>
      <c r="V64" s="6">
        <f t="shared" si="41"/>
        <v>0</v>
      </c>
      <c r="W64" s="2"/>
      <c r="X64" s="7">
        <f t="shared" si="42"/>
        <v>41271.699999999997</v>
      </c>
      <c r="Y64" s="2"/>
      <c r="Z64" s="6">
        <f t="shared" si="43"/>
        <v>0</v>
      </c>
    </row>
    <row r="65" spans="1:26" s="27" customFormat="1" outlineLevel="1" collapsed="1" x14ac:dyDescent="0.25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136.65</v>
      </c>
      <c r="E65" s="1"/>
      <c r="F65" s="5">
        <f t="shared" ref="F65:F66" si="44">IF(D$12=0,0,D65/D$12)</f>
        <v>9.0160527305476932E-4</v>
      </c>
      <c r="G65" s="1"/>
      <c r="H65" s="1">
        <f>SUM(OSRRefH22_11x_0)</f>
        <v>700</v>
      </c>
      <c r="I65" s="1"/>
      <c r="J65" s="5">
        <f t="shared" ref="J65:J66" si="45">IF(H$12=0,0,H65/H$12)</f>
        <v>1.8519008439376702E-2</v>
      </c>
      <c r="K65" s="1"/>
      <c r="L65" s="1">
        <f t="shared" ref="L65:L66" si="46">+D65-H65</f>
        <v>-563.35</v>
      </c>
      <c r="M65" s="1"/>
      <c r="N65" s="5">
        <f t="shared" ref="N65:N66" si="47">IF(H65=0,0,L65/H65)</f>
        <v>-0.80478571428571433</v>
      </c>
      <c r="O65" s="14"/>
      <c r="P65" s="1">
        <f>SUM(OSRRefP22_11x_0)</f>
        <v>1178.73</v>
      </c>
      <c r="Q65" s="1"/>
      <c r="R65" s="5">
        <f t="shared" ref="R65:R66" si="48">IF(P$12=0,0,P65/P$12)</f>
        <v>4.3720628326625989E-3</v>
      </c>
      <c r="S65" s="1"/>
      <c r="T65" s="1">
        <f>SUM(OSRRefT22_11x_0)</f>
        <v>2800</v>
      </c>
      <c r="U65" s="1"/>
      <c r="V65" s="5">
        <f t="shared" ref="V65:V66" si="49">IF(T$12=0,0,T65/T$12)</f>
        <v>9.2294405970129566E-3</v>
      </c>
      <c r="W65" s="1"/>
      <c r="X65" s="1">
        <f t="shared" ref="X65:X66" si="50">+P65-T65</f>
        <v>-1621.27</v>
      </c>
      <c r="Y65" s="1"/>
      <c r="Z65" s="5">
        <f t="shared" ref="Z65:Z66" si="51">IF(T65=0,0,X65/T65)</f>
        <v>-0.57902500000000001</v>
      </c>
    </row>
    <row r="66" spans="1:26" s="24" customFormat="1" hidden="1" outlineLevel="2" x14ac:dyDescent="0.25">
      <c r="A66" s="28"/>
      <c r="B66" s="11" t="str">
        <f>CONCATENATE("          ", "6309", " - ", "TELEPHONE")</f>
        <v xml:space="preserve">          6309 - TELEPHONE</v>
      </c>
      <c r="C66" s="11"/>
      <c r="D66" s="7">
        <v>136.65</v>
      </c>
      <c r="E66" s="2"/>
      <c r="F66" s="6">
        <f t="shared" si="44"/>
        <v>9.0160527305476932E-4</v>
      </c>
      <c r="G66" s="2"/>
      <c r="H66" s="7">
        <v>700</v>
      </c>
      <c r="I66" s="2"/>
      <c r="J66" s="6">
        <f t="shared" si="45"/>
        <v>1.8519008439376702E-2</v>
      </c>
      <c r="K66" s="2"/>
      <c r="L66" s="7">
        <f t="shared" si="46"/>
        <v>-563.35</v>
      </c>
      <c r="M66" s="2"/>
      <c r="N66" s="6">
        <f t="shared" si="47"/>
        <v>-0.80478571428571433</v>
      </c>
      <c r="O66" s="11"/>
      <c r="P66" s="7">
        <v>1178.73</v>
      </c>
      <c r="Q66" s="2"/>
      <c r="R66" s="6">
        <f t="shared" si="48"/>
        <v>4.3720628326625989E-3</v>
      </c>
      <c r="S66" s="2"/>
      <c r="T66" s="7">
        <v>2800</v>
      </c>
      <c r="U66" s="2"/>
      <c r="V66" s="6">
        <f t="shared" si="49"/>
        <v>9.2294405970129566E-3</v>
      </c>
      <c r="W66" s="2"/>
      <c r="X66" s="7">
        <f t="shared" si="50"/>
        <v>-1621.27</v>
      </c>
      <c r="Y66" s="2"/>
      <c r="Z66" s="6">
        <f t="shared" si="51"/>
        <v>-0.57902500000000001</v>
      </c>
    </row>
    <row r="67" spans="1:26" s="63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5" t="s">
        <v>0</v>
      </c>
      <c r="C68" s="10"/>
      <c r="D68" s="4">
        <f>SUM(OSRRefD25x_0)</f>
        <v>225.16</v>
      </c>
      <c r="E68" s="4"/>
      <c r="F68" s="12">
        <f t="shared" ref="F68:F69" si="52">IF(D$12=0,0,D68/D$12)</f>
        <v>1.485586851672242E-3</v>
      </c>
      <c r="G68" s="4"/>
      <c r="H68" s="4">
        <f>SUM(OSRRefH25x_0)</f>
        <v>3000</v>
      </c>
      <c r="I68" s="4"/>
      <c r="J68" s="12">
        <f t="shared" ref="J68:J69" si="53">IF(H$12=0,0,H68/H$12)</f>
        <v>7.9367179025900153E-2</v>
      </c>
      <c r="K68" s="4"/>
      <c r="L68" s="4">
        <f t="shared" ref="L68:L69" si="54">+D68-H68</f>
        <v>-2774.84</v>
      </c>
      <c r="M68" s="4"/>
      <c r="N68" s="12">
        <f t="shared" ref="N68:N69" si="55">IF(H68=0,0,L68/H68)</f>
        <v>-0.92494666666666669</v>
      </c>
      <c r="O68" s="10"/>
      <c r="P68" s="4">
        <f>SUM(OSRRefP25x_0)</f>
        <v>975.16</v>
      </c>
      <c r="Q68" s="4"/>
      <c r="R68" s="12">
        <f t="shared" ref="R68:R69" si="56">IF(P$12=0,0,P68/P$12)</f>
        <v>3.6169952337679195E-3</v>
      </c>
      <c r="S68" s="4"/>
      <c r="T68" s="4">
        <f>SUM(OSRRefT25x_0)</f>
        <v>12000</v>
      </c>
      <c r="U68" s="4"/>
      <c r="V68" s="12">
        <f t="shared" ref="V68:V69" si="57">IF(T$12=0,0,T68/T$12)</f>
        <v>3.9554745415769817E-2</v>
      </c>
      <c r="W68" s="4"/>
      <c r="X68" s="4">
        <f t="shared" ref="X68:X69" si="58">+P68-T68</f>
        <v>-11024.84</v>
      </c>
      <c r="Y68" s="4"/>
      <c r="Z68" s="12">
        <f t="shared" ref="Z68:Z69" si="59">IF(T68=0,0,X68/T68)</f>
        <v>-0.91873666666666665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>--225.16</f>
        <v>225.16</v>
      </c>
      <c r="E69" s="2"/>
      <c r="F69" s="22">
        <f t="shared" si="52"/>
        <v>1.485586851672242E-3</v>
      </c>
      <c r="G69" s="2"/>
      <c r="H69" s="2">
        <v>3000</v>
      </c>
      <c r="I69" s="2"/>
      <c r="J69" s="22">
        <f t="shared" si="53"/>
        <v>7.9367179025900153E-2</v>
      </c>
      <c r="K69" s="2"/>
      <c r="L69" s="2">
        <f t="shared" si="54"/>
        <v>-2774.84</v>
      </c>
      <c r="M69" s="2"/>
      <c r="N69" s="22">
        <f t="shared" si="55"/>
        <v>-0.92494666666666669</v>
      </c>
      <c r="O69" s="11"/>
      <c r="P69" s="2">
        <f>--975.16</f>
        <v>975.16</v>
      </c>
      <c r="Q69" s="2"/>
      <c r="R69" s="22">
        <f t="shared" si="56"/>
        <v>3.6169952337679195E-3</v>
      </c>
      <c r="S69" s="2"/>
      <c r="T69" s="2">
        <v>12000</v>
      </c>
      <c r="U69" s="2"/>
      <c r="V69" s="22">
        <f t="shared" si="57"/>
        <v>3.9554745415769817E-2</v>
      </c>
      <c r="W69" s="2"/>
      <c r="X69" s="2">
        <f t="shared" si="58"/>
        <v>-11024.84</v>
      </c>
      <c r="Y69" s="2"/>
      <c r="Z69" s="22">
        <f t="shared" si="59"/>
        <v>-0.91873666666666665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3</v>
      </c>
      <c r="C71" s="26"/>
      <c r="D71" s="20">
        <f>+D17-D19+D68</f>
        <v>7039.1700000000092</v>
      </c>
      <c r="E71" s="13"/>
      <c r="F71" s="19">
        <f>IF(D$12=0,0,D71/D$12)</f>
        <v>4.6443855030581405E-2</v>
      </c>
      <c r="G71" s="13"/>
      <c r="H71" s="20">
        <f>+H17-H19+H68</f>
        <v>5652.2918329807726</v>
      </c>
      <c r="I71" s="13"/>
      <c r="J71" s="19">
        <f>IF(H$12=0,0,H71/H$12)</f>
        <v>0.14953548593827276</v>
      </c>
      <c r="K71" s="15"/>
      <c r="L71" s="20">
        <f>+D71-H71</f>
        <v>1386.8781670192366</v>
      </c>
      <c r="M71" s="15"/>
      <c r="N71" s="19">
        <f>IF(H71=0,0,L71/H71)</f>
        <v>0.24536563362261099</v>
      </c>
      <c r="O71" s="25"/>
      <c r="P71" s="20">
        <f>+P17-P19+P68</f>
        <v>21868.179999999989</v>
      </c>
      <c r="Q71" s="13"/>
      <c r="R71" s="19">
        <f>IF(P$12=0,0,P71/P$12)</f>
        <v>8.1111922998460678E-2</v>
      </c>
      <c r="S71" s="13"/>
      <c r="T71" s="20">
        <f>+T17-T19+T68</f>
        <v>46428.586262480763</v>
      </c>
      <c r="U71" s="13"/>
      <c r="V71" s="19">
        <f>IF(T$12=0,0,T71/T$12)</f>
        <v>0.15303924246887787</v>
      </c>
      <c r="W71" s="15"/>
      <c r="X71" s="20">
        <f>+P71-T71</f>
        <v>-24560.406262480774</v>
      </c>
      <c r="Y71" s="15"/>
      <c r="Z71" s="19">
        <f>IF(T71=0,0,X71/T71)</f>
        <v>-0.52899319664032496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>
        <v>36534.380000000005</v>
      </c>
      <c r="E73" s="4"/>
      <c r="F73" s="12">
        <f>IF(D$12=0,0,D73/D$12)</f>
        <v>0.24105078416236156</v>
      </c>
      <c r="G73" s="4"/>
      <c r="H73" s="4">
        <v>11274</v>
      </c>
      <c r="I73" s="4"/>
      <c r="J73" s="12">
        <f>IF(H$12=0,0,H73/H$12)</f>
        <v>0.29826185877933281</v>
      </c>
      <c r="K73" s="4"/>
      <c r="L73" s="4">
        <f>+D73-H73</f>
        <v>25260.380000000005</v>
      </c>
      <c r="M73" s="4"/>
      <c r="N73" s="12">
        <f>IF(H73=0,0,L73/H73)</f>
        <v>2.2405871917686717</v>
      </c>
      <c r="O73" s="10"/>
      <c r="P73" s="4">
        <v>58402.25</v>
      </c>
      <c r="Q73" s="4"/>
      <c r="R73" s="12">
        <f>IF(P$12=0,0,P73/P$12)</f>
        <v>0.21662153891804678</v>
      </c>
      <c r="S73" s="4"/>
      <c r="T73" s="4">
        <v>49669</v>
      </c>
      <c r="U73" s="4"/>
      <c r="V73" s="12">
        <f>IF(T$12=0,0,T73/T$12)</f>
        <v>0.16372038750465592</v>
      </c>
      <c r="W73" s="4"/>
      <c r="X73" s="4">
        <f>+P73-T73</f>
        <v>8733.25</v>
      </c>
      <c r="Y73" s="4"/>
      <c r="Z73" s="12">
        <f>IF(T73=0,0,X73/T73)</f>
        <v>0.17582898789989732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4</v>
      </c>
      <c r="C75" s="26"/>
      <c r="D75" s="34">
        <f>+D71-D73</f>
        <v>-29495.209999999995</v>
      </c>
      <c r="E75" s="13"/>
      <c r="F75" s="35">
        <f>IF(D$12=0,0,D75/D$12)</f>
        <v>-0.19460692913178015</v>
      </c>
      <c r="G75" s="13"/>
      <c r="H75" s="34">
        <f>+H71-H73</f>
        <v>-5621.7081670192274</v>
      </c>
      <c r="I75" s="13"/>
      <c r="J75" s="35">
        <f>IF(H$12=0,0,H75/H$12)</f>
        <v>-0.14872637284106002</v>
      </c>
      <c r="K75" s="15"/>
      <c r="L75" s="34">
        <f>D75-H75</f>
        <v>-23873.501832980768</v>
      </c>
      <c r="M75" s="15"/>
      <c r="N75" s="35">
        <f>IF(H75=0,0,L75/H75)</f>
        <v>4.2466633136595391</v>
      </c>
      <c r="O75" s="25"/>
      <c r="P75" s="34">
        <f>+P71-P73</f>
        <v>-36534.070000000007</v>
      </c>
      <c r="Q75" s="13"/>
      <c r="R75" s="35">
        <f>IF(P$12=0,0,P75/P$12)</f>
        <v>-0.13550961591958607</v>
      </c>
      <c r="S75" s="13"/>
      <c r="T75" s="34">
        <f>+T71-T73</f>
        <v>-3240.4137375192367</v>
      </c>
      <c r="U75" s="13"/>
      <c r="V75" s="35">
        <f>IF(T$12=0,0,T75/T$12)</f>
        <v>-1.0681145035778048E-2</v>
      </c>
      <c r="W75" s="15"/>
      <c r="X75" s="34">
        <f>P75-T75</f>
        <v>-33293.65626248077</v>
      </c>
      <c r="Y75" s="15"/>
      <c r="Z75" s="35">
        <f>IF(T75=0,0,X75/T75)</f>
        <v>10.274507812687336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5</v>
      </c>
      <c r="C78" s="26"/>
      <c r="D78" s="30">
        <f>SUM(D75:D77)</f>
        <v>-29495.209999999995</v>
      </c>
      <c r="E78" s="13"/>
      <c r="F78" s="32">
        <f>IF(D$12=0,0,D78/D$12)</f>
        <v>-0.19460692913178015</v>
      </c>
      <c r="G78" s="13"/>
      <c r="H78" s="30">
        <f>SUM(H75:H77)</f>
        <v>-5621.7081670192274</v>
      </c>
      <c r="I78" s="13"/>
      <c r="J78" s="32">
        <f>IF(H$12=0,0,H78/H$12)</f>
        <v>-0.14872637284106002</v>
      </c>
      <c r="K78" s="15"/>
      <c r="L78" s="30">
        <f>+D78-H78</f>
        <v>-23873.501832980768</v>
      </c>
      <c r="M78" s="15"/>
      <c r="N78" s="32">
        <f>IF(H78=0,0,L78/H78)</f>
        <v>4.2466633136595391</v>
      </c>
      <c r="O78" s="25"/>
      <c r="P78" s="30">
        <f>SUM(P75:P77)</f>
        <v>-36534.070000000007</v>
      </c>
      <c r="Q78" s="13"/>
      <c r="R78" s="32">
        <f>IF(P$12=0,0,P78/P$12)</f>
        <v>-0.13550961591958607</v>
      </c>
      <c r="S78" s="13"/>
      <c r="T78" s="30">
        <f>SUM(T75:T77)</f>
        <v>-3240.4137375192367</v>
      </c>
      <c r="U78" s="13"/>
      <c r="V78" s="32">
        <f>IF(T$12=0,0,T78/T$12)</f>
        <v>-1.0681145035778048E-2</v>
      </c>
      <c r="W78" s="15"/>
      <c r="X78" s="30">
        <f>+P78-T78</f>
        <v>-33293.65626248077</v>
      </c>
      <c r="Y78" s="15"/>
      <c r="Z78" s="32">
        <f>IF(T78=0,0,X78/T78)</f>
        <v>10.274507812687336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60">
        <v>44151.567940624998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8" t="s">
        <v>314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3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str">
        <f>CONCATENATE("Period ",RIGHT(202104,2),", ",2021)</f>
        <v>Period 04, 2021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44135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str">
        <f>CONCATENATE("Department ","501", " - ", "ID Card Services")</f>
        <v>Department 501 - ID Card Services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151563</v>
      </c>
      <c r="E12" s="4"/>
      <c r="F12" s="12"/>
      <c r="G12" s="4"/>
      <c r="H12" s="4">
        <f>SUM(OSRRefH13x_0)</f>
        <v>37799</v>
      </c>
      <c r="I12" s="4"/>
      <c r="J12" s="12"/>
      <c r="K12" s="4"/>
      <c r="L12" s="4">
        <f t="shared" ref="L12:L13" si="0">+D12-H12</f>
        <v>113764</v>
      </c>
      <c r="M12" s="4"/>
      <c r="N12" s="12">
        <f t="shared" ref="N12:N13" si="1">IF(H12=0,0,L12/H12)</f>
        <v>3.0097092515675019</v>
      </c>
      <c r="O12" s="10"/>
      <c r="P12" s="4">
        <f>SUM(OSRRefP13x_0)</f>
        <v>269605</v>
      </c>
      <c r="Q12" s="4"/>
      <c r="R12" s="12"/>
      <c r="S12" s="4"/>
      <c r="T12" s="4">
        <f>SUM(OSRRefT13x_0)</f>
        <v>303377</v>
      </c>
      <c r="U12" s="4"/>
      <c r="V12" s="12"/>
      <c r="W12" s="4"/>
      <c r="X12" s="4">
        <f t="shared" ref="X12:X13" si="2">+P12-T12</f>
        <v>-33772</v>
      </c>
      <c r="Y12" s="4"/>
      <c r="Z12" s="12">
        <f t="shared" ref="Z12:Z13" si="3">IF(T12=0,0,X12/T12)</f>
        <v>-0.11132023851511486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--151563</f>
        <v>151563</v>
      </c>
      <c r="E13" s="2"/>
      <c r="F13" s="22"/>
      <c r="G13" s="2"/>
      <c r="H13" s="2">
        <v>37799</v>
      </c>
      <c r="I13" s="2"/>
      <c r="J13" s="22"/>
      <c r="K13" s="2"/>
      <c r="L13" s="2">
        <f t="shared" si="0"/>
        <v>113764</v>
      </c>
      <c r="M13" s="2"/>
      <c r="N13" s="22">
        <f t="shared" si="1"/>
        <v>3.0097092515675019</v>
      </c>
      <c r="O13" s="11"/>
      <c r="P13" s="2">
        <f>--269605</f>
        <v>269605</v>
      </c>
      <c r="Q13" s="2"/>
      <c r="R13" s="22"/>
      <c r="S13" s="2"/>
      <c r="T13" s="2">
        <v>303377</v>
      </c>
      <c r="U13" s="2"/>
      <c r="V13" s="22"/>
      <c r="W13" s="2"/>
      <c r="X13" s="2">
        <f t="shared" si="2"/>
        <v>-33772</v>
      </c>
      <c r="Y13" s="2"/>
      <c r="Z13" s="22">
        <f t="shared" si="3"/>
        <v>-0.11132023851511486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151563</v>
      </c>
      <c r="E17" s="13"/>
      <c r="F17" s="19">
        <f>IF(D$12=0,0,D17/D$12)</f>
        <v>1</v>
      </c>
      <c r="G17" s="13"/>
      <c r="H17" s="20">
        <f>H12-H15</f>
        <v>37799</v>
      </c>
      <c r="I17" s="13"/>
      <c r="J17" s="19">
        <f>IF(H$12=0,0,H17/H$12)</f>
        <v>1</v>
      </c>
      <c r="K17" s="15"/>
      <c r="L17" s="20">
        <f>+D17-H17</f>
        <v>113764</v>
      </c>
      <c r="M17" s="15"/>
      <c r="N17" s="19">
        <f>IF(H17=0,0,L17/H17)</f>
        <v>3.0097092515675019</v>
      </c>
      <c r="O17" s="25"/>
      <c r="P17" s="20">
        <f>P12-P15</f>
        <v>269605</v>
      </c>
      <c r="Q17" s="13"/>
      <c r="R17" s="19">
        <f>IF(P$12=0,0,P17/P$12)</f>
        <v>1</v>
      </c>
      <c r="S17" s="13"/>
      <c r="T17" s="20">
        <f>T12-T15</f>
        <v>303377</v>
      </c>
      <c r="U17" s="13"/>
      <c r="V17" s="19">
        <f>IF(T$12=0,0,T17/T$12)</f>
        <v>1</v>
      </c>
      <c r="W17" s="15"/>
      <c r="X17" s="20">
        <f>+P17-T17</f>
        <v>-33772</v>
      </c>
      <c r="Y17" s="15"/>
      <c r="Z17" s="19">
        <f>IF(T17=0,0,X17/T17)</f>
        <v>-0.11132023851511486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1">
        <f>SUM(OSRRefD22x_0)</f>
        <v>144748.99</v>
      </c>
      <c r="E19" s="21"/>
      <c r="F19" s="31">
        <f t="shared" ref="F19:F30" si="4">IF(D$12=0,0,D19/D$12)</f>
        <v>0.95504173182109087</v>
      </c>
      <c r="G19" s="21"/>
      <c r="H19" s="21">
        <f>SUM(OSRRefH22x_0)</f>
        <v>35146.708167019227</v>
      </c>
      <c r="I19" s="21"/>
      <c r="J19" s="31">
        <f t="shared" ref="J19:J30" si="5">IF(H$12=0,0,H19/H$12)</f>
        <v>0.92983169308762736</v>
      </c>
      <c r="K19" s="4"/>
      <c r="L19" s="21">
        <f t="shared" ref="L19:L30" si="6">+D19-H19</f>
        <v>109602.28183298076</v>
      </c>
      <c r="M19" s="4"/>
      <c r="N19" s="31">
        <f t="shared" ref="N19:N30" si="7">IF(H19=0,0,L19/H19)</f>
        <v>3.1184223942721538</v>
      </c>
      <c r="O19" s="10"/>
      <c r="P19" s="21">
        <f>SUM(OSRRefP22x_0)</f>
        <v>248711.98</v>
      </c>
      <c r="Q19" s="21"/>
      <c r="R19" s="31">
        <f t="shared" ref="R19:R30" si="8">IF(P$12=0,0,P19/P$12)</f>
        <v>0.9225050722353072</v>
      </c>
      <c r="S19" s="21"/>
      <c r="T19" s="21">
        <f>SUM(OSRRefT22x_0)</f>
        <v>268948.41373751924</v>
      </c>
      <c r="U19" s="21"/>
      <c r="V19" s="31">
        <f t="shared" ref="V19:V30" si="9">IF(T$12=0,0,T19/T$12)</f>
        <v>0.88651550294689196</v>
      </c>
      <c r="W19" s="4"/>
      <c r="X19" s="21">
        <f t="shared" ref="X19:X30" si="10">+P19-T19</f>
        <v>-20236.433737519226</v>
      </c>
      <c r="Y19" s="4"/>
      <c r="Z19" s="31">
        <f t="shared" ref="Z19:Z30" si="11">IF(T19=0,0,X19/T19)</f>
        <v>-7.5242807556652913E-2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4682.09</v>
      </c>
      <c r="E20" s="1"/>
      <c r="F20" s="5">
        <f t="shared" si="4"/>
        <v>3.0892038294306659E-2</v>
      </c>
      <c r="G20" s="1"/>
      <c r="H20" s="1">
        <f>SUM(OSRRefH22_0x_0)</f>
        <v>4150.4384554807693</v>
      </c>
      <c r="I20" s="1"/>
      <c r="J20" s="5">
        <f t="shared" si="5"/>
        <v>0.10980286397737425</v>
      </c>
      <c r="K20" s="1"/>
      <c r="L20" s="1">
        <f t="shared" si="6"/>
        <v>531.65154451923081</v>
      </c>
      <c r="M20" s="1"/>
      <c r="N20" s="5">
        <f t="shared" si="7"/>
        <v>0.12809527239638263</v>
      </c>
      <c r="O20" s="14"/>
      <c r="P20" s="1">
        <f>SUM(OSRRefP22_0x_0)</f>
        <v>16858.739999999998</v>
      </c>
      <c r="Q20" s="1"/>
      <c r="R20" s="5">
        <f t="shared" si="8"/>
        <v>6.2531258693273487E-2</v>
      </c>
      <c r="S20" s="1"/>
      <c r="T20" s="1">
        <f>SUM(OSRRefT22_0x_0)</f>
        <v>18458.761525980772</v>
      </c>
      <c r="U20" s="1"/>
      <c r="V20" s="5">
        <f t="shared" si="9"/>
        <v>6.0844301070881353E-2</v>
      </c>
      <c r="W20" s="1"/>
      <c r="X20" s="1">
        <f t="shared" si="10"/>
        <v>-1600.0215259807737</v>
      </c>
      <c r="Y20" s="1"/>
      <c r="Z20" s="5">
        <f t="shared" si="11"/>
        <v>-8.6680870963565887E-2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>
        <v>1375.38</v>
      </c>
      <c r="E21" s="2"/>
      <c r="F21" s="6">
        <f t="shared" si="4"/>
        <v>9.074642227984403E-3</v>
      </c>
      <c r="G21" s="2"/>
      <c r="H21" s="7">
        <v>898.56448528846204</v>
      </c>
      <c r="I21" s="2"/>
      <c r="J21" s="6">
        <f t="shared" si="5"/>
        <v>2.3772176123401732E-2</v>
      </c>
      <c r="K21" s="2"/>
      <c r="L21" s="7">
        <f t="shared" si="6"/>
        <v>476.81551471153807</v>
      </c>
      <c r="M21" s="2"/>
      <c r="N21" s="6">
        <f t="shared" si="7"/>
        <v>0.53064139804998878</v>
      </c>
      <c r="O21" s="11"/>
      <c r="P21" s="7">
        <v>4521.6400000000003</v>
      </c>
      <c r="Q21" s="2"/>
      <c r="R21" s="6">
        <f t="shared" si="8"/>
        <v>1.6771350679698076E-2</v>
      </c>
      <c r="S21" s="2"/>
      <c r="T21" s="7">
        <v>5051.1090707884605</v>
      </c>
      <c r="U21" s="2"/>
      <c r="V21" s="6">
        <f t="shared" si="9"/>
        <v>1.6649611113526933E-2</v>
      </c>
      <c r="W21" s="2"/>
      <c r="X21" s="7">
        <f t="shared" si="10"/>
        <v>-529.46907078846016</v>
      </c>
      <c r="Y21" s="2"/>
      <c r="Z21" s="6">
        <f t="shared" si="11"/>
        <v>-0.10482233968188928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7">
        <v>79.05</v>
      </c>
      <c r="E22" s="2"/>
      <c r="F22" s="6">
        <f t="shared" si="4"/>
        <v>5.2156528968151856E-4</v>
      </c>
      <c r="G22" s="2"/>
      <c r="H22" s="7">
        <v>367.06472596153901</v>
      </c>
      <c r="I22" s="2"/>
      <c r="J22" s="6">
        <f t="shared" si="5"/>
        <v>9.7109639398274827E-3</v>
      </c>
      <c r="K22" s="2"/>
      <c r="L22" s="7">
        <f t="shared" si="6"/>
        <v>-288.014725961539</v>
      </c>
      <c r="M22" s="2"/>
      <c r="N22" s="6">
        <f t="shared" si="7"/>
        <v>-0.78464288609338384</v>
      </c>
      <c r="O22" s="11"/>
      <c r="P22" s="7">
        <v>323.54000000000002</v>
      </c>
      <c r="Q22" s="2"/>
      <c r="R22" s="6">
        <f t="shared" si="8"/>
        <v>1.2000519278203298E-3</v>
      </c>
      <c r="S22" s="2"/>
      <c r="T22" s="7">
        <v>1508.2437009615401</v>
      </c>
      <c r="U22" s="2"/>
      <c r="V22" s="6">
        <f t="shared" si="9"/>
        <v>4.9715163013726816E-3</v>
      </c>
      <c r="W22" s="2"/>
      <c r="X22" s="7">
        <f t="shared" si="10"/>
        <v>-1184.7037009615401</v>
      </c>
      <c r="Y22" s="2"/>
      <c r="Z22" s="6">
        <f t="shared" si="11"/>
        <v>-0.78548559507078608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7">
        <v>1230.45</v>
      </c>
      <c r="E23" s="2"/>
      <c r="F23" s="6">
        <f t="shared" si="4"/>
        <v>8.118406207319729E-3</v>
      </c>
      <c r="G23" s="2"/>
      <c r="H23" s="7">
        <v>1025</v>
      </c>
      <c r="I23" s="2"/>
      <c r="J23" s="6">
        <f t="shared" si="5"/>
        <v>2.7117119500515888E-2</v>
      </c>
      <c r="K23" s="2"/>
      <c r="L23" s="7">
        <f t="shared" si="6"/>
        <v>205.45000000000005</v>
      </c>
      <c r="M23" s="2"/>
      <c r="N23" s="6">
        <f t="shared" si="7"/>
        <v>0.20043902439024394</v>
      </c>
      <c r="O23" s="11"/>
      <c r="P23" s="7">
        <v>4942.1000000000004</v>
      </c>
      <c r="Q23" s="2"/>
      <c r="R23" s="6">
        <f t="shared" si="8"/>
        <v>1.8330891489401164E-2</v>
      </c>
      <c r="S23" s="2"/>
      <c r="T23" s="7">
        <v>4432.5</v>
      </c>
      <c r="U23" s="2"/>
      <c r="V23" s="6">
        <f t="shared" si="9"/>
        <v>1.4610534087949977E-2</v>
      </c>
      <c r="W23" s="2"/>
      <c r="X23" s="7">
        <f t="shared" si="10"/>
        <v>509.60000000000036</v>
      </c>
      <c r="Y23" s="2"/>
      <c r="Z23" s="6">
        <f t="shared" si="11"/>
        <v>0.11496897913141577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35.130000000000003</v>
      </c>
      <c r="E24" s="2"/>
      <c r="F24" s="6">
        <f t="shared" si="4"/>
        <v>2.3178480235941493E-4</v>
      </c>
      <c r="G24" s="2"/>
      <c r="H24" s="7">
        <v>51.587474999999998</v>
      </c>
      <c r="I24" s="2"/>
      <c r="J24" s="6">
        <f t="shared" si="5"/>
        <v>1.3647841212730495E-3</v>
      </c>
      <c r="K24" s="2"/>
      <c r="L24" s="7">
        <f t="shared" si="6"/>
        <v>-16.457474999999995</v>
      </c>
      <c r="M24" s="2"/>
      <c r="N24" s="6">
        <f t="shared" si="7"/>
        <v>-0.31902075067639957</v>
      </c>
      <c r="O24" s="11"/>
      <c r="P24" s="7">
        <v>146.30000000000001</v>
      </c>
      <c r="Q24" s="2"/>
      <c r="R24" s="6">
        <f t="shared" si="8"/>
        <v>5.4264572244580036E-4</v>
      </c>
      <c r="S24" s="2"/>
      <c r="T24" s="7">
        <v>211.96938499999999</v>
      </c>
      <c r="U24" s="2"/>
      <c r="V24" s="6">
        <f t="shared" si="9"/>
        <v>6.9869958830102476E-4</v>
      </c>
      <c r="W24" s="2"/>
      <c r="X24" s="7">
        <f t="shared" si="10"/>
        <v>-65.669384999999977</v>
      </c>
      <c r="Y24" s="2"/>
      <c r="Z24" s="6">
        <f t="shared" si="11"/>
        <v>-0.30980598919980817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4.2249757526573112E-3</v>
      </c>
      <c r="G25" s="2"/>
      <c r="H25" s="7">
        <v>700.15494230769207</v>
      </c>
      <c r="I25" s="2"/>
      <c r="J25" s="6">
        <f t="shared" si="5"/>
        <v>1.8523107550667797E-2</v>
      </c>
      <c r="K25" s="2"/>
      <c r="L25" s="7">
        <f t="shared" si="6"/>
        <v>-59.804942307692045</v>
      </c>
      <c r="M25" s="2"/>
      <c r="N25" s="6">
        <f t="shared" si="7"/>
        <v>-8.5416725204533361E-2</v>
      </c>
      <c r="O25" s="11"/>
      <c r="P25" s="7">
        <v>2860.49</v>
      </c>
      <c r="Q25" s="2"/>
      <c r="R25" s="6">
        <f t="shared" si="8"/>
        <v>1.0609929341073051E-2</v>
      </c>
      <c r="S25" s="2"/>
      <c r="T25" s="7">
        <v>2765.9050423076919</v>
      </c>
      <c r="U25" s="2"/>
      <c r="V25" s="6">
        <f t="shared" si="9"/>
        <v>9.1170558160562336E-3</v>
      </c>
      <c r="W25" s="2"/>
      <c r="X25" s="7">
        <f t="shared" si="10"/>
        <v>94.584957692307853</v>
      </c>
      <c r="Y25" s="2"/>
      <c r="Z25" s="6">
        <f t="shared" si="11"/>
        <v>3.4196747988641106E-2</v>
      </c>
    </row>
    <row r="26" spans="1:26" s="24" customFormat="1" hidden="1" outlineLevel="2" x14ac:dyDescent="0.25">
      <c r="A26" s="28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8"/>
      <c r="B27" s="11" t="str">
        <f>CONCATENATE("          ", "6117", " - ", "RETIREMENT STAFF HOURLY")</f>
        <v xml:space="preserve">          6117 - RETIREMENT STAFF HOURLY</v>
      </c>
      <c r="C27" s="11"/>
      <c r="D27" s="7">
        <v>92.8</v>
      </c>
      <c r="E27" s="2"/>
      <c r="F27" s="6">
        <f t="shared" si="4"/>
        <v>6.1228663987912611E-4</v>
      </c>
      <c r="G27" s="2"/>
      <c r="H27" s="7"/>
      <c r="I27" s="2"/>
      <c r="J27" s="6">
        <f t="shared" si="5"/>
        <v>0</v>
      </c>
      <c r="K27" s="2"/>
      <c r="L27" s="7">
        <f t="shared" si="6"/>
        <v>92.8</v>
      </c>
      <c r="M27" s="2"/>
      <c r="N27" s="6">
        <f t="shared" si="7"/>
        <v>0</v>
      </c>
      <c r="O27" s="11"/>
      <c r="P27" s="7">
        <v>377.9</v>
      </c>
      <c r="Q27" s="2"/>
      <c r="R27" s="6">
        <f t="shared" si="8"/>
        <v>1.4016802359006694E-3</v>
      </c>
      <c r="S27" s="2"/>
      <c r="T27" s="7"/>
      <c r="U27" s="2"/>
      <c r="V27" s="6">
        <f t="shared" si="9"/>
        <v>0</v>
      </c>
      <c r="W27" s="2"/>
      <c r="X27" s="7">
        <f t="shared" si="10"/>
        <v>377.9</v>
      </c>
      <c r="Y27" s="2"/>
      <c r="Z27" s="6">
        <f t="shared" si="11"/>
        <v>0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7">
        <v>780.03</v>
      </c>
      <c r="E28" s="2"/>
      <c r="F28" s="6">
        <f t="shared" si="4"/>
        <v>5.1465727123374437E-3</v>
      </c>
      <c r="G28" s="2"/>
      <c r="H28" s="7">
        <v>244.24009615384603</v>
      </c>
      <c r="I28" s="2"/>
      <c r="J28" s="6">
        <f t="shared" si="5"/>
        <v>6.4615491455817884E-3</v>
      </c>
      <c r="K28" s="2"/>
      <c r="L28" s="7">
        <f t="shared" si="6"/>
        <v>535.78990384615395</v>
      </c>
      <c r="M28" s="2"/>
      <c r="N28" s="6">
        <f t="shared" si="7"/>
        <v>2.1937016578500756</v>
      </c>
      <c r="O28" s="11"/>
      <c r="P28" s="7">
        <v>2340.09</v>
      </c>
      <c r="Q28" s="2"/>
      <c r="R28" s="6">
        <f t="shared" si="8"/>
        <v>8.6796980768160826E-3</v>
      </c>
      <c r="S28" s="2"/>
      <c r="T28" s="7">
        <v>964.85059615384591</v>
      </c>
      <c r="U28" s="2"/>
      <c r="V28" s="6">
        <f t="shared" si="9"/>
        <v>3.1803683079265929E-3</v>
      </c>
      <c r="W28" s="2"/>
      <c r="X28" s="7">
        <f t="shared" si="10"/>
        <v>1375.2394038461543</v>
      </c>
      <c r="Y28" s="2"/>
      <c r="Z28" s="6">
        <f t="shared" si="11"/>
        <v>1.4253392279884871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7">
        <v>448.9</v>
      </c>
      <c r="E29" s="2"/>
      <c r="F29" s="6">
        <f t="shared" si="4"/>
        <v>2.9618046620877125E-3</v>
      </c>
      <c r="G29" s="2"/>
      <c r="H29" s="7">
        <v>513.82673076923095</v>
      </c>
      <c r="I29" s="2"/>
      <c r="J29" s="6">
        <f t="shared" si="5"/>
        <v>1.3593659376418184E-2</v>
      </c>
      <c r="K29" s="2"/>
      <c r="L29" s="7">
        <f t="shared" si="6"/>
        <v>-64.926730769230971</v>
      </c>
      <c r="M29" s="2"/>
      <c r="N29" s="6">
        <f t="shared" si="7"/>
        <v>-0.12635919246947619</v>
      </c>
      <c r="O29" s="11"/>
      <c r="P29" s="7">
        <v>1346.68</v>
      </c>
      <c r="Q29" s="2"/>
      <c r="R29" s="6">
        <f t="shared" si="8"/>
        <v>4.9950112201183217E-3</v>
      </c>
      <c r="S29" s="2"/>
      <c r="T29" s="7">
        <v>2124.1837307692317</v>
      </c>
      <c r="U29" s="2"/>
      <c r="V29" s="6">
        <f t="shared" si="9"/>
        <v>7.0017955572414248E-3</v>
      </c>
      <c r="W29" s="2"/>
      <c r="X29" s="7">
        <f t="shared" si="10"/>
        <v>-777.50373076923165</v>
      </c>
      <c r="Y29" s="2"/>
      <c r="Z29" s="6">
        <f t="shared" si="11"/>
        <v>-0.36602470845950497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4"/>
        <v>0</v>
      </c>
      <c r="G30" s="2"/>
      <c r="H30" s="7">
        <v>350</v>
      </c>
      <c r="I30" s="2"/>
      <c r="J30" s="6">
        <f t="shared" si="5"/>
        <v>9.2595042196883508E-3</v>
      </c>
      <c r="K30" s="2"/>
      <c r="L30" s="7">
        <f t="shared" si="6"/>
        <v>-350</v>
      </c>
      <c r="M30" s="2"/>
      <c r="N30" s="6">
        <f t="shared" si="7"/>
        <v>-1</v>
      </c>
      <c r="O30" s="11"/>
      <c r="P30" s="7"/>
      <c r="Q30" s="2"/>
      <c r="R30" s="6">
        <f t="shared" si="8"/>
        <v>0</v>
      </c>
      <c r="S30" s="2"/>
      <c r="T30" s="7">
        <v>1400</v>
      </c>
      <c r="U30" s="2"/>
      <c r="V30" s="6">
        <f t="shared" si="9"/>
        <v>4.6147202985064783E-3</v>
      </c>
      <c r="W30" s="2"/>
      <c r="X30" s="7">
        <f t="shared" si="10"/>
        <v>-1400</v>
      </c>
      <c r="Y30" s="2"/>
      <c r="Z30" s="6">
        <f t="shared" si="11"/>
        <v>-1</v>
      </c>
    </row>
    <row r="31" spans="1:26" s="27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15690.42</v>
      </c>
      <c r="E31" s="1"/>
      <c r="F31" s="5">
        <f t="shared" ref="F31:F41" si="12">IF(D$12=0,0,D31/D$12)</f>
        <v>0.10352407909582154</v>
      </c>
      <c r="G31" s="1"/>
      <c r="H31" s="1">
        <f>SUM(OSRRefH22_1x_0)</f>
        <v>19083.269711538458</v>
      </c>
      <c r="I31" s="1"/>
      <c r="J31" s="5">
        <f t="shared" ref="J31:J41" si="13">IF(H$12=0,0,H31/H$12)</f>
        <v>0.50486176119840365</v>
      </c>
      <c r="K31" s="1"/>
      <c r="L31" s="1">
        <f t="shared" ref="L31:L41" si="14">+D31-H31</f>
        <v>-3392.849711538458</v>
      </c>
      <c r="M31" s="1"/>
      <c r="N31" s="5">
        <f t="shared" ref="N31:N41" si="15">IF(H31=0,0,L31/H31)</f>
        <v>-0.17779184399867357</v>
      </c>
      <c r="O31" s="14"/>
      <c r="P31" s="1">
        <f>SUM(OSRRefP22_1x_0)</f>
        <v>61737.279999999999</v>
      </c>
      <c r="Q31" s="1"/>
      <c r="R31" s="5">
        <f t="shared" ref="R31:R41" si="16">IF(P$12=0,0,P31/P$12)</f>
        <v>0.22899159882049666</v>
      </c>
      <c r="S31" s="1"/>
      <c r="T31" s="1">
        <f>SUM(OSRRefT22_1x_0)</f>
        <v>78437.652211538458</v>
      </c>
      <c r="U31" s="1"/>
      <c r="V31" s="5">
        <f t="shared" ref="V31:V41" si="17">IF(T$12=0,0,T31/T$12)</f>
        <v>0.25854844701984153</v>
      </c>
      <c r="W31" s="1"/>
      <c r="X31" s="1">
        <f t="shared" ref="X31:X41" si="18">+P31-T31</f>
        <v>-16700.372211538459</v>
      </c>
      <c r="Y31" s="1"/>
      <c r="Z31" s="5">
        <f t="shared" ref="Z31:Z41" si="19">IF(T31=0,0,X31/T31)</f>
        <v>-0.21291269869346974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7">
        <v>4205.1400000000003</v>
      </c>
      <c r="E32" s="2"/>
      <c r="F32" s="6">
        <f t="shared" si="12"/>
        <v>2.7745162077815827E-2</v>
      </c>
      <c r="G32" s="2"/>
      <c r="H32" s="7">
        <v>5024.0384615384601</v>
      </c>
      <c r="I32" s="2"/>
      <c r="J32" s="6">
        <f t="shared" si="13"/>
        <v>0.13291458666997699</v>
      </c>
      <c r="K32" s="2"/>
      <c r="L32" s="7">
        <f t="shared" si="14"/>
        <v>-818.89846153845974</v>
      </c>
      <c r="M32" s="2"/>
      <c r="N32" s="6">
        <f t="shared" si="15"/>
        <v>-0.16299605741626763</v>
      </c>
      <c r="O32" s="11"/>
      <c r="P32" s="7">
        <v>17874.3</v>
      </c>
      <c r="Q32" s="2"/>
      <c r="R32" s="6">
        <f t="shared" si="16"/>
        <v>6.6298102779992957E-2</v>
      </c>
      <c r="S32" s="2"/>
      <c r="T32" s="7">
        <v>18086.538461538461</v>
      </c>
      <c r="U32" s="2"/>
      <c r="V32" s="6">
        <f t="shared" si="17"/>
        <v>5.9617368691556913E-2</v>
      </c>
      <c r="W32" s="2"/>
      <c r="X32" s="7">
        <f t="shared" si="18"/>
        <v>-212.23846153846171</v>
      </c>
      <c r="Y32" s="2"/>
      <c r="Z32" s="6">
        <f t="shared" si="19"/>
        <v>-1.1734609250398733E-2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>
        <v>2852.45</v>
      </c>
      <c r="E33" s="2"/>
      <c r="F33" s="6">
        <f t="shared" si="12"/>
        <v>1.8820226572448421E-2</v>
      </c>
      <c r="G33" s="2"/>
      <c r="H33" s="7">
        <v>2710.2312499999998</v>
      </c>
      <c r="I33" s="2"/>
      <c r="J33" s="6">
        <f t="shared" si="13"/>
        <v>7.1701136273446389E-2</v>
      </c>
      <c r="K33" s="2"/>
      <c r="L33" s="7">
        <f t="shared" si="14"/>
        <v>142.21875</v>
      </c>
      <c r="M33" s="2"/>
      <c r="N33" s="6">
        <f t="shared" si="15"/>
        <v>5.2474765760301821E-2</v>
      </c>
      <c r="O33" s="11"/>
      <c r="P33" s="7">
        <v>9813.89</v>
      </c>
      <c r="Q33" s="2"/>
      <c r="R33" s="6">
        <f t="shared" si="16"/>
        <v>3.6400994046846311E-2</v>
      </c>
      <c r="S33" s="2"/>
      <c r="T33" s="7">
        <v>12467.063749999999</v>
      </c>
      <c r="U33" s="2"/>
      <c r="V33" s="6">
        <f t="shared" si="17"/>
        <v>4.1094294392785211E-2</v>
      </c>
      <c r="W33" s="2"/>
      <c r="X33" s="7">
        <f t="shared" si="18"/>
        <v>-2653.1737499999999</v>
      </c>
      <c r="Y33" s="2"/>
      <c r="Z33" s="6">
        <f t="shared" si="19"/>
        <v>-0.21281464530892449</v>
      </c>
    </row>
    <row r="34" spans="1:26" s="24" customFormat="1" hidden="1" outlineLevel="2" x14ac:dyDescent="0.25">
      <c r="A34" s="28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8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3492</v>
      </c>
      <c r="I35" s="2"/>
      <c r="J35" s="6">
        <f t="shared" si="13"/>
        <v>9.2383396386147787E-2</v>
      </c>
      <c r="K35" s="2"/>
      <c r="L35" s="7">
        <f t="shared" si="14"/>
        <v>-3492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11872.8</v>
      </c>
      <c r="U35" s="2"/>
      <c r="V35" s="6">
        <f t="shared" si="17"/>
        <v>3.9135465114362653E-2</v>
      </c>
      <c r="W35" s="2"/>
      <c r="X35" s="7">
        <f t="shared" si="18"/>
        <v>-11872.8</v>
      </c>
      <c r="Y35" s="2"/>
      <c r="Z35" s="6">
        <f t="shared" si="19"/>
        <v>-1</v>
      </c>
    </row>
    <row r="36" spans="1:26" s="24" customFormat="1" hidden="1" outlineLevel="2" x14ac:dyDescent="0.25">
      <c r="A36" s="28"/>
      <c r="B36" s="11" t="str">
        <f>CONCATENATE("          ", "6005", " - ", "TEMPORARY WAGES-HOURLY")</f>
        <v xml:space="preserve">          6005 - TEMPORARY WAGES-HOURLY</v>
      </c>
      <c r="C36" s="11"/>
      <c r="D36" s="7">
        <v>8347.7999999999993</v>
      </c>
      <c r="E36" s="2"/>
      <c r="F36" s="6">
        <f t="shared" si="12"/>
        <v>5.5078086340333718E-2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8347.7999999999993</v>
      </c>
      <c r="M36" s="2"/>
      <c r="N36" s="6">
        <f t="shared" si="15"/>
        <v>0</v>
      </c>
      <c r="O36" s="11"/>
      <c r="P36" s="7">
        <v>29353.32</v>
      </c>
      <c r="Q36" s="2"/>
      <c r="R36" s="6">
        <f t="shared" si="16"/>
        <v>0.10887528050295803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29353.32</v>
      </c>
      <c r="Y36" s="2"/>
      <c r="Z36" s="6">
        <f t="shared" si="19"/>
        <v>0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7">
        <v>-756.15</v>
      </c>
      <c r="E38" s="2"/>
      <c r="F38" s="6">
        <f t="shared" si="12"/>
        <v>-4.989014469230617E-3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-756.15</v>
      </c>
      <c r="M38" s="2"/>
      <c r="N38" s="6">
        <f t="shared" si="15"/>
        <v>0</v>
      </c>
      <c r="O38" s="11"/>
      <c r="P38" s="7">
        <v>2811.23</v>
      </c>
      <c r="Q38" s="2"/>
      <c r="R38" s="6">
        <f t="shared" si="16"/>
        <v>1.0427217596112832E-2</v>
      </c>
      <c r="S38" s="2"/>
      <c r="T38" s="7">
        <v>20952</v>
      </c>
      <c r="U38" s="2"/>
      <c r="V38" s="6">
        <f t="shared" si="17"/>
        <v>6.9062585495934095E-2</v>
      </c>
      <c r="W38" s="2"/>
      <c r="X38" s="7">
        <f t="shared" si="18"/>
        <v>-18140.77</v>
      </c>
      <c r="Y38" s="2"/>
      <c r="Z38" s="6">
        <f t="shared" si="19"/>
        <v>-0.86582521954944636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7">
        <v>1041.18</v>
      </c>
      <c r="E39" s="2"/>
      <c r="F39" s="6">
        <f t="shared" si="12"/>
        <v>6.8696185744541874E-3</v>
      </c>
      <c r="G39" s="2"/>
      <c r="H39" s="7">
        <v>7857</v>
      </c>
      <c r="I39" s="2"/>
      <c r="J39" s="6">
        <f t="shared" si="13"/>
        <v>0.20786264186883252</v>
      </c>
      <c r="K39" s="2"/>
      <c r="L39" s="7">
        <f t="shared" si="14"/>
        <v>-6815.82</v>
      </c>
      <c r="M39" s="2"/>
      <c r="N39" s="6">
        <f t="shared" si="15"/>
        <v>-0.86748377243222596</v>
      </c>
      <c r="O39" s="11"/>
      <c r="P39" s="7">
        <v>1884.54</v>
      </c>
      <c r="Q39" s="2"/>
      <c r="R39" s="6">
        <f t="shared" si="16"/>
        <v>6.9900038945865245E-3</v>
      </c>
      <c r="S39" s="2"/>
      <c r="T39" s="7">
        <v>15059.249999999998</v>
      </c>
      <c r="U39" s="2"/>
      <c r="V39" s="6">
        <f t="shared" si="17"/>
        <v>4.9638733325202633E-2</v>
      </c>
      <c r="W39" s="2"/>
      <c r="X39" s="7">
        <f t="shared" si="18"/>
        <v>-13174.71</v>
      </c>
      <c r="Y39" s="2"/>
      <c r="Z39" s="6">
        <f t="shared" si="19"/>
        <v>-0.8748583096767768</v>
      </c>
    </row>
    <row r="40" spans="1:26" s="24" customFormat="1" hidden="1" outlineLevel="2" x14ac:dyDescent="0.25">
      <c r="A40" s="28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8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7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2.6455726341966719E-3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400</v>
      </c>
      <c r="U42" s="1"/>
      <c r="V42" s="5">
        <f t="shared" ref="V42:V50" si="25">IF(T$12=0,0,T42/T$12)</f>
        <v>1.318491513858994E-3</v>
      </c>
      <c r="W42" s="1"/>
      <c r="X42" s="1">
        <f t="shared" ref="X42:X50" si="26">+P42-T42</f>
        <v>-400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8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2.6455726341966719E-3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400</v>
      </c>
      <c r="U43" s="2"/>
      <c r="V43" s="6">
        <f t="shared" si="25"/>
        <v>1.318491513858994E-3</v>
      </c>
      <c r="W43" s="2"/>
      <c r="X43" s="7">
        <f t="shared" si="26"/>
        <v>-400</v>
      </c>
      <c r="Y43" s="2"/>
      <c r="Z43" s="6">
        <f t="shared" si="27"/>
        <v>-1</v>
      </c>
    </row>
    <row r="44" spans="1:26" s="27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55.04</v>
      </c>
      <c r="E44" s="1"/>
      <c r="F44" s="5">
        <f t="shared" si="20"/>
        <v>3.631493174455507E-4</v>
      </c>
      <c r="G44" s="1"/>
      <c r="H44" s="1">
        <f>SUM(OSRRefH22_3x_0)</f>
        <v>1700</v>
      </c>
      <c r="I44" s="1"/>
      <c r="J44" s="5">
        <f t="shared" si="21"/>
        <v>4.4974734781343423E-2</v>
      </c>
      <c r="K44" s="1"/>
      <c r="L44" s="1">
        <f t="shared" si="22"/>
        <v>-1644.96</v>
      </c>
      <c r="M44" s="1"/>
      <c r="N44" s="5">
        <f t="shared" si="23"/>
        <v>-0.96762352941176477</v>
      </c>
      <c r="O44" s="14"/>
      <c r="P44" s="1">
        <f>SUM(OSRRefP22_3x_0)</f>
        <v>519.47</v>
      </c>
      <c r="Q44" s="1"/>
      <c r="R44" s="5">
        <f t="shared" si="24"/>
        <v>1.9267817733350644E-3</v>
      </c>
      <c r="S44" s="1"/>
      <c r="T44" s="1">
        <f>SUM(OSRRefT22_3x_0)</f>
        <v>6200</v>
      </c>
      <c r="U44" s="1"/>
      <c r="V44" s="5">
        <f t="shared" si="25"/>
        <v>2.0436618464814406E-2</v>
      </c>
      <c r="W44" s="1"/>
      <c r="X44" s="1">
        <f t="shared" si="26"/>
        <v>-5680.53</v>
      </c>
      <c r="Y44" s="1"/>
      <c r="Z44" s="5">
        <f t="shared" si="27"/>
        <v>-0.91621451612903226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7">
        <v>55.04</v>
      </c>
      <c r="E45" s="2"/>
      <c r="F45" s="6">
        <f t="shared" si="20"/>
        <v>3.631493174455507E-4</v>
      </c>
      <c r="G45" s="2"/>
      <c r="H45" s="7">
        <v>1700</v>
      </c>
      <c r="I45" s="2"/>
      <c r="J45" s="6">
        <f t="shared" si="21"/>
        <v>4.4974734781343423E-2</v>
      </c>
      <c r="K45" s="2"/>
      <c r="L45" s="7">
        <f t="shared" si="22"/>
        <v>-1644.96</v>
      </c>
      <c r="M45" s="2"/>
      <c r="N45" s="6">
        <f t="shared" si="23"/>
        <v>-0.96762352941176477</v>
      </c>
      <c r="O45" s="11"/>
      <c r="P45" s="7">
        <v>519.47</v>
      </c>
      <c r="Q45" s="2"/>
      <c r="R45" s="6">
        <f t="shared" si="24"/>
        <v>1.9267817733350644E-3</v>
      </c>
      <c r="S45" s="2"/>
      <c r="T45" s="7">
        <v>6200</v>
      </c>
      <c r="U45" s="2"/>
      <c r="V45" s="6">
        <f t="shared" si="25"/>
        <v>2.0436618464814406E-2</v>
      </c>
      <c r="W45" s="2"/>
      <c r="X45" s="7">
        <f t="shared" si="26"/>
        <v>-5680.53</v>
      </c>
      <c r="Y45" s="2"/>
      <c r="Z45" s="6">
        <f t="shared" si="27"/>
        <v>-0.91621451612903226</v>
      </c>
    </row>
    <row r="46" spans="1:26" s="27" customFormat="1" outlineLevel="1" collapsed="1" x14ac:dyDescent="0.25">
      <c r="A46" s="29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5.2911452683933433E-4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80</v>
      </c>
      <c r="U46" s="1"/>
      <c r="V46" s="5">
        <f t="shared" si="25"/>
        <v>2.6369830277179877E-4</v>
      </c>
      <c r="W46" s="1"/>
      <c r="X46" s="1">
        <f t="shared" si="26"/>
        <v>-80</v>
      </c>
      <c r="Y46" s="1"/>
      <c r="Z46" s="5">
        <f t="shared" si="27"/>
        <v>-1</v>
      </c>
    </row>
    <row r="47" spans="1:26" s="24" customFormat="1" hidden="1" outlineLevel="2" x14ac:dyDescent="0.25">
      <c r="A47" s="28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5.2911452683933433E-4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80</v>
      </c>
      <c r="U47" s="2"/>
      <c r="V47" s="6">
        <f t="shared" si="25"/>
        <v>2.6369830277179877E-4</v>
      </c>
      <c r="W47" s="2"/>
      <c r="X47" s="7">
        <f t="shared" si="26"/>
        <v>-80</v>
      </c>
      <c r="Y47" s="2"/>
      <c r="Z47" s="6">
        <f t="shared" si="27"/>
        <v>-1</v>
      </c>
    </row>
    <row r="48" spans="1:26" s="27" customFormat="1" outlineLevel="1" collapsed="1" x14ac:dyDescent="0.25">
      <c r="A48" s="29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1.33</v>
      </c>
      <c r="E48" s="1"/>
      <c r="F48" s="5">
        <f t="shared" si="20"/>
        <v>8.7752287827504075E-6</v>
      </c>
      <c r="G48" s="1"/>
      <c r="H48" s="1">
        <f>SUM(OSRRefH22_5x_0)</f>
        <v>10</v>
      </c>
      <c r="I48" s="1"/>
      <c r="J48" s="5">
        <f t="shared" si="21"/>
        <v>2.6455726341966716E-4</v>
      </c>
      <c r="K48" s="1"/>
      <c r="L48" s="1">
        <f t="shared" si="22"/>
        <v>-8.67</v>
      </c>
      <c r="M48" s="1"/>
      <c r="N48" s="5">
        <f t="shared" si="23"/>
        <v>-0.86699999999999999</v>
      </c>
      <c r="O48" s="14"/>
      <c r="P48" s="1">
        <f>SUM(OSRRefP22_5x_0)</f>
        <v>2.12</v>
      </c>
      <c r="Q48" s="1"/>
      <c r="R48" s="5">
        <f t="shared" si="24"/>
        <v>7.8633556499323092E-6</v>
      </c>
      <c r="S48" s="1"/>
      <c r="T48" s="1">
        <f>SUM(OSRRefT22_5x_0)</f>
        <v>40</v>
      </c>
      <c r="U48" s="1"/>
      <c r="V48" s="5">
        <f t="shared" si="25"/>
        <v>1.3184915138589939E-4</v>
      </c>
      <c r="W48" s="1"/>
      <c r="X48" s="1">
        <f t="shared" si="26"/>
        <v>-37.880000000000003</v>
      </c>
      <c r="Y48" s="1"/>
      <c r="Z48" s="5">
        <f t="shared" si="27"/>
        <v>-0.94700000000000006</v>
      </c>
    </row>
    <row r="49" spans="1:26" s="24" customFormat="1" hidden="1" outlineLevel="2" x14ac:dyDescent="0.25">
      <c r="A49" s="28"/>
      <c r="B49" s="11" t="str">
        <f>CONCATENATE("          ", "6305", " - ", "FREIGHT OUT")</f>
        <v xml:space="preserve">          6305 - FREIGHT OUT</v>
      </c>
      <c r="C49" s="11"/>
      <c r="D49" s="7">
        <v>1.33</v>
      </c>
      <c r="E49" s="2"/>
      <c r="F49" s="6">
        <f t="shared" si="20"/>
        <v>8.7752287827504075E-6</v>
      </c>
      <c r="G49" s="2"/>
      <c r="H49" s="7"/>
      <c r="I49" s="2"/>
      <c r="J49" s="6">
        <f t="shared" si="21"/>
        <v>0</v>
      </c>
      <c r="K49" s="2"/>
      <c r="L49" s="7">
        <f t="shared" si="22"/>
        <v>1.33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6.0087906381558211E-6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8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2.6455726341966716E-4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1.8545650117764878E-6</v>
      </c>
      <c r="S50" s="2"/>
      <c r="T50" s="7">
        <v>40</v>
      </c>
      <c r="U50" s="2"/>
      <c r="V50" s="6">
        <f t="shared" si="25"/>
        <v>1.3184915138589939E-4</v>
      </c>
      <c r="W50" s="2"/>
      <c r="X50" s="7">
        <f t="shared" si="26"/>
        <v>-39.5</v>
      </c>
      <c r="Y50" s="2"/>
      <c r="Z50" s="6">
        <f t="shared" si="27"/>
        <v>-0.98750000000000004</v>
      </c>
    </row>
    <row r="51" spans="1:26" s="27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1.3227863170983359E-3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4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200</v>
      </c>
      <c r="U51" s="1"/>
      <c r="V51" s="5">
        <f t="shared" ref="V51:V61" si="33">IF(T$12=0,0,T51/T$12)</f>
        <v>6.5924575692949698E-4</v>
      </c>
      <c r="W51" s="1"/>
      <c r="X51" s="1">
        <f t="shared" ref="X51:X61" si="34">+P51-T51</f>
        <v>-200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1.3227863170983359E-3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200</v>
      </c>
      <c r="U52" s="2"/>
      <c r="V52" s="6">
        <f t="shared" si="33"/>
        <v>6.5924575692949698E-4</v>
      </c>
      <c r="W52" s="2"/>
      <c r="X52" s="7">
        <f t="shared" si="34"/>
        <v>-200</v>
      </c>
      <c r="Y52" s="2"/>
      <c r="Z52" s="6">
        <f t="shared" si="35"/>
        <v>-1</v>
      </c>
    </row>
    <row r="53" spans="1:26" s="27" customFormat="1" outlineLevel="1" collapsed="1" x14ac:dyDescent="0.25">
      <c r="A53" s="29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1.9140555412600703E-4</v>
      </c>
      <c r="G53" s="1"/>
      <c r="H53" s="1">
        <f>SUM(OSRRefH22_7x_0)</f>
        <v>33</v>
      </c>
      <c r="I53" s="1"/>
      <c r="J53" s="5">
        <f t="shared" si="29"/>
        <v>8.7303896928490172E-4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116.04</v>
      </c>
      <c r="Q53" s="1"/>
      <c r="R53" s="5">
        <f t="shared" si="32"/>
        <v>4.3040744793308732E-4</v>
      </c>
      <c r="S53" s="1"/>
      <c r="T53" s="1">
        <f>SUM(OSRRefT22_7x_0)</f>
        <v>132</v>
      </c>
      <c r="U53" s="1"/>
      <c r="V53" s="5">
        <f t="shared" si="33"/>
        <v>4.3510219957346798E-4</v>
      </c>
      <c r="W53" s="1"/>
      <c r="X53" s="1">
        <f t="shared" si="34"/>
        <v>-15.959999999999994</v>
      </c>
      <c r="Y53" s="1"/>
      <c r="Z53" s="5">
        <f t="shared" si="35"/>
        <v>-0.12090909090909085</v>
      </c>
    </row>
    <row r="54" spans="1:26" s="24" customFormat="1" hidden="1" outlineLevel="2" x14ac:dyDescent="0.25">
      <c r="A54" s="28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1.9140555412600703E-4</v>
      </c>
      <c r="G54" s="2"/>
      <c r="H54" s="7">
        <v>33</v>
      </c>
      <c r="I54" s="2"/>
      <c r="J54" s="6">
        <f t="shared" si="29"/>
        <v>8.7303896928490172E-4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116.04</v>
      </c>
      <c r="Q54" s="2"/>
      <c r="R54" s="6">
        <f t="shared" si="32"/>
        <v>4.3040744793308732E-4</v>
      </c>
      <c r="S54" s="2"/>
      <c r="T54" s="7">
        <v>132</v>
      </c>
      <c r="U54" s="2"/>
      <c r="V54" s="6">
        <f t="shared" si="33"/>
        <v>4.3510219957346798E-4</v>
      </c>
      <c r="W54" s="2"/>
      <c r="X54" s="7">
        <f t="shared" si="34"/>
        <v>-15.959999999999994</v>
      </c>
      <c r="Y54" s="2"/>
      <c r="Z54" s="6">
        <f t="shared" si="35"/>
        <v>-0.12090909090909085</v>
      </c>
    </row>
    <row r="55" spans="1:26" s="27" customFormat="1" outlineLevel="1" collapsed="1" x14ac:dyDescent="0.25">
      <c r="A55" s="29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5.2783331024062602E-3</v>
      </c>
      <c r="G55" s="1"/>
      <c r="H55" s="1">
        <f>SUM(OSRRefH22_8x_0)</f>
        <v>800</v>
      </c>
      <c r="I55" s="1"/>
      <c r="J55" s="5">
        <f t="shared" si="29"/>
        <v>2.1164581073573375E-2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3200</v>
      </c>
      <c r="Q55" s="1"/>
      <c r="R55" s="5">
        <f t="shared" si="32"/>
        <v>1.1869216075369522E-2</v>
      </c>
      <c r="S55" s="1"/>
      <c r="T55" s="1">
        <f>SUM(OSRRefT22_8x_0)</f>
        <v>3200</v>
      </c>
      <c r="U55" s="1"/>
      <c r="V55" s="5">
        <f t="shared" si="33"/>
        <v>1.0547932110871952E-2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8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5.2783331024062602E-3</v>
      </c>
      <c r="G56" s="2"/>
      <c r="H56" s="7">
        <v>800</v>
      </c>
      <c r="I56" s="2"/>
      <c r="J56" s="6">
        <f t="shared" si="29"/>
        <v>2.1164581073573375E-2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3200</v>
      </c>
      <c r="Q56" s="2"/>
      <c r="R56" s="6">
        <f t="shared" si="32"/>
        <v>1.1869216075369522E-2</v>
      </c>
      <c r="S56" s="2"/>
      <c r="T56" s="7">
        <v>3200</v>
      </c>
      <c r="U56" s="2"/>
      <c r="V56" s="6">
        <f t="shared" si="33"/>
        <v>1.0547932110871952E-2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7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117265.90000000001</v>
      </c>
      <c r="E57" s="1"/>
      <c r="F57" s="5">
        <f t="shared" si="28"/>
        <v>0.77371060219182786</v>
      </c>
      <c r="G57" s="1"/>
      <c r="H57" s="1">
        <f>SUM(OSRRefH22_9x_0)</f>
        <v>1500</v>
      </c>
      <c r="I57" s="1"/>
      <c r="J57" s="5">
        <f t="shared" si="29"/>
        <v>3.9683589512950077E-2</v>
      </c>
      <c r="K57" s="1"/>
      <c r="L57" s="1">
        <f t="shared" si="30"/>
        <v>115765.90000000001</v>
      </c>
      <c r="M57" s="1"/>
      <c r="N57" s="5">
        <f t="shared" si="31"/>
        <v>77.177266666666668</v>
      </c>
      <c r="O57" s="14"/>
      <c r="P57" s="1">
        <f>SUM(OSRRefP22_9x_0)</f>
        <v>123827.90000000001</v>
      </c>
      <c r="Q57" s="1"/>
      <c r="R57" s="5">
        <f t="shared" si="32"/>
        <v>0.45929378164351553</v>
      </c>
      <c r="S57" s="1"/>
      <c r="T57" s="1">
        <f>SUM(OSRRefT22_9x_0)</f>
        <v>131000</v>
      </c>
      <c r="U57" s="1"/>
      <c r="V57" s="5">
        <f t="shared" si="33"/>
        <v>0.43180597078882049</v>
      </c>
      <c r="W57" s="1"/>
      <c r="X57" s="1">
        <f t="shared" si="34"/>
        <v>-7172.0999999999913</v>
      </c>
      <c r="Y57" s="1"/>
      <c r="Z57" s="5">
        <f t="shared" si="35"/>
        <v>-5.4748854961831996E-2</v>
      </c>
    </row>
    <row r="58" spans="1:26" s="24" customFormat="1" hidden="1" outlineLevel="2" x14ac:dyDescent="0.25">
      <c r="A58" s="28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0.41202859808093562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8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3.9683589512950077E-2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6000</v>
      </c>
      <c r="U59" s="2"/>
      <c r="V59" s="6">
        <f t="shared" si="33"/>
        <v>1.9777372707884908E-2</v>
      </c>
      <c r="W59" s="2"/>
      <c r="X59" s="7">
        <f t="shared" si="34"/>
        <v>-6000</v>
      </c>
      <c r="Y59" s="2"/>
      <c r="Z59" s="6">
        <f t="shared" si="35"/>
        <v>-1</v>
      </c>
    </row>
    <row r="60" spans="1:26" s="24" customFormat="1" hidden="1" outlineLevel="2" x14ac:dyDescent="0.25">
      <c r="A60" s="28"/>
      <c r="B60" s="11" t="str">
        <f>CONCATENATE("          ", "6373", " - ", "MAINTENANCE CONTRACTS")</f>
        <v xml:space="preserve">          6373 - MAINTENANCE CONTRACTS</v>
      </c>
      <c r="C60" s="11"/>
      <c r="D60" s="7">
        <v>117265.90000000001</v>
      </c>
      <c r="E60" s="2"/>
      <c r="F60" s="6">
        <f t="shared" si="28"/>
        <v>0.77371060219182786</v>
      </c>
      <c r="G60" s="2"/>
      <c r="H60" s="7"/>
      <c r="I60" s="2"/>
      <c r="J60" s="6">
        <f t="shared" si="29"/>
        <v>0</v>
      </c>
      <c r="K60" s="2"/>
      <c r="L60" s="7">
        <f t="shared" si="30"/>
        <v>117265.90000000001</v>
      </c>
      <c r="M60" s="2"/>
      <c r="N60" s="6">
        <f t="shared" si="31"/>
        <v>0</v>
      </c>
      <c r="O60" s="11"/>
      <c r="P60" s="7">
        <v>117265.90000000001</v>
      </c>
      <c r="Q60" s="2"/>
      <c r="R60" s="6">
        <f t="shared" si="32"/>
        <v>0.4349544704289609</v>
      </c>
      <c r="S60" s="2"/>
      <c r="T60" s="7"/>
      <c r="U60" s="2"/>
      <c r="V60" s="6">
        <f t="shared" si="33"/>
        <v>0</v>
      </c>
      <c r="W60" s="2"/>
      <c r="X60" s="7">
        <f t="shared" si="34"/>
        <v>117265.90000000001</v>
      </c>
      <c r="Y60" s="2"/>
      <c r="Z60" s="6">
        <f t="shared" si="35"/>
        <v>0</v>
      </c>
    </row>
    <row r="61" spans="1:26" s="24" customFormat="1" hidden="1" outlineLevel="2" x14ac:dyDescent="0.25">
      <c r="A61" s="28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2.4339311214554626E-2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7" customFormat="1" outlineLevel="1" collapsed="1" x14ac:dyDescent="0.25">
      <c r="A62" s="29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6088.55</v>
      </c>
      <c r="E62" s="1"/>
      <c r="F62" s="5">
        <f t="shared" ref="F62:F64" si="36">IF(D$12=0,0,D62/D$12)</f>
        <v>4.0171743763319542E-2</v>
      </c>
      <c r="G62" s="1"/>
      <c r="H62" s="1">
        <f>SUM(OSRRefH22_10x_0)</f>
        <v>7000</v>
      </c>
      <c r="I62" s="1"/>
      <c r="J62" s="5">
        <f t="shared" ref="J62:J64" si="37">IF(H$12=0,0,H62/H$12)</f>
        <v>0.18519008439376702</v>
      </c>
      <c r="K62" s="1"/>
      <c r="L62" s="1">
        <f t="shared" ref="L62:L64" si="38">+D62-H62</f>
        <v>-911.44999999999982</v>
      </c>
      <c r="M62" s="1"/>
      <c r="N62" s="5">
        <f t="shared" ref="N62:N64" si="39">IF(H62=0,0,L62/H62)</f>
        <v>-0.13020714285714283</v>
      </c>
      <c r="O62" s="14"/>
      <c r="P62" s="1">
        <f>SUM(OSRRefP22_10x_0)</f>
        <v>41271.699999999997</v>
      </c>
      <c r="Q62" s="1"/>
      <c r="R62" s="5">
        <f t="shared" ref="R62:R64" si="40">IF(P$12=0,0,P62/P$12)</f>
        <v>0.15308210159307134</v>
      </c>
      <c r="S62" s="1"/>
      <c r="T62" s="1">
        <f>SUM(OSRRefT22_10x_0)</f>
        <v>28000</v>
      </c>
      <c r="U62" s="1"/>
      <c r="V62" s="5">
        <f t="shared" ref="V62:V64" si="41">IF(T$12=0,0,T62/T$12)</f>
        <v>9.229440597012957E-2</v>
      </c>
      <c r="W62" s="1"/>
      <c r="X62" s="1">
        <f t="shared" ref="X62:X64" si="42">+P62-T62</f>
        <v>13271.699999999997</v>
      </c>
      <c r="Y62" s="1"/>
      <c r="Z62" s="5">
        <f t="shared" ref="Z62:Z64" si="43">IF(T62=0,0,X62/T62)</f>
        <v>0.47398928571428561</v>
      </c>
    </row>
    <row r="63" spans="1:26" s="24" customFormat="1" hidden="1" outlineLevel="2" x14ac:dyDescent="0.25">
      <c r="A63" s="28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7000</v>
      </c>
      <c r="I63" s="2"/>
      <c r="J63" s="6">
        <f t="shared" si="37"/>
        <v>0.18519008439376702</v>
      </c>
      <c r="K63" s="2"/>
      <c r="L63" s="7">
        <f t="shared" si="38"/>
        <v>-7000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28000</v>
      </c>
      <c r="U63" s="2"/>
      <c r="V63" s="6">
        <f t="shared" si="41"/>
        <v>9.229440597012957E-2</v>
      </c>
      <c r="W63" s="2"/>
      <c r="X63" s="7">
        <f t="shared" si="42"/>
        <v>-28000</v>
      </c>
      <c r="Y63" s="2"/>
      <c r="Z63" s="6">
        <f t="shared" si="43"/>
        <v>-1</v>
      </c>
    </row>
    <row r="64" spans="1:26" s="24" customFormat="1" hidden="1" outlineLevel="2" x14ac:dyDescent="0.25">
      <c r="A64" s="28"/>
      <c r="B64" s="11" t="str">
        <f>CONCATENATE("          ", "6241", " - ", "OFFICE EXPENSE")</f>
        <v xml:space="preserve">          6241 - OFFICE EXPENSE</v>
      </c>
      <c r="C64" s="11"/>
      <c r="D64" s="7">
        <v>6088.55</v>
      </c>
      <c r="E64" s="2"/>
      <c r="F64" s="6">
        <f t="shared" si="36"/>
        <v>4.0171743763319542E-2</v>
      </c>
      <c r="G64" s="2"/>
      <c r="H64" s="7"/>
      <c r="I64" s="2"/>
      <c r="J64" s="6">
        <f t="shared" si="37"/>
        <v>0</v>
      </c>
      <c r="K64" s="2"/>
      <c r="L64" s="7">
        <f t="shared" si="38"/>
        <v>6088.55</v>
      </c>
      <c r="M64" s="2"/>
      <c r="N64" s="6">
        <f t="shared" si="39"/>
        <v>0</v>
      </c>
      <c r="O64" s="11"/>
      <c r="P64" s="7">
        <v>41271.699999999997</v>
      </c>
      <c r="Q64" s="2"/>
      <c r="R64" s="6">
        <f t="shared" si="40"/>
        <v>0.15308210159307134</v>
      </c>
      <c r="S64" s="2"/>
      <c r="T64" s="7"/>
      <c r="U64" s="2"/>
      <c r="V64" s="6">
        <f t="shared" si="41"/>
        <v>0</v>
      </c>
      <c r="W64" s="2"/>
      <c r="X64" s="7">
        <f t="shared" si="42"/>
        <v>41271.699999999997</v>
      </c>
      <c r="Y64" s="2"/>
      <c r="Z64" s="6">
        <f t="shared" si="43"/>
        <v>0</v>
      </c>
    </row>
    <row r="65" spans="1:26" s="27" customFormat="1" outlineLevel="1" collapsed="1" x14ac:dyDescent="0.25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136.65</v>
      </c>
      <c r="E65" s="1"/>
      <c r="F65" s="5">
        <f t="shared" ref="F65:F66" si="44">IF(D$12=0,0,D65/D$12)</f>
        <v>9.0160527305476932E-4</v>
      </c>
      <c r="G65" s="1"/>
      <c r="H65" s="1">
        <f>SUM(OSRRefH22_11x_0)</f>
        <v>700</v>
      </c>
      <c r="I65" s="1"/>
      <c r="J65" s="5">
        <f t="shared" ref="J65:J66" si="45">IF(H$12=0,0,H65/H$12)</f>
        <v>1.8519008439376702E-2</v>
      </c>
      <c r="K65" s="1"/>
      <c r="L65" s="1">
        <f t="shared" ref="L65:L66" si="46">+D65-H65</f>
        <v>-563.35</v>
      </c>
      <c r="M65" s="1"/>
      <c r="N65" s="5">
        <f t="shared" ref="N65:N66" si="47">IF(H65=0,0,L65/H65)</f>
        <v>-0.80478571428571433</v>
      </c>
      <c r="O65" s="14"/>
      <c r="P65" s="1">
        <f>SUM(OSRRefP22_11x_0)</f>
        <v>1178.73</v>
      </c>
      <c r="Q65" s="1"/>
      <c r="R65" s="5">
        <f t="shared" ref="R65:R66" si="48">IF(P$12=0,0,P65/P$12)</f>
        <v>4.3720628326625989E-3</v>
      </c>
      <c r="S65" s="1"/>
      <c r="T65" s="1">
        <f>SUM(OSRRefT22_11x_0)</f>
        <v>2800</v>
      </c>
      <c r="U65" s="1"/>
      <c r="V65" s="5">
        <f t="shared" ref="V65:V66" si="49">IF(T$12=0,0,T65/T$12)</f>
        <v>9.2294405970129566E-3</v>
      </c>
      <c r="W65" s="1"/>
      <c r="X65" s="1">
        <f t="shared" ref="X65:X66" si="50">+P65-T65</f>
        <v>-1621.27</v>
      </c>
      <c r="Y65" s="1"/>
      <c r="Z65" s="5">
        <f t="shared" ref="Z65:Z66" si="51">IF(T65=0,0,X65/T65)</f>
        <v>-0.57902500000000001</v>
      </c>
    </row>
    <row r="66" spans="1:26" s="24" customFormat="1" hidden="1" outlineLevel="2" x14ac:dyDescent="0.25">
      <c r="A66" s="28"/>
      <c r="B66" s="11" t="str">
        <f>CONCATENATE("          ", "6309", " - ", "TELEPHONE")</f>
        <v xml:space="preserve">          6309 - TELEPHONE</v>
      </c>
      <c r="C66" s="11"/>
      <c r="D66" s="7">
        <v>136.65</v>
      </c>
      <c r="E66" s="2"/>
      <c r="F66" s="6">
        <f t="shared" si="44"/>
        <v>9.0160527305476932E-4</v>
      </c>
      <c r="G66" s="2"/>
      <c r="H66" s="7">
        <v>700</v>
      </c>
      <c r="I66" s="2"/>
      <c r="J66" s="6">
        <f t="shared" si="45"/>
        <v>1.8519008439376702E-2</v>
      </c>
      <c r="K66" s="2"/>
      <c r="L66" s="7">
        <f t="shared" si="46"/>
        <v>-563.35</v>
      </c>
      <c r="M66" s="2"/>
      <c r="N66" s="6">
        <f t="shared" si="47"/>
        <v>-0.80478571428571433</v>
      </c>
      <c r="O66" s="11"/>
      <c r="P66" s="7">
        <v>1178.73</v>
      </c>
      <c r="Q66" s="2"/>
      <c r="R66" s="6">
        <f t="shared" si="48"/>
        <v>4.3720628326625989E-3</v>
      </c>
      <c r="S66" s="2"/>
      <c r="T66" s="7">
        <v>2800</v>
      </c>
      <c r="U66" s="2"/>
      <c r="V66" s="6">
        <f t="shared" si="49"/>
        <v>9.2294405970129566E-3</v>
      </c>
      <c r="W66" s="2"/>
      <c r="X66" s="7">
        <f t="shared" si="50"/>
        <v>-1621.27</v>
      </c>
      <c r="Y66" s="2"/>
      <c r="Z66" s="6">
        <f t="shared" si="51"/>
        <v>-0.57902500000000001</v>
      </c>
    </row>
    <row r="67" spans="1:26" s="63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5" t="s">
        <v>0</v>
      </c>
      <c r="C68" s="10"/>
      <c r="D68" s="4">
        <f>SUM(OSRRefD25x_0)</f>
        <v>225.16</v>
      </c>
      <c r="E68" s="4"/>
      <c r="F68" s="12">
        <f t="shared" ref="F68:F69" si="52">IF(D$12=0,0,D68/D$12)</f>
        <v>1.485586851672242E-3</v>
      </c>
      <c r="G68" s="4"/>
      <c r="H68" s="4">
        <f>SUM(OSRRefH25x_0)</f>
        <v>3000</v>
      </c>
      <c r="I68" s="4"/>
      <c r="J68" s="12">
        <f t="shared" ref="J68:J69" si="53">IF(H$12=0,0,H68/H$12)</f>
        <v>7.9367179025900153E-2</v>
      </c>
      <c r="K68" s="4"/>
      <c r="L68" s="4">
        <f t="shared" ref="L68:L69" si="54">+D68-H68</f>
        <v>-2774.84</v>
      </c>
      <c r="M68" s="4"/>
      <c r="N68" s="12">
        <f t="shared" ref="N68:N69" si="55">IF(H68=0,0,L68/H68)</f>
        <v>-0.92494666666666669</v>
      </c>
      <c r="O68" s="10"/>
      <c r="P68" s="4">
        <f>SUM(OSRRefP25x_0)</f>
        <v>975.16</v>
      </c>
      <c r="Q68" s="4"/>
      <c r="R68" s="12">
        <f t="shared" ref="R68:R69" si="56">IF(P$12=0,0,P68/P$12)</f>
        <v>3.6169952337679195E-3</v>
      </c>
      <c r="S68" s="4"/>
      <c r="T68" s="4">
        <f>SUM(OSRRefT25x_0)</f>
        <v>12000</v>
      </c>
      <c r="U68" s="4"/>
      <c r="V68" s="12">
        <f t="shared" ref="V68:V69" si="57">IF(T$12=0,0,T68/T$12)</f>
        <v>3.9554745415769817E-2</v>
      </c>
      <c r="W68" s="4"/>
      <c r="X68" s="4">
        <f t="shared" ref="X68:X69" si="58">+P68-T68</f>
        <v>-11024.84</v>
      </c>
      <c r="Y68" s="4"/>
      <c r="Z68" s="12">
        <f t="shared" ref="Z68:Z69" si="59">IF(T68=0,0,X68/T68)</f>
        <v>-0.91873666666666665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>--225.16</f>
        <v>225.16</v>
      </c>
      <c r="E69" s="2"/>
      <c r="F69" s="22">
        <f t="shared" si="52"/>
        <v>1.485586851672242E-3</v>
      </c>
      <c r="G69" s="2"/>
      <c r="H69" s="2">
        <v>3000</v>
      </c>
      <c r="I69" s="2"/>
      <c r="J69" s="22">
        <f t="shared" si="53"/>
        <v>7.9367179025900153E-2</v>
      </c>
      <c r="K69" s="2"/>
      <c r="L69" s="2">
        <f t="shared" si="54"/>
        <v>-2774.84</v>
      </c>
      <c r="M69" s="2"/>
      <c r="N69" s="22">
        <f t="shared" si="55"/>
        <v>-0.92494666666666669</v>
      </c>
      <c r="O69" s="11"/>
      <c r="P69" s="2">
        <f>--975.16</f>
        <v>975.16</v>
      </c>
      <c r="Q69" s="2"/>
      <c r="R69" s="22">
        <f t="shared" si="56"/>
        <v>3.6169952337679195E-3</v>
      </c>
      <c r="S69" s="2"/>
      <c r="T69" s="2">
        <v>12000</v>
      </c>
      <c r="U69" s="2"/>
      <c r="V69" s="22">
        <f t="shared" si="57"/>
        <v>3.9554745415769817E-2</v>
      </c>
      <c r="W69" s="2"/>
      <c r="X69" s="2">
        <f t="shared" si="58"/>
        <v>-11024.84</v>
      </c>
      <c r="Y69" s="2"/>
      <c r="Z69" s="22">
        <f t="shared" si="59"/>
        <v>-0.91873666666666665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3</v>
      </c>
      <c r="C71" s="26"/>
      <c r="D71" s="20">
        <f>+D17-D19+D68</f>
        <v>7039.1700000000092</v>
      </c>
      <c r="E71" s="13"/>
      <c r="F71" s="19">
        <f>IF(D$12=0,0,D71/D$12)</f>
        <v>4.6443855030581405E-2</v>
      </c>
      <c r="G71" s="13"/>
      <c r="H71" s="20">
        <f>+H17-H19+H68</f>
        <v>5652.2918329807726</v>
      </c>
      <c r="I71" s="13"/>
      <c r="J71" s="19">
        <f>IF(H$12=0,0,H71/H$12)</f>
        <v>0.14953548593827276</v>
      </c>
      <c r="K71" s="15"/>
      <c r="L71" s="20">
        <f>+D71-H71</f>
        <v>1386.8781670192366</v>
      </c>
      <c r="M71" s="15"/>
      <c r="N71" s="19">
        <f>IF(H71=0,0,L71/H71)</f>
        <v>0.24536563362261099</v>
      </c>
      <c r="O71" s="25"/>
      <c r="P71" s="20">
        <f>+P17-P19+P68</f>
        <v>21868.179999999989</v>
      </c>
      <c r="Q71" s="13"/>
      <c r="R71" s="19">
        <f>IF(P$12=0,0,P71/P$12)</f>
        <v>8.1111922998460678E-2</v>
      </c>
      <c r="S71" s="13"/>
      <c r="T71" s="20">
        <f>+T17-T19+T68</f>
        <v>46428.586262480763</v>
      </c>
      <c r="U71" s="13"/>
      <c r="V71" s="19">
        <f>IF(T$12=0,0,T71/T$12)</f>
        <v>0.15303924246887787</v>
      </c>
      <c r="W71" s="15"/>
      <c r="X71" s="20">
        <f>+P71-T71</f>
        <v>-24560.406262480774</v>
      </c>
      <c r="Y71" s="15"/>
      <c r="Z71" s="19">
        <f>IF(T71=0,0,X71/T71)</f>
        <v>-0.52899319664032496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>
        <v>36534.380000000005</v>
      </c>
      <c r="E73" s="4"/>
      <c r="F73" s="12">
        <f>IF(D$12=0,0,D73/D$12)</f>
        <v>0.24105078416236156</v>
      </c>
      <c r="G73" s="4"/>
      <c r="H73" s="4">
        <v>11274</v>
      </c>
      <c r="I73" s="4"/>
      <c r="J73" s="12">
        <f>IF(H$12=0,0,H73/H$12)</f>
        <v>0.29826185877933281</v>
      </c>
      <c r="K73" s="4"/>
      <c r="L73" s="4">
        <f>+D73-H73</f>
        <v>25260.380000000005</v>
      </c>
      <c r="M73" s="4"/>
      <c r="N73" s="12">
        <f>IF(H73=0,0,L73/H73)</f>
        <v>2.2405871917686717</v>
      </c>
      <c r="O73" s="10"/>
      <c r="P73" s="4">
        <v>58402.25</v>
      </c>
      <c r="Q73" s="4"/>
      <c r="R73" s="12">
        <f>IF(P$12=0,0,P73/P$12)</f>
        <v>0.21662153891804678</v>
      </c>
      <c r="S73" s="4"/>
      <c r="T73" s="4">
        <v>49669</v>
      </c>
      <c r="U73" s="4"/>
      <c r="V73" s="12">
        <f>IF(T$12=0,0,T73/T$12)</f>
        <v>0.16372038750465592</v>
      </c>
      <c r="W73" s="4"/>
      <c r="X73" s="4">
        <f>+P73-T73</f>
        <v>8733.25</v>
      </c>
      <c r="Y73" s="4"/>
      <c r="Z73" s="12">
        <f>IF(T73=0,0,X73/T73)</f>
        <v>0.17582898789989732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4</v>
      </c>
      <c r="C75" s="26"/>
      <c r="D75" s="34">
        <f>+D71-D73</f>
        <v>-29495.209999999995</v>
      </c>
      <c r="E75" s="13"/>
      <c r="F75" s="35">
        <f>IF(D$12=0,0,D75/D$12)</f>
        <v>-0.19460692913178015</v>
      </c>
      <c r="G75" s="13"/>
      <c r="H75" s="34">
        <f>+H71-H73</f>
        <v>-5621.7081670192274</v>
      </c>
      <c r="I75" s="13"/>
      <c r="J75" s="35">
        <f>IF(H$12=0,0,H75/H$12)</f>
        <v>-0.14872637284106002</v>
      </c>
      <c r="K75" s="15"/>
      <c r="L75" s="34">
        <f>D75-H75</f>
        <v>-23873.501832980768</v>
      </c>
      <c r="M75" s="15"/>
      <c r="N75" s="35">
        <f>IF(H75=0,0,L75/H75)</f>
        <v>4.2466633136595391</v>
      </c>
      <c r="O75" s="25"/>
      <c r="P75" s="34">
        <f>+P71-P73</f>
        <v>-36534.070000000007</v>
      </c>
      <c r="Q75" s="13"/>
      <c r="R75" s="35">
        <f>IF(P$12=0,0,P75/P$12)</f>
        <v>-0.13550961591958607</v>
      </c>
      <c r="S75" s="13"/>
      <c r="T75" s="34">
        <f>+T71-T73</f>
        <v>-3240.4137375192367</v>
      </c>
      <c r="U75" s="13"/>
      <c r="V75" s="35">
        <f>IF(T$12=0,0,T75/T$12)</f>
        <v>-1.0681145035778048E-2</v>
      </c>
      <c r="W75" s="15"/>
      <c r="X75" s="34">
        <f>P75-T75</f>
        <v>-33293.65626248077</v>
      </c>
      <c r="Y75" s="15"/>
      <c r="Z75" s="35">
        <f>IF(T75=0,0,X75/T75)</f>
        <v>10.274507812687336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5</v>
      </c>
      <c r="C78" s="26"/>
      <c r="D78" s="30">
        <f>SUM(D75:D77)</f>
        <v>-29495.209999999995</v>
      </c>
      <c r="E78" s="13"/>
      <c r="F78" s="32">
        <f>IF(D$12=0,0,D78/D$12)</f>
        <v>-0.19460692913178015</v>
      </c>
      <c r="G78" s="13"/>
      <c r="H78" s="30">
        <f>SUM(H75:H77)</f>
        <v>-5621.7081670192274</v>
      </c>
      <c r="I78" s="13"/>
      <c r="J78" s="32">
        <f>IF(H$12=0,0,H78/H$12)</f>
        <v>-0.14872637284106002</v>
      </c>
      <c r="K78" s="15"/>
      <c r="L78" s="30">
        <f>+D78-H78</f>
        <v>-23873.501832980768</v>
      </c>
      <c r="M78" s="15"/>
      <c r="N78" s="32">
        <f>IF(H78=0,0,L78/H78)</f>
        <v>4.2466633136595391</v>
      </c>
      <c r="O78" s="25"/>
      <c r="P78" s="30">
        <f>SUM(P75:P77)</f>
        <v>-36534.070000000007</v>
      </c>
      <c r="Q78" s="13"/>
      <c r="R78" s="32">
        <f>IF(P$12=0,0,P78/P$12)</f>
        <v>-0.13550961591958607</v>
      </c>
      <c r="S78" s="13"/>
      <c r="T78" s="30">
        <f>SUM(T75:T77)</f>
        <v>-3240.4137375192367</v>
      </c>
      <c r="U78" s="13"/>
      <c r="V78" s="32">
        <f>IF(T$12=0,0,T78/T$12)</f>
        <v>-1.0681145035778048E-2</v>
      </c>
      <c r="W78" s="15"/>
      <c r="X78" s="30">
        <f>+P78-T78</f>
        <v>-33293.65626248077</v>
      </c>
      <c r="Y78" s="15"/>
      <c r="Z78" s="32">
        <f>IF(T78=0,0,X78/T78)</f>
        <v>10.274507812687336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60">
        <v>44151.568929513887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8" t="s">
        <v>314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3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5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x14ac:dyDescent="0.25">
      <c r="A10" s="10"/>
      <c r="B10" s="62"/>
      <c r="C10" s="10"/>
      <c r="D10" s="43" t="s">
        <v>10</v>
      </c>
      <c r="E10" s="33"/>
      <c r="F10" s="40" t="s">
        <v>15</v>
      </c>
      <c r="G10" s="33"/>
      <c r="H10" s="49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4" t="s">
        <v>10</v>
      </c>
      <c r="Q10" s="33"/>
      <c r="R10" s="40" t="s">
        <v>15</v>
      </c>
      <c r="S10" s="33"/>
      <c r="T10" s="49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4" t="e">
        <f ca="1">+D27-D29</f>
        <v>#NAME?</v>
      </c>
      <c r="E31" s="13"/>
      <c r="F31" s="35" t="e">
        <f ca="1">IF(D$12=0,0,D31/D$12)</f>
        <v>#NAME?</v>
      </c>
      <c r="G31" s="13"/>
      <c r="H31" s="34" t="e">
        <f ca="1">+H27-H29</f>
        <v>#NAME?</v>
      </c>
      <c r="I31" s="13"/>
      <c r="J31" s="35" t="e">
        <f ca="1">IF(H$12=0,0,H31/H$12)</f>
        <v>#NAME?</v>
      </c>
      <c r="K31" s="15"/>
      <c r="L31" s="34" t="e">
        <f ca="1">D31-H31</f>
        <v>#NAME?</v>
      </c>
      <c r="M31" s="15"/>
      <c r="N31" s="35" t="e">
        <f ca="1">IF(H31=0,0,L31/H31)</f>
        <v>#NAME?</v>
      </c>
      <c r="O31" s="25"/>
      <c r="P31" s="34" t="e">
        <f ca="1">+P27-P29</f>
        <v>#NAME?</v>
      </c>
      <c r="Q31" s="13"/>
      <c r="R31" s="35" t="e">
        <f ca="1">IF(P$12=0,0,P31/P$12)</f>
        <v>#NAME?</v>
      </c>
      <c r="S31" s="13"/>
      <c r="T31" s="34" t="e">
        <f ca="1">+T27-T29</f>
        <v>#NAME?</v>
      </c>
      <c r="U31" s="13"/>
      <c r="V31" s="35" t="e">
        <f ca="1">IF(T$12=0,0,T31/T$12)</f>
        <v>#NAME?</v>
      </c>
      <c r="W31" s="15"/>
      <c r="X31" s="34" t="e">
        <f ca="1">P31-T31</f>
        <v>#NAME?</v>
      </c>
      <c r="Y31" s="15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2" t="e">
        <f ca="1">IF(D$12=0,0,D36/D$12)</f>
        <v>#NAME?</v>
      </c>
      <c r="G36" s="13"/>
      <c r="H36" s="30" t="e">
        <f ca="1">SUM(H31:H35)</f>
        <v>#NAME?</v>
      </c>
      <c r="I36" s="13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5"/>
      <c r="P36" s="30" t="e">
        <f ca="1">SUM(P31:P35)</f>
        <v>#NAME?</v>
      </c>
      <c r="Q36" s="13"/>
      <c r="R36" s="32" t="e">
        <f ca="1">IF(P$12=0,0,P36/P$12)</f>
        <v>#NAME?</v>
      </c>
      <c r="S36" s="13"/>
      <c r="T36" s="30" t="e">
        <f ca="1">SUM(T31:T35)</f>
        <v>#NAME?</v>
      </c>
      <c r="U36" s="13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3878</vt:i4>
      </vt:variant>
    </vt:vector>
  </HeadingPairs>
  <TitlesOfParts>
    <vt:vector size="3975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'317'!OSRRefD22_12x_0</vt:lpstr>
      <vt:lpstr>'321'!OSRRefD22_12x_0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'Div 6'!OSRRefD22_12x_0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'321'!OSRRefD22_13x_0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'414'!OSRRefD22_15x_0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'415'!OSRRefD22_16x_0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'418'!OSRRefD25x_0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'317'!OSRRefH22_12x_0</vt:lpstr>
      <vt:lpstr>'321'!OSRRefH22_12x_0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'Div 6'!OSRRefH22_12x_0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'321'!OSRRefH22_13x_0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'414'!OSRRefH22_15x_0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'415'!OSRRefH22_16x_0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'418'!OSRRefH25x_0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'317'!OSRRefP22_12x_0</vt:lpstr>
      <vt:lpstr>'321'!OSRRefP22_12x_0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'Div 6'!OSRRefP22_12x_0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'321'!OSRRefP22_13x_0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'414'!OSRRefP22_15x_0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'415'!OSRRefP22_16x_0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'418'!OSRRefP25x_0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'317'!OSRRefT22_12x_0</vt:lpstr>
      <vt:lpstr>'321'!OSRRefT22_12x_0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'Div 6'!OSRRefT22_12x_0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'321'!OSRRefT22_13x_0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'414'!OSRRefT22_15x_0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'415'!OSRRefT22_16x_0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'418'!OSRRefT25x_0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2020-11-16T22:05:29Z</dcterms:modified>
</cp:coreProperties>
</file>